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codeName="ThisWorkbook" hidePivotFieldList="1"/>
  <mc:AlternateContent xmlns:mc="http://schemas.openxmlformats.org/markup-compatibility/2006">
    <mc:Choice Requires="x15">
      <x15ac:absPath xmlns:x15ac="http://schemas.microsoft.com/office/spreadsheetml/2010/11/ac" url="C:\Users\Frank Radigan\Documents\Clients\Utilities Inc - Florida\Exhibits\"/>
    </mc:Choice>
  </mc:AlternateContent>
  <xr:revisionPtr revIDLastSave="0" documentId="13_ncr:1_{9F9A6A0D-C623-4BBF-9DDD-4081D7893CA2}" xr6:coauthVersionLast="45" xr6:coauthVersionMax="45" xr10:uidLastSave="{00000000-0000-0000-0000-000000000000}"/>
  <bookViews>
    <workbookView xWindow="-120" yWindow="-120" windowWidth="20730" windowHeight="11160" firstSheet="4" activeTab="9" xr2:uid="{00000000-000D-0000-FFFF-FFFF01000000}"/>
  </bookViews>
  <sheets>
    <sheet name="A 3" sheetId="7" r:id="rId1"/>
    <sheet name="A 5" sheetId="218" r:id="rId2"/>
    <sheet name="A 7" sheetId="11" r:id="rId3"/>
    <sheet name="A 9" sheetId="221" r:id="rId4"/>
    <sheet name="Working Capital_PerAR" sheetId="455" r:id="rId5"/>
    <sheet name="A 12-14 (I)" sheetId="477" r:id="rId6"/>
    <sheet name="Prior RCE" sheetId="506" r:id="rId7"/>
    <sheet name="A5 Adds" sheetId="488" r:id="rId8"/>
    <sheet name="A6 Adds" sheetId="496" r:id="rId9"/>
    <sheet name="PF Adds" sheetId="492" r:id="rId10"/>
    <sheet name="Retirements" sheetId="494" r:id="rId11"/>
    <sheet name="Ret CIAC" sheetId="495" r:id="rId12"/>
    <sheet name="PF Sched" sheetId="491" r:id="rId13"/>
    <sheet name="B 3" sheetId="131" r:id="rId14"/>
    <sheet name="B 4" sheetId="27" r:id="rId15"/>
    <sheet name="B 5" sheetId="291" r:id="rId16"/>
    <sheet name="B 6" sheetId="292" r:id="rId17"/>
    <sheet name="B 10" sheetId="266" r:id="rId18"/>
    <sheet name="B 13" sheetId="121" r:id="rId19"/>
    <sheet name="B 14" sheetId="37" r:id="rId20"/>
    <sheet name="B 15" sheetId="212" r:id="rId21"/>
    <sheet name="Chemical Adj" sheetId="482" r:id="rId22"/>
    <sheet name="EWD" sheetId="471" r:id="rId23"/>
    <sheet name="TAX EXPENSE" sheetId="176" r:id="rId24"/>
    <sheet name="Property Tax" sheetId="493" r:id="rId25"/>
  </sheets>
  <definedNames>
    <definedName name="_pg1">#REF!</definedName>
    <definedName name="Company">#REF!</definedName>
    <definedName name="Docket">#REF!</definedName>
    <definedName name="Preparer">#REF!</definedName>
    <definedName name="Preparer2">#REF!</definedName>
    <definedName name="_xlnm.Print_Area" localSheetId="5">'A 12-14 (I)'!$A$1:$AC$65</definedName>
    <definedName name="_xlnm.Print_Area" localSheetId="0">'A 3'!$A$1:$F$314</definedName>
    <definedName name="_xlnm.Print_Area" localSheetId="1">'A 5'!$A$1:$H$58</definedName>
    <definedName name="_xlnm.Print_Area" localSheetId="2">'A 7'!$A$1:$F$54</definedName>
    <definedName name="_xlnm.Print_Area" localSheetId="3">'A 9'!$A$1:$G$59</definedName>
    <definedName name="_xlnm.Print_Area" localSheetId="17">'B 10'!$A$1:$G$42</definedName>
    <definedName name="_xlnm.Print_Area" localSheetId="18">'B 13'!$A$1:$I$63</definedName>
    <definedName name="_xlnm.Print_Area" localSheetId="19">'B 14'!$A$1:$I$80</definedName>
    <definedName name="_xlnm.Print_Area" localSheetId="20">'B 15'!$A$1:$H$62</definedName>
    <definedName name="_xlnm.Print_Area" localSheetId="13">'B 3'!$A$1:$H$386</definedName>
    <definedName name="_xlnm.Print_Area" localSheetId="14">'B 4'!$A$1:$H$46</definedName>
    <definedName name="_xlnm.Print_Area" localSheetId="15">'B 5'!$A$1:$H$40</definedName>
    <definedName name="_xlnm.Print_Area" localSheetId="16">'B 6'!$A$1:$H$41</definedName>
    <definedName name="_xlnm.Print_Area" localSheetId="9">'PF Adds'!$A$1:$H$37</definedName>
    <definedName name="_xlnm.Print_Area" localSheetId="23">'TAX EXPENSE'!$A$1:$P$43</definedName>
    <definedName name="Schedule_Year_Ended___December_31__2011">#REF!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7" i="492" l="1"/>
  <c r="G51" i="492" l="1"/>
  <c r="G47" i="492"/>
  <c r="G49" i="492" l="1"/>
  <c r="H362" i="131" l="1"/>
  <c r="G362" i="131"/>
  <c r="P26" i="176" l="1"/>
  <c r="P25" i="176"/>
  <c r="P11" i="176"/>
  <c r="K19" i="488"/>
  <c r="K4" i="495" l="1"/>
  <c r="L4" i="495"/>
  <c r="K5" i="495"/>
  <c r="L5" i="495"/>
  <c r="K8" i="495"/>
  <c r="L8" i="495"/>
  <c r="K9" i="495"/>
  <c r="L9" i="495"/>
  <c r="K10" i="495"/>
  <c r="L10" i="495"/>
  <c r="K11" i="495"/>
  <c r="L11" i="495"/>
  <c r="K12" i="495"/>
  <c r="L12" i="495"/>
  <c r="K13" i="495"/>
  <c r="L13" i="495"/>
  <c r="K14" i="495"/>
  <c r="L14" i="495"/>
  <c r="K15" i="495"/>
  <c r="L15" i="495"/>
  <c r="K16" i="495"/>
  <c r="L16" i="495"/>
  <c r="K17" i="495"/>
  <c r="L17" i="495"/>
  <c r="K18" i="495"/>
  <c r="L18" i="495"/>
  <c r="T99" i="488" l="1"/>
  <c r="I19" i="488"/>
  <c r="I21" i="488" s="1"/>
  <c r="H34" i="494" l="1"/>
  <c r="H13" i="494"/>
  <c r="H12" i="494"/>
  <c r="H11" i="494"/>
  <c r="H10" i="494"/>
  <c r="H9" i="494"/>
  <c r="H8" i="494"/>
  <c r="AB78" i="493"/>
  <c r="U78" i="493"/>
  <c r="S78" i="493"/>
  <c r="R78" i="493"/>
  <c r="Q78" i="493" s="1"/>
  <c r="AB65" i="493"/>
  <c r="AB64" i="493"/>
  <c r="AB63" i="493"/>
  <c r="AB61" i="493"/>
  <c r="AB60" i="493"/>
  <c r="AB56" i="493"/>
  <c r="AB55" i="493"/>
  <c r="AB53" i="493"/>
  <c r="AB52" i="493"/>
  <c r="I52" i="493"/>
  <c r="AB50" i="493"/>
  <c r="AB47" i="493"/>
  <c r="K45" i="493"/>
  <c r="AA45" i="493" s="1"/>
  <c r="AB45" i="493" s="1"/>
  <c r="AB44" i="493"/>
  <c r="K44" i="493"/>
  <c r="AB43" i="493"/>
  <c r="K43" i="493"/>
  <c r="AB42" i="493"/>
  <c r="K42" i="493"/>
  <c r="AB29" i="493"/>
  <c r="AB28" i="493"/>
  <c r="AB23" i="493"/>
  <c r="AB22" i="493"/>
  <c r="K21" i="493"/>
  <c r="AA21" i="493" s="1"/>
  <c r="AB21" i="493" s="1"/>
  <c r="K20" i="493"/>
  <c r="AA20" i="493" s="1"/>
  <c r="AB20" i="493" s="1"/>
  <c r="K17" i="493"/>
  <c r="AA17" i="493" s="1"/>
  <c r="AB17" i="493" s="1"/>
  <c r="K16" i="493"/>
  <c r="AA16" i="493" s="1"/>
  <c r="AB16" i="493" s="1"/>
  <c r="AB15" i="493"/>
  <c r="AB14" i="493"/>
  <c r="K13" i="493"/>
  <c r="AA13" i="493" s="1"/>
  <c r="AB13" i="493" s="1"/>
  <c r="AB9" i="493"/>
  <c r="AB8" i="493"/>
  <c r="K8" i="493"/>
  <c r="K7" i="493"/>
  <c r="AA7" i="493" s="1"/>
  <c r="AB7" i="493" s="1"/>
  <c r="AB6" i="493"/>
  <c r="K6" i="493"/>
  <c r="AB5" i="493"/>
  <c r="AB4" i="493"/>
  <c r="K64" i="493"/>
  <c r="K63" i="493"/>
  <c r="K4" i="493"/>
  <c r="K15" i="493"/>
  <c r="F42" i="7"/>
  <c r="H42" i="494"/>
  <c r="K22" i="493"/>
  <c r="K14" i="493"/>
  <c r="K61" i="493"/>
  <c r="K9" i="493"/>
  <c r="K60" i="493"/>
  <c r="K56" i="493"/>
  <c r="K28" i="493"/>
  <c r="K53" i="493"/>
  <c r="K52" i="493"/>
  <c r="K50" i="493"/>
  <c r="K23" i="493"/>
  <c r="K47" i="493"/>
  <c r="K5" i="493"/>
  <c r="I88" i="491"/>
  <c r="K55" i="493"/>
  <c r="L22" i="491"/>
  <c r="D184" i="496"/>
  <c r="R183" i="496"/>
  <c r="P180" i="496"/>
  <c r="P182" i="496" s="1"/>
  <c r="O180" i="496"/>
  <c r="O182" i="496" s="1"/>
  <c r="N180" i="496"/>
  <c r="N182" i="496" s="1"/>
  <c r="M180" i="496"/>
  <c r="M182" i="496" s="1"/>
  <c r="L180" i="496"/>
  <c r="L182" i="496" s="1"/>
  <c r="K180" i="496"/>
  <c r="K182" i="496" s="1"/>
  <c r="J180" i="496"/>
  <c r="J182" i="496" s="1"/>
  <c r="I180" i="496"/>
  <c r="I182" i="496" s="1"/>
  <c r="H180" i="496"/>
  <c r="H182" i="496" s="1"/>
  <c r="G180" i="496"/>
  <c r="G182" i="496" s="1"/>
  <c r="F180" i="496"/>
  <c r="F182" i="496" s="1"/>
  <c r="E180" i="496"/>
  <c r="E182" i="496" s="1"/>
  <c r="R179" i="496"/>
  <c r="P176" i="496"/>
  <c r="O176" i="496"/>
  <c r="N176" i="496"/>
  <c r="N178" i="496" s="1"/>
  <c r="M176" i="496"/>
  <c r="M178" i="496" s="1"/>
  <c r="L176" i="496"/>
  <c r="K176" i="496"/>
  <c r="J176" i="496"/>
  <c r="I176" i="496"/>
  <c r="I178" i="496" s="1"/>
  <c r="H176" i="496"/>
  <c r="H178" i="496" s="1"/>
  <c r="G176" i="496"/>
  <c r="G178" i="496" s="1"/>
  <c r="F176" i="496"/>
  <c r="F178" i="496" s="1"/>
  <c r="E176" i="496"/>
  <c r="R175" i="496"/>
  <c r="D173" i="496"/>
  <c r="P169" i="496"/>
  <c r="P171" i="496" s="1"/>
  <c r="O169" i="496"/>
  <c r="O171" i="496" s="1"/>
  <c r="N169" i="496"/>
  <c r="N171" i="496" s="1"/>
  <c r="M169" i="496"/>
  <c r="M171" i="496" s="1"/>
  <c r="L169" i="496"/>
  <c r="L171" i="496" s="1"/>
  <c r="K169" i="496"/>
  <c r="K171" i="496" s="1"/>
  <c r="J169" i="496"/>
  <c r="J171" i="496" s="1"/>
  <c r="I169" i="496"/>
  <c r="I171" i="496" s="1"/>
  <c r="H169" i="496"/>
  <c r="H171" i="496" s="1"/>
  <c r="G169" i="496"/>
  <c r="G171" i="496" s="1"/>
  <c r="F169" i="496"/>
  <c r="F171" i="496" s="1"/>
  <c r="E169" i="496"/>
  <c r="E171" i="496" s="1"/>
  <c r="R168" i="496"/>
  <c r="P165" i="496"/>
  <c r="P167" i="496" s="1"/>
  <c r="O165" i="496"/>
  <c r="O167" i="496" s="1"/>
  <c r="N165" i="496"/>
  <c r="N167" i="496" s="1"/>
  <c r="M165" i="496"/>
  <c r="M167" i="496" s="1"/>
  <c r="L165" i="496"/>
  <c r="L167" i="496" s="1"/>
  <c r="K165" i="496"/>
  <c r="K167" i="496" s="1"/>
  <c r="J165" i="496"/>
  <c r="J167" i="496" s="1"/>
  <c r="I165" i="496"/>
  <c r="I167" i="496" s="1"/>
  <c r="H165" i="496"/>
  <c r="H167" i="496" s="1"/>
  <c r="G165" i="496"/>
  <c r="G167" i="496" s="1"/>
  <c r="F165" i="496"/>
  <c r="F167" i="496" s="1"/>
  <c r="E165" i="496"/>
  <c r="E167" i="496" s="1"/>
  <c r="R164" i="496"/>
  <c r="P161" i="496"/>
  <c r="P163" i="496" s="1"/>
  <c r="O161" i="496"/>
  <c r="O163" i="496" s="1"/>
  <c r="N161" i="496"/>
  <c r="N163" i="496" s="1"/>
  <c r="M161" i="496"/>
  <c r="M163" i="496" s="1"/>
  <c r="L161" i="496"/>
  <c r="L163" i="496" s="1"/>
  <c r="K161" i="496"/>
  <c r="K163" i="496" s="1"/>
  <c r="J161" i="496"/>
  <c r="J163" i="496" s="1"/>
  <c r="I161" i="496"/>
  <c r="I163" i="496" s="1"/>
  <c r="H161" i="496"/>
  <c r="H163" i="496" s="1"/>
  <c r="G161" i="496"/>
  <c r="G163" i="496" s="1"/>
  <c r="F161" i="496"/>
  <c r="F163" i="496" s="1"/>
  <c r="E161" i="496"/>
  <c r="E163" i="496" s="1"/>
  <c r="R160" i="496"/>
  <c r="P157" i="496"/>
  <c r="P159" i="496" s="1"/>
  <c r="O157" i="496"/>
  <c r="O159" i="496" s="1"/>
  <c r="N157" i="496"/>
  <c r="N159" i="496" s="1"/>
  <c r="M157" i="496"/>
  <c r="M159" i="496" s="1"/>
  <c r="L157" i="496"/>
  <c r="L159" i="496" s="1"/>
  <c r="K157" i="496"/>
  <c r="K159" i="496" s="1"/>
  <c r="J157" i="496"/>
  <c r="J159" i="496" s="1"/>
  <c r="I157" i="496"/>
  <c r="I159" i="496" s="1"/>
  <c r="H157" i="496"/>
  <c r="H159" i="496" s="1"/>
  <c r="G157" i="496"/>
  <c r="G159" i="496" s="1"/>
  <c r="F157" i="496"/>
  <c r="F159" i="496" s="1"/>
  <c r="E157" i="496"/>
  <c r="E159" i="496" s="1"/>
  <c r="R156" i="496"/>
  <c r="P153" i="496"/>
  <c r="P155" i="496" s="1"/>
  <c r="O153" i="496"/>
  <c r="O155" i="496" s="1"/>
  <c r="N153" i="496"/>
  <c r="N155" i="496" s="1"/>
  <c r="M153" i="496"/>
  <c r="M155" i="496" s="1"/>
  <c r="L153" i="496"/>
  <c r="L155" i="496" s="1"/>
  <c r="K153" i="496"/>
  <c r="K155" i="496" s="1"/>
  <c r="J153" i="496"/>
  <c r="J155" i="496" s="1"/>
  <c r="I153" i="496"/>
  <c r="I155" i="496" s="1"/>
  <c r="H153" i="496"/>
  <c r="H155" i="496" s="1"/>
  <c r="G153" i="496"/>
  <c r="G155" i="496" s="1"/>
  <c r="F153" i="496"/>
  <c r="F155" i="496" s="1"/>
  <c r="E153" i="496"/>
  <c r="E155" i="496" s="1"/>
  <c r="R152" i="496"/>
  <c r="P149" i="496"/>
  <c r="P151" i="496" s="1"/>
  <c r="O149" i="496"/>
  <c r="O151" i="496" s="1"/>
  <c r="N149" i="496"/>
  <c r="N151" i="496" s="1"/>
  <c r="M149" i="496"/>
  <c r="M151" i="496" s="1"/>
  <c r="L149" i="496"/>
  <c r="L151" i="496" s="1"/>
  <c r="K149" i="496"/>
  <c r="K151" i="496" s="1"/>
  <c r="J149" i="496"/>
  <c r="J151" i="496" s="1"/>
  <c r="I149" i="496"/>
  <c r="I151" i="496" s="1"/>
  <c r="H149" i="496"/>
  <c r="H151" i="496" s="1"/>
  <c r="G149" i="496"/>
  <c r="G151" i="496" s="1"/>
  <c r="F149" i="496"/>
  <c r="F151" i="496" s="1"/>
  <c r="E149" i="496"/>
  <c r="E151" i="496" s="1"/>
  <c r="R148" i="496"/>
  <c r="R147" i="496"/>
  <c r="S147" i="496" s="1"/>
  <c r="R146" i="496"/>
  <c r="P143" i="496"/>
  <c r="P145" i="496" s="1"/>
  <c r="O143" i="496"/>
  <c r="O145" i="496" s="1"/>
  <c r="N143" i="496"/>
  <c r="N145" i="496" s="1"/>
  <c r="M143" i="496"/>
  <c r="M145" i="496" s="1"/>
  <c r="L143" i="496"/>
  <c r="L145" i="496" s="1"/>
  <c r="K143" i="496"/>
  <c r="K145" i="496" s="1"/>
  <c r="J143" i="496"/>
  <c r="J145" i="496" s="1"/>
  <c r="I143" i="496"/>
  <c r="I145" i="496" s="1"/>
  <c r="H143" i="496"/>
  <c r="H145" i="496" s="1"/>
  <c r="G143" i="496"/>
  <c r="G145" i="496" s="1"/>
  <c r="F143" i="496"/>
  <c r="F145" i="496" s="1"/>
  <c r="E143" i="496"/>
  <c r="E145" i="496" s="1"/>
  <c r="R142" i="496"/>
  <c r="P139" i="496"/>
  <c r="P141" i="496" s="1"/>
  <c r="O139" i="496"/>
  <c r="O141" i="496" s="1"/>
  <c r="N139" i="496"/>
  <c r="N141" i="496" s="1"/>
  <c r="M139" i="496"/>
  <c r="M141" i="496" s="1"/>
  <c r="L139" i="496"/>
  <c r="L141" i="496" s="1"/>
  <c r="K139" i="496"/>
  <c r="K141" i="496" s="1"/>
  <c r="J139" i="496"/>
  <c r="J141" i="496" s="1"/>
  <c r="I139" i="496"/>
  <c r="I141" i="496" s="1"/>
  <c r="H139" i="496"/>
  <c r="H141" i="496" s="1"/>
  <c r="G139" i="496"/>
  <c r="G141" i="496" s="1"/>
  <c r="F139" i="496"/>
  <c r="F141" i="496" s="1"/>
  <c r="E139" i="496"/>
  <c r="E141" i="496" s="1"/>
  <c r="R138" i="496"/>
  <c r="R137" i="496"/>
  <c r="R135" i="496"/>
  <c r="S135" i="496" s="1"/>
  <c r="P132" i="496"/>
  <c r="P134" i="496" s="1"/>
  <c r="O132" i="496"/>
  <c r="O134" i="496" s="1"/>
  <c r="N132" i="496"/>
  <c r="N134" i="496" s="1"/>
  <c r="M132" i="496"/>
  <c r="M134" i="496" s="1"/>
  <c r="L132" i="496"/>
  <c r="L134" i="496" s="1"/>
  <c r="K132" i="496"/>
  <c r="K134" i="496" s="1"/>
  <c r="J132" i="496"/>
  <c r="J134" i="496" s="1"/>
  <c r="I132" i="496"/>
  <c r="I134" i="496" s="1"/>
  <c r="H132" i="496"/>
  <c r="H134" i="496" s="1"/>
  <c r="G132" i="496"/>
  <c r="G134" i="496" s="1"/>
  <c r="F132" i="496"/>
  <c r="F134" i="496" s="1"/>
  <c r="E132" i="496"/>
  <c r="E134" i="496" s="1"/>
  <c r="R131" i="496"/>
  <c r="P128" i="496"/>
  <c r="P130" i="496" s="1"/>
  <c r="O128" i="496"/>
  <c r="O130" i="496" s="1"/>
  <c r="N128" i="496"/>
  <c r="N130" i="496" s="1"/>
  <c r="M128" i="496"/>
  <c r="M130" i="496" s="1"/>
  <c r="L128" i="496"/>
  <c r="L130" i="496" s="1"/>
  <c r="K128" i="496"/>
  <c r="K130" i="496" s="1"/>
  <c r="J128" i="496"/>
  <c r="J130" i="496" s="1"/>
  <c r="I128" i="496"/>
  <c r="I130" i="496" s="1"/>
  <c r="H128" i="496"/>
  <c r="H130" i="496" s="1"/>
  <c r="G128" i="496"/>
  <c r="G130" i="496" s="1"/>
  <c r="F128" i="496"/>
  <c r="F130" i="496" s="1"/>
  <c r="E128" i="496"/>
  <c r="E130" i="496" s="1"/>
  <c r="R127" i="496"/>
  <c r="P124" i="496"/>
  <c r="P126" i="496" s="1"/>
  <c r="O124" i="496"/>
  <c r="O126" i="496" s="1"/>
  <c r="N124" i="496"/>
  <c r="N126" i="496" s="1"/>
  <c r="M124" i="496"/>
  <c r="M126" i="496" s="1"/>
  <c r="L124" i="496"/>
  <c r="L126" i="496" s="1"/>
  <c r="K124" i="496"/>
  <c r="K126" i="496" s="1"/>
  <c r="J124" i="496"/>
  <c r="J126" i="496" s="1"/>
  <c r="I124" i="496"/>
  <c r="I126" i="496" s="1"/>
  <c r="H124" i="496"/>
  <c r="H126" i="496" s="1"/>
  <c r="G124" i="496"/>
  <c r="G126" i="496" s="1"/>
  <c r="F124" i="496"/>
  <c r="F126" i="496" s="1"/>
  <c r="E124" i="496"/>
  <c r="E126" i="496" s="1"/>
  <c r="R123" i="496"/>
  <c r="P120" i="496"/>
  <c r="P122" i="496" s="1"/>
  <c r="O120" i="496"/>
  <c r="O122" i="496" s="1"/>
  <c r="N120" i="496"/>
  <c r="N122" i="496" s="1"/>
  <c r="M120" i="496"/>
  <c r="M122" i="496" s="1"/>
  <c r="L120" i="496"/>
  <c r="L122" i="496" s="1"/>
  <c r="K120" i="496"/>
  <c r="K122" i="496" s="1"/>
  <c r="J120" i="496"/>
  <c r="J122" i="496" s="1"/>
  <c r="I120" i="496"/>
  <c r="I122" i="496" s="1"/>
  <c r="H120" i="496"/>
  <c r="H122" i="496" s="1"/>
  <c r="G120" i="496"/>
  <c r="G122" i="496" s="1"/>
  <c r="F120" i="496"/>
  <c r="F122" i="496" s="1"/>
  <c r="E120" i="496"/>
  <c r="E122" i="496" s="1"/>
  <c r="R119" i="496"/>
  <c r="R118" i="496"/>
  <c r="P115" i="496"/>
  <c r="P117" i="496" s="1"/>
  <c r="O115" i="496"/>
  <c r="O117" i="496" s="1"/>
  <c r="N115" i="496"/>
  <c r="N117" i="496" s="1"/>
  <c r="M115" i="496"/>
  <c r="M117" i="496" s="1"/>
  <c r="L115" i="496"/>
  <c r="L117" i="496" s="1"/>
  <c r="K115" i="496"/>
  <c r="K117" i="496" s="1"/>
  <c r="J115" i="496"/>
  <c r="J117" i="496" s="1"/>
  <c r="I115" i="496"/>
  <c r="I117" i="496" s="1"/>
  <c r="H115" i="496"/>
  <c r="H117" i="496" s="1"/>
  <c r="G115" i="496"/>
  <c r="G117" i="496" s="1"/>
  <c r="F115" i="496"/>
  <c r="F117" i="496" s="1"/>
  <c r="E115" i="496"/>
  <c r="E117" i="496" s="1"/>
  <c r="R114" i="496"/>
  <c r="R113" i="496"/>
  <c r="R112" i="496"/>
  <c r="R110" i="496"/>
  <c r="S110" i="496" s="1"/>
  <c r="R109" i="496"/>
  <c r="S109" i="496" s="1"/>
  <c r="P106" i="496"/>
  <c r="P108" i="496" s="1"/>
  <c r="O106" i="496"/>
  <c r="O108" i="496" s="1"/>
  <c r="N106" i="496"/>
  <c r="N108" i="496" s="1"/>
  <c r="M106" i="496"/>
  <c r="M108" i="496" s="1"/>
  <c r="L106" i="496"/>
  <c r="L108" i="496" s="1"/>
  <c r="K106" i="496"/>
  <c r="K108" i="496" s="1"/>
  <c r="J106" i="496"/>
  <c r="J108" i="496" s="1"/>
  <c r="I106" i="496"/>
  <c r="I108" i="496" s="1"/>
  <c r="H106" i="496"/>
  <c r="H108" i="496" s="1"/>
  <c r="G106" i="496"/>
  <c r="G108" i="496" s="1"/>
  <c r="F106" i="496"/>
  <c r="F108" i="496" s="1"/>
  <c r="E106" i="496"/>
  <c r="E108" i="496" s="1"/>
  <c r="R105" i="496"/>
  <c r="P102" i="496"/>
  <c r="P104" i="496" s="1"/>
  <c r="O102" i="496"/>
  <c r="O104" i="496" s="1"/>
  <c r="N102" i="496"/>
  <c r="N104" i="496" s="1"/>
  <c r="M102" i="496"/>
  <c r="M104" i="496" s="1"/>
  <c r="L102" i="496"/>
  <c r="L104" i="496" s="1"/>
  <c r="K102" i="496"/>
  <c r="K104" i="496" s="1"/>
  <c r="J102" i="496"/>
  <c r="J104" i="496" s="1"/>
  <c r="I102" i="496"/>
  <c r="I104" i="496" s="1"/>
  <c r="H102" i="496"/>
  <c r="H104" i="496" s="1"/>
  <c r="G102" i="496"/>
  <c r="G104" i="496" s="1"/>
  <c r="F102" i="496"/>
  <c r="F104" i="496" s="1"/>
  <c r="E102" i="496"/>
  <c r="E104" i="496" s="1"/>
  <c r="R101" i="496"/>
  <c r="P98" i="496"/>
  <c r="P100" i="496" s="1"/>
  <c r="O98" i="496"/>
  <c r="O100" i="496" s="1"/>
  <c r="N98" i="496"/>
  <c r="N100" i="496" s="1"/>
  <c r="M98" i="496"/>
  <c r="M100" i="496" s="1"/>
  <c r="L98" i="496"/>
  <c r="L100" i="496" s="1"/>
  <c r="K98" i="496"/>
  <c r="K100" i="496" s="1"/>
  <c r="J98" i="496"/>
  <c r="J100" i="496" s="1"/>
  <c r="I98" i="496"/>
  <c r="I100" i="496" s="1"/>
  <c r="H98" i="496"/>
  <c r="H100" i="496" s="1"/>
  <c r="G98" i="496"/>
  <c r="G100" i="496" s="1"/>
  <c r="F98" i="496"/>
  <c r="F100" i="496" s="1"/>
  <c r="E98" i="496"/>
  <c r="E100" i="496" s="1"/>
  <c r="R97" i="496"/>
  <c r="R96" i="496"/>
  <c r="R95" i="496"/>
  <c r="S95" i="496" s="1"/>
  <c r="R94" i="496"/>
  <c r="S94" i="496" s="1"/>
  <c r="P90" i="496"/>
  <c r="P92" i="496" s="1"/>
  <c r="O90" i="496"/>
  <c r="O92" i="496" s="1"/>
  <c r="N90" i="496"/>
  <c r="N92" i="496" s="1"/>
  <c r="M90" i="496"/>
  <c r="M92" i="496" s="1"/>
  <c r="L90" i="496"/>
  <c r="L92" i="496" s="1"/>
  <c r="K90" i="496"/>
  <c r="K92" i="496" s="1"/>
  <c r="J90" i="496"/>
  <c r="J92" i="496" s="1"/>
  <c r="I90" i="496"/>
  <c r="I92" i="496" s="1"/>
  <c r="H90" i="496"/>
  <c r="H92" i="496" s="1"/>
  <c r="G90" i="496"/>
  <c r="G92" i="496" s="1"/>
  <c r="F90" i="496"/>
  <c r="F92" i="496" s="1"/>
  <c r="E90" i="496"/>
  <c r="E92" i="496" s="1"/>
  <c r="R89" i="496"/>
  <c r="P86" i="496"/>
  <c r="P88" i="496" s="1"/>
  <c r="O86" i="496"/>
  <c r="O88" i="496" s="1"/>
  <c r="N86" i="496"/>
  <c r="N88" i="496" s="1"/>
  <c r="M86" i="496"/>
  <c r="M88" i="496" s="1"/>
  <c r="L86" i="496"/>
  <c r="L88" i="496" s="1"/>
  <c r="K86" i="496"/>
  <c r="K88" i="496" s="1"/>
  <c r="J86" i="496"/>
  <c r="J88" i="496" s="1"/>
  <c r="I86" i="496"/>
  <c r="I88" i="496" s="1"/>
  <c r="H86" i="496"/>
  <c r="H88" i="496" s="1"/>
  <c r="G86" i="496"/>
  <c r="G88" i="496" s="1"/>
  <c r="F86" i="496"/>
  <c r="F88" i="496" s="1"/>
  <c r="E86" i="496"/>
  <c r="E88" i="496" s="1"/>
  <c r="R85" i="496"/>
  <c r="P82" i="496"/>
  <c r="P84" i="496" s="1"/>
  <c r="O82" i="496"/>
  <c r="O84" i="496" s="1"/>
  <c r="N82" i="496"/>
  <c r="N84" i="496" s="1"/>
  <c r="M82" i="496"/>
  <c r="M84" i="496" s="1"/>
  <c r="L82" i="496"/>
  <c r="L84" i="496" s="1"/>
  <c r="K82" i="496"/>
  <c r="K84" i="496" s="1"/>
  <c r="J82" i="496"/>
  <c r="J84" i="496" s="1"/>
  <c r="I82" i="496"/>
  <c r="I84" i="496" s="1"/>
  <c r="H82" i="496"/>
  <c r="H84" i="496" s="1"/>
  <c r="G82" i="496"/>
  <c r="G84" i="496" s="1"/>
  <c r="F82" i="496"/>
  <c r="F84" i="496" s="1"/>
  <c r="E82" i="496"/>
  <c r="E84" i="496" s="1"/>
  <c r="R81" i="496"/>
  <c r="P78" i="496"/>
  <c r="P80" i="496" s="1"/>
  <c r="O78" i="496"/>
  <c r="O80" i="496" s="1"/>
  <c r="N78" i="496"/>
  <c r="N80" i="496" s="1"/>
  <c r="M78" i="496"/>
  <c r="M80" i="496" s="1"/>
  <c r="L78" i="496"/>
  <c r="L80" i="496" s="1"/>
  <c r="K78" i="496"/>
  <c r="K80" i="496" s="1"/>
  <c r="J78" i="496"/>
  <c r="J80" i="496" s="1"/>
  <c r="I78" i="496"/>
  <c r="I80" i="496" s="1"/>
  <c r="H78" i="496"/>
  <c r="H80" i="496" s="1"/>
  <c r="G78" i="496"/>
  <c r="G80" i="496" s="1"/>
  <c r="F78" i="496"/>
  <c r="F80" i="496" s="1"/>
  <c r="E78" i="496"/>
  <c r="E80" i="496" s="1"/>
  <c r="R77" i="496"/>
  <c r="P74" i="496"/>
  <c r="P76" i="496" s="1"/>
  <c r="O74" i="496"/>
  <c r="O76" i="496" s="1"/>
  <c r="N74" i="496"/>
  <c r="N76" i="496" s="1"/>
  <c r="M74" i="496"/>
  <c r="M76" i="496" s="1"/>
  <c r="L74" i="496"/>
  <c r="L76" i="496" s="1"/>
  <c r="K74" i="496"/>
  <c r="K76" i="496" s="1"/>
  <c r="J74" i="496"/>
  <c r="J76" i="496" s="1"/>
  <c r="I74" i="496"/>
  <c r="I76" i="496" s="1"/>
  <c r="H74" i="496"/>
  <c r="H76" i="496" s="1"/>
  <c r="G74" i="496"/>
  <c r="G76" i="496" s="1"/>
  <c r="F74" i="496"/>
  <c r="F76" i="496" s="1"/>
  <c r="E74" i="496"/>
  <c r="E76" i="496" s="1"/>
  <c r="R73" i="496"/>
  <c r="P70" i="496"/>
  <c r="P72" i="496" s="1"/>
  <c r="O70" i="496"/>
  <c r="O72" i="496" s="1"/>
  <c r="N70" i="496"/>
  <c r="N72" i="496" s="1"/>
  <c r="M70" i="496"/>
  <c r="M72" i="496" s="1"/>
  <c r="L70" i="496"/>
  <c r="L72" i="496" s="1"/>
  <c r="K70" i="496"/>
  <c r="K72" i="496" s="1"/>
  <c r="J70" i="496"/>
  <c r="J72" i="496" s="1"/>
  <c r="I70" i="496"/>
  <c r="I72" i="496" s="1"/>
  <c r="H70" i="496"/>
  <c r="H72" i="496" s="1"/>
  <c r="G70" i="496"/>
  <c r="G72" i="496" s="1"/>
  <c r="F70" i="496"/>
  <c r="F72" i="496" s="1"/>
  <c r="E70" i="496"/>
  <c r="E72" i="496" s="1"/>
  <c r="R69" i="496"/>
  <c r="R68" i="496"/>
  <c r="S68" i="496" s="1"/>
  <c r="R66" i="496"/>
  <c r="P63" i="496"/>
  <c r="P65" i="496" s="1"/>
  <c r="O63" i="496"/>
  <c r="O65" i="496" s="1"/>
  <c r="N63" i="496"/>
  <c r="N65" i="496" s="1"/>
  <c r="M63" i="496"/>
  <c r="M65" i="496" s="1"/>
  <c r="L63" i="496"/>
  <c r="L65" i="496" s="1"/>
  <c r="K63" i="496"/>
  <c r="K65" i="496" s="1"/>
  <c r="J63" i="496"/>
  <c r="J65" i="496" s="1"/>
  <c r="I63" i="496"/>
  <c r="I65" i="496" s="1"/>
  <c r="H63" i="496"/>
  <c r="H65" i="496" s="1"/>
  <c r="G63" i="496"/>
  <c r="G65" i="496" s="1"/>
  <c r="F63" i="496"/>
  <c r="F65" i="496" s="1"/>
  <c r="E63" i="496"/>
  <c r="E65" i="496" s="1"/>
  <c r="R62" i="496"/>
  <c r="N59" i="496"/>
  <c r="N61" i="496" s="1"/>
  <c r="M59" i="496"/>
  <c r="M61" i="496" s="1"/>
  <c r="R58" i="496"/>
  <c r="S58" i="496" s="1"/>
  <c r="P55" i="496"/>
  <c r="P57" i="496" s="1"/>
  <c r="O55" i="496"/>
  <c r="O57" i="496" s="1"/>
  <c r="N55" i="496"/>
  <c r="N57" i="496" s="1"/>
  <c r="M55" i="496"/>
  <c r="M57" i="496" s="1"/>
  <c r="L55" i="496"/>
  <c r="L57" i="496" s="1"/>
  <c r="K55" i="496"/>
  <c r="K57" i="496" s="1"/>
  <c r="J55" i="496"/>
  <c r="J57" i="496" s="1"/>
  <c r="I55" i="496"/>
  <c r="I57" i="496" s="1"/>
  <c r="H55" i="496"/>
  <c r="H57" i="496" s="1"/>
  <c r="G55" i="496"/>
  <c r="G57" i="496" s="1"/>
  <c r="F55" i="496"/>
  <c r="F57" i="496" s="1"/>
  <c r="E55" i="496"/>
  <c r="E57" i="496" s="1"/>
  <c r="R54" i="496"/>
  <c r="P51" i="496"/>
  <c r="P53" i="496" s="1"/>
  <c r="O51" i="496"/>
  <c r="O53" i="496" s="1"/>
  <c r="N51" i="496"/>
  <c r="N53" i="496" s="1"/>
  <c r="M51" i="496"/>
  <c r="M53" i="496" s="1"/>
  <c r="L51" i="496"/>
  <c r="L53" i="496" s="1"/>
  <c r="K51" i="496"/>
  <c r="K53" i="496" s="1"/>
  <c r="J51" i="496"/>
  <c r="J53" i="496" s="1"/>
  <c r="I51" i="496"/>
  <c r="I53" i="496" s="1"/>
  <c r="H51" i="496"/>
  <c r="H53" i="496" s="1"/>
  <c r="G51" i="496"/>
  <c r="G53" i="496" s="1"/>
  <c r="F51" i="496"/>
  <c r="F53" i="496" s="1"/>
  <c r="E51" i="496"/>
  <c r="E53" i="496" s="1"/>
  <c r="R50" i="496"/>
  <c r="R49" i="496"/>
  <c r="P45" i="496"/>
  <c r="P47" i="496" s="1"/>
  <c r="O45" i="496"/>
  <c r="O47" i="496" s="1"/>
  <c r="N45" i="496"/>
  <c r="N47" i="496" s="1"/>
  <c r="M45" i="496"/>
  <c r="M47" i="496" s="1"/>
  <c r="L45" i="496"/>
  <c r="L47" i="496" s="1"/>
  <c r="K45" i="496"/>
  <c r="K47" i="496" s="1"/>
  <c r="J45" i="496"/>
  <c r="J47" i="496" s="1"/>
  <c r="I45" i="496"/>
  <c r="I47" i="496" s="1"/>
  <c r="H45" i="496"/>
  <c r="H47" i="496" s="1"/>
  <c r="G45" i="496"/>
  <c r="G47" i="496" s="1"/>
  <c r="F45" i="496"/>
  <c r="F47" i="496" s="1"/>
  <c r="E45" i="496"/>
  <c r="E47" i="496" s="1"/>
  <c r="R44" i="496"/>
  <c r="R43" i="496"/>
  <c r="S43" i="496" s="1"/>
  <c r="P40" i="496"/>
  <c r="P42" i="496" s="1"/>
  <c r="O40" i="496"/>
  <c r="O42" i="496" s="1"/>
  <c r="N40" i="496"/>
  <c r="N42" i="496" s="1"/>
  <c r="M40" i="496"/>
  <c r="M42" i="496" s="1"/>
  <c r="L40" i="496"/>
  <c r="L42" i="496" s="1"/>
  <c r="K40" i="496"/>
  <c r="K42" i="496" s="1"/>
  <c r="J40" i="496"/>
  <c r="J42" i="496" s="1"/>
  <c r="I40" i="496"/>
  <c r="I42" i="496" s="1"/>
  <c r="H40" i="496"/>
  <c r="H42" i="496" s="1"/>
  <c r="G40" i="496"/>
  <c r="G42" i="496" s="1"/>
  <c r="F40" i="496"/>
  <c r="F42" i="496" s="1"/>
  <c r="E40" i="496"/>
  <c r="E42" i="496" s="1"/>
  <c r="R39" i="496"/>
  <c r="P36" i="496"/>
  <c r="P38" i="496" s="1"/>
  <c r="O36" i="496"/>
  <c r="O38" i="496" s="1"/>
  <c r="N36" i="496"/>
  <c r="N38" i="496" s="1"/>
  <c r="M36" i="496"/>
  <c r="M38" i="496" s="1"/>
  <c r="L36" i="496"/>
  <c r="L38" i="496" s="1"/>
  <c r="K36" i="496"/>
  <c r="K38" i="496" s="1"/>
  <c r="J36" i="496"/>
  <c r="J38" i="496" s="1"/>
  <c r="I36" i="496"/>
  <c r="I38" i="496" s="1"/>
  <c r="H36" i="496"/>
  <c r="H38" i="496" s="1"/>
  <c r="G36" i="496"/>
  <c r="G38" i="496" s="1"/>
  <c r="F36" i="496"/>
  <c r="F38" i="496" s="1"/>
  <c r="E36" i="496"/>
  <c r="E38" i="496" s="1"/>
  <c r="R35" i="496"/>
  <c r="R34" i="496"/>
  <c r="S34" i="496" s="1"/>
  <c r="P31" i="496"/>
  <c r="P33" i="496" s="1"/>
  <c r="O31" i="496"/>
  <c r="O33" i="496" s="1"/>
  <c r="N31" i="496"/>
  <c r="N33" i="496" s="1"/>
  <c r="M31" i="496"/>
  <c r="M33" i="496" s="1"/>
  <c r="L31" i="496"/>
  <c r="L33" i="496" s="1"/>
  <c r="K31" i="496"/>
  <c r="K33" i="496" s="1"/>
  <c r="J31" i="496"/>
  <c r="J33" i="496" s="1"/>
  <c r="I31" i="496"/>
  <c r="I33" i="496" s="1"/>
  <c r="H31" i="496"/>
  <c r="H33" i="496" s="1"/>
  <c r="G31" i="496"/>
  <c r="G33" i="496" s="1"/>
  <c r="F31" i="496"/>
  <c r="F33" i="496" s="1"/>
  <c r="E31" i="496"/>
  <c r="E33" i="496" s="1"/>
  <c r="R30" i="496"/>
  <c r="P27" i="496"/>
  <c r="P29" i="496" s="1"/>
  <c r="O27" i="496"/>
  <c r="O29" i="496" s="1"/>
  <c r="N27" i="496"/>
  <c r="N29" i="496" s="1"/>
  <c r="M27" i="496"/>
  <c r="M29" i="496" s="1"/>
  <c r="L27" i="496"/>
  <c r="L29" i="496" s="1"/>
  <c r="K27" i="496"/>
  <c r="K29" i="496" s="1"/>
  <c r="J27" i="496"/>
  <c r="J29" i="496" s="1"/>
  <c r="I27" i="496"/>
  <c r="I29" i="496" s="1"/>
  <c r="H27" i="496"/>
  <c r="H29" i="496" s="1"/>
  <c r="G27" i="496"/>
  <c r="G29" i="496" s="1"/>
  <c r="F27" i="496"/>
  <c r="F29" i="496" s="1"/>
  <c r="E27" i="496"/>
  <c r="E29" i="496" s="1"/>
  <c r="R26" i="496"/>
  <c r="P23" i="496"/>
  <c r="P25" i="496" s="1"/>
  <c r="O23" i="496"/>
  <c r="O25" i="496" s="1"/>
  <c r="N23" i="496"/>
  <c r="N25" i="496" s="1"/>
  <c r="M23" i="496"/>
  <c r="M25" i="496" s="1"/>
  <c r="L23" i="496"/>
  <c r="L25" i="496" s="1"/>
  <c r="K23" i="496"/>
  <c r="K25" i="496" s="1"/>
  <c r="J23" i="496"/>
  <c r="J25" i="496" s="1"/>
  <c r="I23" i="496"/>
  <c r="I25" i="496" s="1"/>
  <c r="H23" i="496"/>
  <c r="H25" i="496" s="1"/>
  <c r="G23" i="496"/>
  <c r="G25" i="496" s="1"/>
  <c r="F23" i="496"/>
  <c r="F25" i="496" s="1"/>
  <c r="E23" i="496"/>
  <c r="E25" i="496" s="1"/>
  <c r="R22" i="496"/>
  <c r="S22" i="496" s="1"/>
  <c r="P19" i="496"/>
  <c r="O19" i="496"/>
  <c r="N19" i="496"/>
  <c r="M19" i="496"/>
  <c r="L19" i="496"/>
  <c r="L21" i="496" s="1"/>
  <c r="K19" i="496"/>
  <c r="J19" i="496"/>
  <c r="I19" i="496"/>
  <c r="H19" i="496"/>
  <c r="G19" i="496"/>
  <c r="F19" i="496"/>
  <c r="E19" i="496"/>
  <c r="R18" i="496"/>
  <c r="R17" i="496"/>
  <c r="S17" i="496" s="1"/>
  <c r="R15" i="496"/>
  <c r="R14" i="496"/>
  <c r="S14" i="496" s="1"/>
  <c r="R13" i="496"/>
  <c r="S13" i="496" s="1"/>
  <c r="A13" i="496"/>
  <c r="A14" i="496" s="1"/>
  <c r="A15" i="496" s="1"/>
  <c r="A16" i="496" s="1"/>
  <c r="A17" i="496" s="1"/>
  <c r="A18" i="496" s="1"/>
  <c r="A22" i="496" s="1"/>
  <c r="A26" i="496" s="1"/>
  <c r="A30" i="496" s="1"/>
  <c r="A34" i="496" s="1"/>
  <c r="A35" i="496" s="1"/>
  <c r="A39" i="496" s="1"/>
  <c r="A43" i="496" s="1"/>
  <c r="A44" i="496" s="1"/>
  <c r="A48" i="496" s="1"/>
  <c r="A49" i="496" s="1"/>
  <c r="A50" i="496" s="1"/>
  <c r="A54" i="496" s="1"/>
  <c r="A58" i="496" s="1"/>
  <c r="A62" i="496" s="1"/>
  <c r="A66" i="496" s="1"/>
  <c r="A67" i="496" s="1"/>
  <c r="A68" i="496" s="1"/>
  <c r="A69" i="496" s="1"/>
  <c r="A73" i="496" s="1"/>
  <c r="A77" i="496" s="1"/>
  <c r="A81" i="496" s="1"/>
  <c r="A85" i="496" s="1"/>
  <c r="A89" i="496" s="1"/>
  <c r="A93" i="496" s="1"/>
  <c r="A94" i="496" s="1"/>
  <c r="A95" i="496" s="1"/>
  <c r="A96" i="496" s="1"/>
  <c r="A97" i="496" s="1"/>
  <c r="A101" i="496" s="1"/>
  <c r="A105" i="496" s="1"/>
  <c r="A109" i="496" s="1"/>
  <c r="A110" i="496" s="1"/>
  <c r="A111" i="496" s="1"/>
  <c r="A112" i="496" s="1"/>
  <c r="A113" i="496" s="1"/>
  <c r="A114" i="496" s="1"/>
  <c r="A118" i="496" s="1"/>
  <c r="A119" i="496" s="1"/>
  <c r="A123" i="496" s="1"/>
  <c r="A127" i="496" s="1"/>
  <c r="A131" i="496" s="1"/>
  <c r="A135" i="496" s="1"/>
  <c r="A136" i="496" s="1"/>
  <c r="A137" i="496" s="1"/>
  <c r="A138" i="496" s="1"/>
  <c r="A142" i="496" s="1"/>
  <c r="A146" i="496" s="1"/>
  <c r="A147" i="496" s="1"/>
  <c r="A148" i="496" s="1"/>
  <c r="A152" i="496" s="1"/>
  <c r="A156" i="496" s="1"/>
  <c r="A160" i="496" s="1"/>
  <c r="A164" i="496" s="1"/>
  <c r="A168" i="496" s="1"/>
  <c r="A172" i="496" s="1"/>
  <c r="A173" i="496" s="1"/>
  <c r="A174" i="496" s="1"/>
  <c r="A175" i="496" s="1"/>
  <c r="A179" i="496" s="1"/>
  <c r="A183" i="496" s="1"/>
  <c r="A184" i="496" s="1"/>
  <c r="D135" i="488"/>
  <c r="R134" i="488"/>
  <c r="P131" i="488"/>
  <c r="P133" i="488" s="1"/>
  <c r="O131" i="488"/>
  <c r="O133" i="488" s="1"/>
  <c r="N131" i="488"/>
  <c r="N133" i="488" s="1"/>
  <c r="M131" i="488"/>
  <c r="M133" i="488" s="1"/>
  <c r="L131" i="488"/>
  <c r="L133" i="488" s="1"/>
  <c r="K131" i="488"/>
  <c r="K133" i="488" s="1"/>
  <c r="J131" i="488"/>
  <c r="J133" i="488" s="1"/>
  <c r="I131" i="488"/>
  <c r="I133" i="488" s="1"/>
  <c r="H131" i="488"/>
  <c r="H133" i="488" s="1"/>
  <c r="G131" i="488"/>
  <c r="G133" i="488" s="1"/>
  <c r="F131" i="488"/>
  <c r="F133" i="488" s="1"/>
  <c r="E131" i="488"/>
  <c r="E133" i="488" s="1"/>
  <c r="R130" i="488"/>
  <c r="C130" i="488"/>
  <c r="P127" i="488"/>
  <c r="P129" i="488" s="1"/>
  <c r="O127" i="488"/>
  <c r="N127" i="488"/>
  <c r="N129" i="488" s="1"/>
  <c r="M127" i="488"/>
  <c r="M129" i="488" s="1"/>
  <c r="L127" i="488"/>
  <c r="K127" i="488"/>
  <c r="K129" i="488" s="1"/>
  <c r="J127" i="488"/>
  <c r="J129" i="488" s="1"/>
  <c r="I127" i="488"/>
  <c r="H127" i="488"/>
  <c r="H129" i="488" s="1"/>
  <c r="G127" i="488"/>
  <c r="G129" i="488" s="1"/>
  <c r="F127" i="488"/>
  <c r="F129" i="488" s="1"/>
  <c r="E127" i="488"/>
  <c r="E129" i="488" s="1"/>
  <c r="R126" i="488"/>
  <c r="C126" i="488"/>
  <c r="D124" i="488"/>
  <c r="R123" i="488"/>
  <c r="R122" i="488"/>
  <c r="R121" i="488"/>
  <c r="P118" i="488"/>
  <c r="P120" i="488" s="1"/>
  <c r="O118" i="488"/>
  <c r="O120" i="488" s="1"/>
  <c r="N118" i="488"/>
  <c r="N120" i="488" s="1"/>
  <c r="M118" i="488"/>
  <c r="M120" i="488" s="1"/>
  <c r="L118" i="488"/>
  <c r="L120" i="488" s="1"/>
  <c r="K118" i="488"/>
  <c r="K120" i="488" s="1"/>
  <c r="J118" i="488"/>
  <c r="J120" i="488" s="1"/>
  <c r="I118" i="488"/>
  <c r="I120" i="488" s="1"/>
  <c r="H118" i="488"/>
  <c r="H120" i="488" s="1"/>
  <c r="G118" i="488"/>
  <c r="G120" i="488" s="1"/>
  <c r="F118" i="488"/>
  <c r="F120" i="488" s="1"/>
  <c r="E118" i="488"/>
  <c r="E120" i="488" s="1"/>
  <c r="R117" i="488"/>
  <c r="P114" i="488"/>
  <c r="P116" i="488" s="1"/>
  <c r="O114" i="488"/>
  <c r="O116" i="488" s="1"/>
  <c r="N114" i="488"/>
  <c r="N116" i="488" s="1"/>
  <c r="M114" i="488"/>
  <c r="M116" i="488" s="1"/>
  <c r="L114" i="488"/>
  <c r="L116" i="488" s="1"/>
  <c r="K114" i="488"/>
  <c r="K116" i="488" s="1"/>
  <c r="J114" i="488"/>
  <c r="J116" i="488" s="1"/>
  <c r="I114" i="488"/>
  <c r="I116" i="488" s="1"/>
  <c r="H114" i="488"/>
  <c r="H116" i="488" s="1"/>
  <c r="G114" i="488"/>
  <c r="G116" i="488" s="1"/>
  <c r="F114" i="488"/>
  <c r="F116" i="488" s="1"/>
  <c r="E114" i="488"/>
  <c r="E116" i="488" s="1"/>
  <c r="R113" i="488"/>
  <c r="P110" i="488"/>
  <c r="P112" i="488" s="1"/>
  <c r="O110" i="488"/>
  <c r="O112" i="488" s="1"/>
  <c r="N110" i="488"/>
  <c r="N112" i="488" s="1"/>
  <c r="M110" i="488"/>
  <c r="M112" i="488" s="1"/>
  <c r="L110" i="488"/>
  <c r="L112" i="488" s="1"/>
  <c r="K110" i="488"/>
  <c r="K112" i="488" s="1"/>
  <c r="J110" i="488"/>
  <c r="J112" i="488" s="1"/>
  <c r="I110" i="488"/>
  <c r="I112" i="488" s="1"/>
  <c r="H110" i="488"/>
  <c r="H112" i="488" s="1"/>
  <c r="G110" i="488"/>
  <c r="G112" i="488" s="1"/>
  <c r="F110" i="488"/>
  <c r="F112" i="488" s="1"/>
  <c r="E110" i="488"/>
  <c r="E112" i="488" s="1"/>
  <c r="R109" i="488"/>
  <c r="P106" i="488"/>
  <c r="P108" i="488" s="1"/>
  <c r="O106" i="488"/>
  <c r="O108" i="488" s="1"/>
  <c r="N106" i="488"/>
  <c r="N108" i="488" s="1"/>
  <c r="M106" i="488"/>
  <c r="M108" i="488" s="1"/>
  <c r="L106" i="488"/>
  <c r="L108" i="488" s="1"/>
  <c r="K106" i="488"/>
  <c r="K108" i="488" s="1"/>
  <c r="J106" i="488"/>
  <c r="J108" i="488" s="1"/>
  <c r="I106" i="488"/>
  <c r="I108" i="488" s="1"/>
  <c r="H106" i="488"/>
  <c r="H108" i="488" s="1"/>
  <c r="G106" i="488"/>
  <c r="G108" i="488" s="1"/>
  <c r="F106" i="488"/>
  <c r="F108" i="488" s="1"/>
  <c r="E106" i="488"/>
  <c r="E108" i="488" s="1"/>
  <c r="R105" i="488"/>
  <c r="R104" i="488"/>
  <c r="P101" i="488"/>
  <c r="P103" i="488" s="1"/>
  <c r="O101" i="488"/>
  <c r="O103" i="488" s="1"/>
  <c r="N101" i="488"/>
  <c r="N103" i="488" s="1"/>
  <c r="M101" i="488"/>
  <c r="M103" i="488" s="1"/>
  <c r="L101" i="488"/>
  <c r="L103" i="488" s="1"/>
  <c r="K101" i="488"/>
  <c r="K103" i="488" s="1"/>
  <c r="J101" i="488"/>
  <c r="J103" i="488" s="1"/>
  <c r="I101" i="488"/>
  <c r="I103" i="488" s="1"/>
  <c r="H101" i="488"/>
  <c r="H103" i="488" s="1"/>
  <c r="G101" i="488"/>
  <c r="G103" i="488" s="1"/>
  <c r="F101" i="488"/>
  <c r="F103" i="488" s="1"/>
  <c r="E101" i="488"/>
  <c r="E103" i="488" s="1"/>
  <c r="R100" i="488"/>
  <c r="P97" i="488"/>
  <c r="P99" i="488" s="1"/>
  <c r="O97" i="488"/>
  <c r="O99" i="488" s="1"/>
  <c r="N97" i="488"/>
  <c r="N99" i="488" s="1"/>
  <c r="M97" i="488"/>
  <c r="M99" i="488" s="1"/>
  <c r="L97" i="488"/>
  <c r="L99" i="488" s="1"/>
  <c r="K97" i="488"/>
  <c r="K99" i="488" s="1"/>
  <c r="J97" i="488"/>
  <c r="J99" i="488" s="1"/>
  <c r="I97" i="488"/>
  <c r="I99" i="488" s="1"/>
  <c r="H97" i="488"/>
  <c r="H99" i="488" s="1"/>
  <c r="G97" i="488"/>
  <c r="G99" i="488" s="1"/>
  <c r="F97" i="488"/>
  <c r="F99" i="488" s="1"/>
  <c r="E97" i="488"/>
  <c r="E99" i="488" s="1"/>
  <c r="R96" i="488"/>
  <c r="P93" i="488"/>
  <c r="P95" i="488" s="1"/>
  <c r="O93" i="488"/>
  <c r="O95" i="488" s="1"/>
  <c r="N93" i="488"/>
  <c r="N95" i="488" s="1"/>
  <c r="M93" i="488"/>
  <c r="M95" i="488" s="1"/>
  <c r="L93" i="488"/>
  <c r="L95" i="488" s="1"/>
  <c r="K93" i="488"/>
  <c r="K95" i="488" s="1"/>
  <c r="J93" i="488"/>
  <c r="J95" i="488" s="1"/>
  <c r="I93" i="488"/>
  <c r="I95" i="488" s="1"/>
  <c r="H93" i="488"/>
  <c r="H95" i="488" s="1"/>
  <c r="G93" i="488"/>
  <c r="G95" i="488" s="1"/>
  <c r="F93" i="488"/>
  <c r="F95" i="488" s="1"/>
  <c r="E93" i="488"/>
  <c r="E95" i="488" s="1"/>
  <c r="R92" i="488"/>
  <c r="R91" i="488"/>
  <c r="R89" i="488"/>
  <c r="S89" i="488" s="1"/>
  <c r="P86" i="488"/>
  <c r="P88" i="488" s="1"/>
  <c r="O86" i="488"/>
  <c r="O88" i="488" s="1"/>
  <c r="N86" i="488"/>
  <c r="N88" i="488" s="1"/>
  <c r="M86" i="488"/>
  <c r="M88" i="488" s="1"/>
  <c r="L86" i="488"/>
  <c r="L88" i="488" s="1"/>
  <c r="K86" i="488"/>
  <c r="K88" i="488" s="1"/>
  <c r="J86" i="488"/>
  <c r="J88" i="488" s="1"/>
  <c r="I86" i="488"/>
  <c r="I88" i="488" s="1"/>
  <c r="H86" i="488"/>
  <c r="H88" i="488" s="1"/>
  <c r="G86" i="488"/>
  <c r="G88" i="488" s="1"/>
  <c r="F86" i="488"/>
  <c r="F88" i="488" s="1"/>
  <c r="E86" i="488"/>
  <c r="E88" i="488" s="1"/>
  <c r="R85" i="488"/>
  <c r="P82" i="488"/>
  <c r="P84" i="488" s="1"/>
  <c r="O82" i="488"/>
  <c r="O84" i="488" s="1"/>
  <c r="N82" i="488"/>
  <c r="N84" i="488" s="1"/>
  <c r="M82" i="488"/>
  <c r="M84" i="488" s="1"/>
  <c r="L82" i="488"/>
  <c r="L84" i="488" s="1"/>
  <c r="K82" i="488"/>
  <c r="K84" i="488" s="1"/>
  <c r="J82" i="488"/>
  <c r="J84" i="488" s="1"/>
  <c r="I82" i="488"/>
  <c r="I84" i="488" s="1"/>
  <c r="H82" i="488"/>
  <c r="H84" i="488" s="1"/>
  <c r="G82" i="488"/>
  <c r="G84" i="488" s="1"/>
  <c r="F82" i="488"/>
  <c r="F84" i="488" s="1"/>
  <c r="E82" i="488"/>
  <c r="E84" i="488" s="1"/>
  <c r="R81" i="488"/>
  <c r="P78" i="488"/>
  <c r="P80" i="488" s="1"/>
  <c r="O78" i="488"/>
  <c r="O80" i="488" s="1"/>
  <c r="N78" i="488"/>
  <c r="N80" i="488" s="1"/>
  <c r="M78" i="488"/>
  <c r="M80" i="488" s="1"/>
  <c r="L78" i="488"/>
  <c r="L80" i="488" s="1"/>
  <c r="K78" i="488"/>
  <c r="K80" i="488" s="1"/>
  <c r="J78" i="488"/>
  <c r="J80" i="488" s="1"/>
  <c r="I78" i="488"/>
  <c r="I80" i="488" s="1"/>
  <c r="H78" i="488"/>
  <c r="H80" i="488" s="1"/>
  <c r="G78" i="488"/>
  <c r="G80" i="488" s="1"/>
  <c r="F78" i="488"/>
  <c r="F80" i="488" s="1"/>
  <c r="E78" i="488"/>
  <c r="E80" i="488" s="1"/>
  <c r="R77" i="488"/>
  <c r="P74" i="488"/>
  <c r="P76" i="488" s="1"/>
  <c r="O74" i="488"/>
  <c r="O76" i="488" s="1"/>
  <c r="N74" i="488"/>
  <c r="N76" i="488" s="1"/>
  <c r="M74" i="488"/>
  <c r="M76" i="488" s="1"/>
  <c r="L74" i="488"/>
  <c r="L76" i="488" s="1"/>
  <c r="K74" i="488"/>
  <c r="K76" i="488" s="1"/>
  <c r="J74" i="488"/>
  <c r="J76" i="488" s="1"/>
  <c r="I74" i="488"/>
  <c r="I76" i="488" s="1"/>
  <c r="H74" i="488"/>
  <c r="H76" i="488" s="1"/>
  <c r="G74" i="488"/>
  <c r="G76" i="488" s="1"/>
  <c r="F74" i="488"/>
  <c r="F76" i="488" s="1"/>
  <c r="E74" i="488"/>
  <c r="E76" i="488" s="1"/>
  <c r="R73" i="488"/>
  <c r="P70" i="488"/>
  <c r="P72" i="488" s="1"/>
  <c r="O70" i="488"/>
  <c r="O72" i="488" s="1"/>
  <c r="N70" i="488"/>
  <c r="N72" i="488" s="1"/>
  <c r="M70" i="488"/>
  <c r="M72" i="488" s="1"/>
  <c r="L70" i="488"/>
  <c r="L72" i="488" s="1"/>
  <c r="K70" i="488"/>
  <c r="K72" i="488" s="1"/>
  <c r="J70" i="488"/>
  <c r="J72" i="488" s="1"/>
  <c r="I70" i="488"/>
  <c r="I72" i="488" s="1"/>
  <c r="H70" i="488"/>
  <c r="H72" i="488" s="1"/>
  <c r="G70" i="488"/>
  <c r="G72" i="488" s="1"/>
  <c r="F70" i="488"/>
  <c r="F72" i="488" s="1"/>
  <c r="E70" i="488"/>
  <c r="E72" i="488" s="1"/>
  <c r="R69" i="488"/>
  <c r="P66" i="488"/>
  <c r="P68" i="488" s="1"/>
  <c r="O66" i="488"/>
  <c r="O68" i="488" s="1"/>
  <c r="N66" i="488"/>
  <c r="N68" i="488" s="1"/>
  <c r="M66" i="488"/>
  <c r="M68" i="488" s="1"/>
  <c r="L66" i="488"/>
  <c r="L68" i="488" s="1"/>
  <c r="K66" i="488"/>
  <c r="K68" i="488" s="1"/>
  <c r="J66" i="488"/>
  <c r="J68" i="488" s="1"/>
  <c r="I66" i="488"/>
  <c r="I68" i="488" s="1"/>
  <c r="H66" i="488"/>
  <c r="H68" i="488" s="1"/>
  <c r="G66" i="488"/>
  <c r="G68" i="488" s="1"/>
  <c r="F66" i="488"/>
  <c r="F68" i="488" s="1"/>
  <c r="E66" i="488"/>
  <c r="E68" i="488" s="1"/>
  <c r="R65" i="488"/>
  <c r="R64" i="488"/>
  <c r="S64" i="488" s="1"/>
  <c r="P61" i="488"/>
  <c r="P63" i="488" s="1"/>
  <c r="O61" i="488"/>
  <c r="O63" i="488" s="1"/>
  <c r="N61" i="488"/>
  <c r="N63" i="488" s="1"/>
  <c r="M61" i="488"/>
  <c r="M63" i="488" s="1"/>
  <c r="L61" i="488"/>
  <c r="L63" i="488" s="1"/>
  <c r="K61" i="488"/>
  <c r="K63" i="488" s="1"/>
  <c r="J61" i="488"/>
  <c r="J63" i="488" s="1"/>
  <c r="I61" i="488"/>
  <c r="I63" i="488" s="1"/>
  <c r="H61" i="488"/>
  <c r="H63" i="488" s="1"/>
  <c r="G61" i="488"/>
  <c r="G63" i="488" s="1"/>
  <c r="F61" i="488"/>
  <c r="F63" i="488" s="1"/>
  <c r="E61" i="488"/>
  <c r="E63" i="488" s="1"/>
  <c r="R60" i="488"/>
  <c r="R59" i="488"/>
  <c r="S59" i="488" s="1"/>
  <c r="R57" i="488"/>
  <c r="P54" i="488"/>
  <c r="P56" i="488" s="1"/>
  <c r="O54" i="488"/>
  <c r="O56" i="488" s="1"/>
  <c r="N54" i="488"/>
  <c r="N56" i="488" s="1"/>
  <c r="M54" i="488"/>
  <c r="M56" i="488" s="1"/>
  <c r="L54" i="488"/>
  <c r="L56" i="488" s="1"/>
  <c r="K54" i="488"/>
  <c r="K56" i="488" s="1"/>
  <c r="J54" i="488"/>
  <c r="J56" i="488" s="1"/>
  <c r="I54" i="488"/>
  <c r="I56" i="488" s="1"/>
  <c r="H54" i="488"/>
  <c r="H56" i="488" s="1"/>
  <c r="G54" i="488"/>
  <c r="G56" i="488" s="1"/>
  <c r="F54" i="488"/>
  <c r="F56" i="488" s="1"/>
  <c r="E54" i="488"/>
  <c r="E56" i="488" s="1"/>
  <c r="R53" i="488"/>
  <c r="P50" i="488"/>
  <c r="P52" i="488" s="1"/>
  <c r="O50" i="488"/>
  <c r="O52" i="488" s="1"/>
  <c r="N50" i="488"/>
  <c r="N52" i="488" s="1"/>
  <c r="M50" i="488"/>
  <c r="M52" i="488" s="1"/>
  <c r="L50" i="488"/>
  <c r="L52" i="488" s="1"/>
  <c r="K50" i="488"/>
  <c r="K52" i="488" s="1"/>
  <c r="J50" i="488"/>
  <c r="J52" i="488" s="1"/>
  <c r="I50" i="488"/>
  <c r="I52" i="488" s="1"/>
  <c r="H50" i="488"/>
  <c r="H52" i="488" s="1"/>
  <c r="G50" i="488"/>
  <c r="G52" i="488" s="1"/>
  <c r="F50" i="488"/>
  <c r="F52" i="488" s="1"/>
  <c r="E50" i="488"/>
  <c r="E52" i="488" s="1"/>
  <c r="R49" i="488"/>
  <c r="R48" i="488"/>
  <c r="P45" i="488"/>
  <c r="P47" i="488" s="1"/>
  <c r="O45" i="488"/>
  <c r="O47" i="488" s="1"/>
  <c r="N45" i="488"/>
  <c r="N47" i="488" s="1"/>
  <c r="M45" i="488"/>
  <c r="M47" i="488" s="1"/>
  <c r="L45" i="488"/>
  <c r="L47" i="488" s="1"/>
  <c r="K45" i="488"/>
  <c r="K47" i="488" s="1"/>
  <c r="J45" i="488"/>
  <c r="J47" i="488" s="1"/>
  <c r="I45" i="488"/>
  <c r="I47" i="488" s="1"/>
  <c r="H45" i="488"/>
  <c r="H47" i="488" s="1"/>
  <c r="G45" i="488"/>
  <c r="G47" i="488" s="1"/>
  <c r="F45" i="488"/>
  <c r="F47" i="488" s="1"/>
  <c r="E45" i="488"/>
  <c r="E47" i="488" s="1"/>
  <c r="R44" i="488"/>
  <c r="R43" i="488"/>
  <c r="S43" i="488" s="1"/>
  <c r="R41" i="488"/>
  <c r="S41" i="488" s="1"/>
  <c r="P38" i="488"/>
  <c r="P40" i="488" s="1"/>
  <c r="O38" i="488"/>
  <c r="O40" i="488" s="1"/>
  <c r="N38" i="488"/>
  <c r="N40" i="488" s="1"/>
  <c r="M38" i="488"/>
  <c r="M40" i="488" s="1"/>
  <c r="L38" i="488"/>
  <c r="L40" i="488" s="1"/>
  <c r="K38" i="488"/>
  <c r="K40" i="488" s="1"/>
  <c r="J38" i="488"/>
  <c r="J40" i="488" s="1"/>
  <c r="I38" i="488"/>
  <c r="I40" i="488" s="1"/>
  <c r="H38" i="488"/>
  <c r="H40" i="488" s="1"/>
  <c r="G38" i="488"/>
  <c r="G40" i="488" s="1"/>
  <c r="F38" i="488"/>
  <c r="F40" i="488" s="1"/>
  <c r="E38" i="488"/>
  <c r="E40" i="488" s="1"/>
  <c r="R37" i="488"/>
  <c r="P34" i="488"/>
  <c r="P36" i="488" s="1"/>
  <c r="O34" i="488"/>
  <c r="O36" i="488" s="1"/>
  <c r="N34" i="488"/>
  <c r="N36" i="488" s="1"/>
  <c r="M34" i="488"/>
  <c r="M36" i="488" s="1"/>
  <c r="L34" i="488"/>
  <c r="L36" i="488" s="1"/>
  <c r="K34" i="488"/>
  <c r="K36" i="488" s="1"/>
  <c r="J34" i="488"/>
  <c r="J36" i="488" s="1"/>
  <c r="I34" i="488"/>
  <c r="I36" i="488" s="1"/>
  <c r="H34" i="488"/>
  <c r="H36" i="488" s="1"/>
  <c r="G34" i="488"/>
  <c r="G36" i="488" s="1"/>
  <c r="F34" i="488"/>
  <c r="F36" i="488" s="1"/>
  <c r="E34" i="488"/>
  <c r="E36" i="488" s="1"/>
  <c r="R33" i="488"/>
  <c r="P30" i="488"/>
  <c r="P32" i="488" s="1"/>
  <c r="O30" i="488"/>
  <c r="O32" i="488" s="1"/>
  <c r="N30" i="488"/>
  <c r="N32" i="488" s="1"/>
  <c r="M30" i="488"/>
  <c r="M32" i="488" s="1"/>
  <c r="L30" i="488"/>
  <c r="L32" i="488" s="1"/>
  <c r="K30" i="488"/>
  <c r="K32" i="488" s="1"/>
  <c r="J30" i="488"/>
  <c r="J32" i="488" s="1"/>
  <c r="I30" i="488"/>
  <c r="I32" i="488" s="1"/>
  <c r="H30" i="488"/>
  <c r="H32" i="488" s="1"/>
  <c r="G30" i="488"/>
  <c r="G32" i="488" s="1"/>
  <c r="F30" i="488"/>
  <c r="F32" i="488" s="1"/>
  <c r="E30" i="488"/>
  <c r="E32" i="488" s="1"/>
  <c r="R29" i="488"/>
  <c r="R28" i="488"/>
  <c r="S28" i="488" s="1"/>
  <c r="P25" i="488"/>
  <c r="P27" i="488" s="1"/>
  <c r="O25" i="488"/>
  <c r="O27" i="488" s="1"/>
  <c r="N25" i="488"/>
  <c r="N27" i="488" s="1"/>
  <c r="M25" i="488"/>
  <c r="M27" i="488" s="1"/>
  <c r="L25" i="488"/>
  <c r="L27" i="488" s="1"/>
  <c r="K25" i="488"/>
  <c r="K27" i="488" s="1"/>
  <c r="J25" i="488"/>
  <c r="J27" i="488" s="1"/>
  <c r="I25" i="488"/>
  <c r="H25" i="488"/>
  <c r="H27" i="488" s="1"/>
  <c r="G25" i="488"/>
  <c r="G27" i="488" s="1"/>
  <c r="F25" i="488"/>
  <c r="F27" i="488" s="1"/>
  <c r="E25" i="488"/>
  <c r="E27" i="488" s="1"/>
  <c r="R24" i="488"/>
  <c r="R23" i="488"/>
  <c r="R22" i="488"/>
  <c r="P19" i="488"/>
  <c r="O19" i="488"/>
  <c r="O21" i="488" s="1"/>
  <c r="N19" i="488"/>
  <c r="N21" i="488" s="1"/>
  <c r="M19" i="488"/>
  <c r="L19" i="488"/>
  <c r="L21" i="488" s="1"/>
  <c r="K21" i="488"/>
  <c r="J19" i="488"/>
  <c r="H19" i="488"/>
  <c r="H21" i="488" s="1"/>
  <c r="G19" i="488"/>
  <c r="G21" i="488" s="1"/>
  <c r="F19" i="488"/>
  <c r="E19" i="488"/>
  <c r="E21" i="488" s="1"/>
  <c r="R18" i="488"/>
  <c r="R17" i="488"/>
  <c r="S17" i="488" s="1"/>
  <c r="R15" i="488"/>
  <c r="S15" i="488" s="1"/>
  <c r="R14" i="488"/>
  <c r="S14" i="488" s="1"/>
  <c r="R13" i="488"/>
  <c r="A13" i="488"/>
  <c r="A14" i="488" s="1"/>
  <c r="A15" i="488" s="1"/>
  <c r="A16" i="488" s="1"/>
  <c r="A17" i="488" s="1"/>
  <c r="A18" i="488" s="1"/>
  <c r="A22" i="488" s="1"/>
  <c r="A23" i="488" s="1"/>
  <c r="A24" i="488" s="1"/>
  <c r="A28" i="488" s="1"/>
  <c r="A29" i="488" s="1"/>
  <c r="A33" i="488" s="1"/>
  <c r="A37" i="488" s="1"/>
  <c r="A41" i="488" s="1"/>
  <c r="A42" i="488" s="1"/>
  <c r="A43" i="488" s="1"/>
  <c r="A44" i="488" s="1"/>
  <c r="A48" i="488" s="1"/>
  <c r="A49" i="488" s="1"/>
  <c r="A53" i="488" s="1"/>
  <c r="A57" i="488" s="1"/>
  <c r="A58" i="488" s="1"/>
  <c r="A59" i="488" s="1"/>
  <c r="A60" i="488" s="1"/>
  <c r="A64" i="488" s="1"/>
  <c r="A65" i="488" s="1"/>
  <c r="A69" i="488" s="1"/>
  <c r="A73" i="488" s="1"/>
  <c r="A77" i="488" s="1"/>
  <c r="A81" i="488" s="1"/>
  <c r="A85" i="488" s="1"/>
  <c r="A89" i="488" s="1"/>
  <c r="A90" i="488" s="1"/>
  <c r="A91" i="488" s="1"/>
  <c r="A92" i="488" s="1"/>
  <c r="A96" i="488" s="1"/>
  <c r="A100" i="488" s="1"/>
  <c r="A104" i="488" s="1"/>
  <c r="A105" i="488" s="1"/>
  <c r="A109" i="488" s="1"/>
  <c r="A113" i="488" s="1"/>
  <c r="A117" i="488" s="1"/>
  <c r="A121" i="488" s="1"/>
  <c r="A122" i="488" s="1"/>
  <c r="A123" i="488" s="1"/>
  <c r="A124" i="488" s="1"/>
  <c r="A125" i="488" s="1"/>
  <c r="A126" i="488" s="1"/>
  <c r="A130" i="488" s="1"/>
  <c r="A134" i="488" s="1"/>
  <c r="A135" i="488" s="1"/>
  <c r="O12" i="176"/>
  <c r="N12" i="176"/>
  <c r="M12" i="176"/>
  <c r="L12" i="176"/>
  <c r="K12" i="176"/>
  <c r="J12" i="176"/>
  <c r="I12" i="176"/>
  <c r="H12" i="176"/>
  <c r="G12" i="176"/>
  <c r="F12" i="176"/>
  <c r="E12" i="176"/>
  <c r="D12" i="176"/>
  <c r="P10" i="176"/>
  <c r="S10" i="176" s="1"/>
  <c r="P9" i="176"/>
  <c r="R9" i="176" s="1"/>
  <c r="N2" i="176"/>
  <c r="P3" i="176" s="1"/>
  <c r="G76" i="506"/>
  <c r="F76" i="506"/>
  <c r="E76" i="506"/>
  <c r="D76" i="506"/>
  <c r="D63" i="506" s="1"/>
  <c r="C76" i="506"/>
  <c r="I73" i="506" s="1"/>
  <c r="B76" i="506"/>
  <c r="H67" i="506" s="1"/>
  <c r="M48" i="506"/>
  <c r="M47" i="506"/>
  <c r="N47" i="506" s="1"/>
  <c r="M46" i="506"/>
  <c r="N46" i="506" s="1"/>
  <c r="L45" i="506"/>
  <c r="M45" i="506" s="1"/>
  <c r="N45" i="506" s="1"/>
  <c r="L44" i="506"/>
  <c r="M44" i="506" s="1"/>
  <c r="N44" i="506" s="1"/>
  <c r="L43" i="506"/>
  <c r="M43" i="506" s="1"/>
  <c r="E39" i="506"/>
  <c r="E38" i="506"/>
  <c r="B55" i="506" s="1"/>
  <c r="C55" i="506" s="1"/>
  <c r="D55" i="506" s="1"/>
  <c r="E55" i="506" s="1"/>
  <c r="F55" i="506" s="1"/>
  <c r="G55" i="506" s="1"/>
  <c r="H55" i="506" s="1"/>
  <c r="I55" i="506" s="1"/>
  <c r="J55" i="506" s="1"/>
  <c r="K55" i="506" s="1"/>
  <c r="L55" i="506" s="1"/>
  <c r="M55" i="506" s="1"/>
  <c r="N55" i="506" s="1"/>
  <c r="D38" i="506"/>
  <c r="B54" i="506" s="1"/>
  <c r="C54" i="506" s="1"/>
  <c r="D54" i="506" s="1"/>
  <c r="E54" i="506" s="1"/>
  <c r="F54" i="506" s="1"/>
  <c r="G54" i="506" s="1"/>
  <c r="H54" i="506" s="1"/>
  <c r="C38" i="506"/>
  <c r="B53" i="506" s="1"/>
  <c r="H35" i="506"/>
  <c r="H38" i="506" s="1"/>
  <c r="B58" i="506" s="1"/>
  <c r="C58" i="506" s="1"/>
  <c r="D58" i="506" s="1"/>
  <c r="E58" i="506" s="1"/>
  <c r="F58" i="506" s="1"/>
  <c r="G58" i="506" s="1"/>
  <c r="H58" i="506" s="1"/>
  <c r="I58" i="506" s="1"/>
  <c r="J58" i="506" s="1"/>
  <c r="K58" i="506" s="1"/>
  <c r="L58" i="506" s="1"/>
  <c r="M58" i="506" s="1"/>
  <c r="N58" i="506" s="1"/>
  <c r="G35" i="506"/>
  <c r="G38" i="506" s="1"/>
  <c r="F35" i="506"/>
  <c r="F39" i="506" s="1"/>
  <c r="E34" i="506"/>
  <c r="D34" i="506"/>
  <c r="C34" i="506"/>
  <c r="E25" i="506"/>
  <c r="C8" i="506" s="1"/>
  <c r="C9" i="506" s="1"/>
  <c r="C25" i="506"/>
  <c r="B25" i="506"/>
  <c r="F24" i="506"/>
  <c r="D24" i="506"/>
  <c r="F23" i="506"/>
  <c r="D23" i="506"/>
  <c r="F22" i="506"/>
  <c r="D22" i="506"/>
  <c r="F21" i="506"/>
  <c r="D21" i="506"/>
  <c r="F20" i="506"/>
  <c r="I20" i="506" s="1"/>
  <c r="J20" i="506" s="1"/>
  <c r="O20" i="506" s="1"/>
  <c r="D20" i="506"/>
  <c r="F19" i="506"/>
  <c r="D19" i="506"/>
  <c r="F18" i="506"/>
  <c r="D18" i="506"/>
  <c r="F17" i="506"/>
  <c r="I17" i="506" s="1"/>
  <c r="J17" i="506" s="1"/>
  <c r="O17" i="506" s="1"/>
  <c r="D17" i="506"/>
  <c r="F16" i="506"/>
  <c r="D16" i="506"/>
  <c r="C84" i="471"/>
  <c r="B84" i="471"/>
  <c r="D82" i="471"/>
  <c r="D83" i="471" s="1"/>
  <c r="C82" i="471"/>
  <c r="C83" i="471" s="1"/>
  <c r="B82" i="471"/>
  <c r="B83" i="471" s="1"/>
  <c r="G77" i="471"/>
  <c r="D76" i="471"/>
  <c r="D77" i="471" s="1"/>
  <c r="D78" i="471" s="1"/>
  <c r="C76" i="471"/>
  <c r="C77" i="471" s="1"/>
  <c r="B76" i="471"/>
  <c r="B67" i="471"/>
  <c r="B66" i="471"/>
  <c r="A66" i="471"/>
  <c r="B65" i="471"/>
  <c r="A65" i="471"/>
  <c r="E50" i="471"/>
  <c r="D50" i="471"/>
  <c r="E49" i="471"/>
  <c r="D49" i="471"/>
  <c r="E48" i="471"/>
  <c r="D48" i="471"/>
  <c r="E47" i="471"/>
  <c r="D47" i="471"/>
  <c r="I46" i="471"/>
  <c r="C34" i="471"/>
  <c r="F34" i="471" s="1"/>
  <c r="B34" i="471"/>
  <c r="E34" i="471" s="1"/>
  <c r="C31" i="471"/>
  <c r="B31" i="471"/>
  <c r="C30" i="471"/>
  <c r="B30" i="471"/>
  <c r="C29" i="471"/>
  <c r="B29" i="471"/>
  <c r="C28" i="471"/>
  <c r="B28" i="471"/>
  <c r="C27" i="471"/>
  <c r="B27" i="471"/>
  <c r="C26" i="471"/>
  <c r="B26" i="471"/>
  <c r="C25" i="471"/>
  <c r="B25" i="471"/>
  <c r="C24" i="471"/>
  <c r="B24" i="471"/>
  <c r="C18" i="471"/>
  <c r="F18" i="471" s="1"/>
  <c r="B18" i="471"/>
  <c r="E18" i="471" s="1"/>
  <c r="C14" i="471"/>
  <c r="B14" i="471"/>
  <c r="C13" i="471"/>
  <c r="B13" i="471"/>
  <c r="C12" i="471"/>
  <c r="B12" i="471"/>
  <c r="C11" i="471"/>
  <c r="B11" i="471"/>
  <c r="C10" i="471"/>
  <c r="B10" i="471"/>
  <c r="C9" i="471"/>
  <c r="B9" i="471"/>
  <c r="C8" i="471"/>
  <c r="B8" i="471"/>
  <c r="C7" i="471"/>
  <c r="B7" i="471"/>
  <c r="F5" i="471"/>
  <c r="E5" i="471"/>
  <c r="F4" i="471"/>
  <c r="E4" i="471"/>
  <c r="D59" i="482"/>
  <c r="J53" i="482"/>
  <c r="G53" i="482"/>
  <c r="F53" i="482"/>
  <c r="D53" i="482"/>
  <c r="C53" i="482"/>
  <c r="B53" i="482"/>
  <c r="M45" i="482"/>
  <c r="I45" i="482"/>
  <c r="E45" i="482"/>
  <c r="M44" i="482"/>
  <c r="I44" i="482"/>
  <c r="E44" i="482"/>
  <c r="M41" i="482"/>
  <c r="I41" i="482"/>
  <c r="E41" i="482"/>
  <c r="M38" i="482"/>
  <c r="I38" i="482"/>
  <c r="E38" i="482"/>
  <c r="M37" i="482"/>
  <c r="I37" i="482"/>
  <c r="E37" i="482"/>
  <c r="M36" i="482"/>
  <c r="I36" i="482"/>
  <c r="E36" i="482"/>
  <c r="M35" i="482"/>
  <c r="I35" i="482"/>
  <c r="E35" i="482"/>
  <c r="M34" i="482"/>
  <c r="I34" i="482"/>
  <c r="E34" i="482"/>
  <c r="M33" i="482"/>
  <c r="I33" i="482"/>
  <c r="E33" i="482"/>
  <c r="M32" i="482"/>
  <c r="I32" i="482"/>
  <c r="E32" i="482"/>
  <c r="M31" i="482"/>
  <c r="I31" i="482"/>
  <c r="E31" i="482"/>
  <c r="M30" i="482"/>
  <c r="I30" i="482"/>
  <c r="E30" i="482"/>
  <c r="M27" i="482"/>
  <c r="I27" i="482"/>
  <c r="E27" i="482"/>
  <c r="K22" i="482"/>
  <c r="H22" i="482"/>
  <c r="H53" i="482" s="1"/>
  <c r="E22" i="482"/>
  <c r="M20" i="482"/>
  <c r="I20" i="482"/>
  <c r="E20" i="482"/>
  <c r="M18" i="482"/>
  <c r="I18" i="482"/>
  <c r="E18" i="482"/>
  <c r="L16" i="482"/>
  <c r="I16" i="482"/>
  <c r="E16" i="482"/>
  <c r="M14" i="482"/>
  <c r="I14" i="482"/>
  <c r="E14" i="482"/>
  <c r="M12" i="482"/>
  <c r="I12" i="482"/>
  <c r="E12" i="482"/>
  <c r="M10" i="482"/>
  <c r="I10" i="482"/>
  <c r="E10" i="482"/>
  <c r="M8" i="482"/>
  <c r="I8" i="482"/>
  <c r="E8" i="482"/>
  <c r="M6" i="482"/>
  <c r="I6" i="482"/>
  <c r="E6" i="482"/>
  <c r="N43" i="176"/>
  <c r="H43" i="176"/>
  <c r="N22" i="176"/>
  <c r="M22" i="176"/>
  <c r="J22" i="176"/>
  <c r="G22" i="176"/>
  <c r="A17" i="212"/>
  <c r="A18" i="212" s="1"/>
  <c r="A19" i="212" s="1"/>
  <c r="A20" i="212" s="1"/>
  <c r="A21" i="212" s="1"/>
  <c r="A22" i="212" s="1"/>
  <c r="A23" i="212" s="1"/>
  <c r="A24" i="212" s="1"/>
  <c r="A25" i="212" s="1"/>
  <c r="A26" i="212" s="1"/>
  <c r="A27" i="212" s="1"/>
  <c r="A28" i="212" s="1"/>
  <c r="A29" i="212" s="1"/>
  <c r="A30" i="212" s="1"/>
  <c r="A31" i="212" s="1"/>
  <c r="A32" i="212" s="1"/>
  <c r="A33" i="212" s="1"/>
  <c r="A34" i="212" s="1"/>
  <c r="A35" i="212" s="1"/>
  <c r="A36" i="212" s="1"/>
  <c r="A37" i="212" s="1"/>
  <c r="A38" i="212" s="1"/>
  <c r="A39" i="212" s="1"/>
  <c r="A40" i="212" s="1"/>
  <c r="A41" i="212" s="1"/>
  <c r="A42" i="212" s="1"/>
  <c r="A43" i="212" s="1"/>
  <c r="A44" i="212" s="1"/>
  <c r="A45" i="212" s="1"/>
  <c r="A46" i="212" s="1"/>
  <c r="A47" i="212" s="1"/>
  <c r="A48" i="212" s="1"/>
  <c r="A49" i="212" s="1"/>
  <c r="A50" i="212" s="1"/>
  <c r="A51" i="212" s="1"/>
  <c r="A52" i="212" s="1"/>
  <c r="A53" i="212" s="1"/>
  <c r="A54" i="212" s="1"/>
  <c r="A55" i="212" s="1"/>
  <c r="A56" i="212" s="1"/>
  <c r="A57" i="212" s="1"/>
  <c r="A58" i="212" s="1"/>
  <c r="A59" i="212" s="1"/>
  <c r="A60" i="212" s="1"/>
  <c r="A61" i="212" s="1"/>
  <c r="G54" i="37"/>
  <c r="G44" i="37"/>
  <c r="G36" i="37"/>
  <c r="G28" i="37"/>
  <c r="G17" i="37"/>
  <c r="A13" i="37"/>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K3" i="37"/>
  <c r="D72" i="121"/>
  <c r="D71" i="121"/>
  <c r="G58" i="121"/>
  <c r="G46" i="121"/>
  <c r="G35" i="121"/>
  <c r="G30" i="121"/>
  <c r="G28" i="121"/>
  <c r="G22" i="121"/>
  <c r="G20" i="121"/>
  <c r="I20" i="121" s="1"/>
  <c r="G19" i="121"/>
  <c r="G17" i="121"/>
  <c r="G15"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A51" i="121" s="1"/>
  <c r="A52" i="121" s="1"/>
  <c r="A53" i="121" s="1"/>
  <c r="A54" i="121" s="1"/>
  <c r="A55" i="121" s="1"/>
  <c r="A56" i="121" s="1"/>
  <c r="A57" i="121" s="1"/>
  <c r="A58" i="121" s="1"/>
  <c r="A59" i="121" s="1"/>
  <c r="A60" i="121" s="1"/>
  <c r="A61" i="121" s="1"/>
  <c r="A62" i="121" s="1"/>
  <c r="A63" i="121" s="1"/>
  <c r="K3" i="121"/>
  <c r="F16" i="266"/>
  <c r="F15" i="266"/>
  <c r="F14" i="266"/>
  <c r="F13" i="266"/>
  <c r="A13" i="266"/>
  <c r="A14" i="266" s="1"/>
  <c r="A15" i="266" s="1"/>
  <c r="A16" i="266" s="1"/>
  <c r="A17" i="266" s="1"/>
  <c r="A18" i="266" s="1"/>
  <c r="A19" i="266" s="1"/>
  <c r="A20" i="266" s="1"/>
  <c r="A21" i="266" s="1"/>
  <c r="A22" i="266" s="1"/>
  <c r="A23" i="266" s="1"/>
  <c r="A24" i="266" s="1"/>
  <c r="A25" i="266" s="1"/>
  <c r="A26" i="266" s="1"/>
  <c r="A27" i="266" s="1"/>
  <c r="A28" i="266" s="1"/>
  <c r="A29" i="266" s="1"/>
  <c r="A30" i="266" s="1"/>
  <c r="A31" i="266" s="1"/>
  <c r="A32" i="266" s="1"/>
  <c r="A33" i="266" s="1"/>
  <c r="A34" i="266" s="1"/>
  <c r="A35" i="266" s="1"/>
  <c r="A36" i="266" s="1"/>
  <c r="A37" i="266" s="1"/>
  <c r="A38" i="266" s="1"/>
  <c r="A39" i="266" s="1"/>
  <c r="A40" i="266" s="1"/>
  <c r="A41" i="266" s="1"/>
  <c r="A42" i="266" s="1"/>
  <c r="F12" i="266"/>
  <c r="H31" i="292"/>
  <c r="G29" i="292"/>
  <c r="G27" i="292"/>
  <c r="E18" i="292"/>
  <c r="E16" i="292"/>
  <c r="A14" i="292"/>
  <c r="A15" i="292" s="1"/>
  <c r="A16" i="292" s="1"/>
  <c r="A17" i="292" s="1"/>
  <c r="A18" i="292" s="1"/>
  <c r="A19" i="292" s="1"/>
  <c r="A20" i="292" s="1"/>
  <c r="A21" i="292" s="1"/>
  <c r="A22" i="292" s="1"/>
  <c r="A23" i="292" s="1"/>
  <c r="A24" i="292" s="1"/>
  <c r="A25" i="292" s="1"/>
  <c r="A26" i="292" s="1"/>
  <c r="A27" i="292" s="1"/>
  <c r="A28" i="292" s="1"/>
  <c r="A29" i="292" s="1"/>
  <c r="A30" i="292" s="1"/>
  <c r="A31" i="292" s="1"/>
  <c r="A32" i="292" s="1"/>
  <c r="A33" i="292" s="1"/>
  <c r="A34" i="292" s="1"/>
  <c r="A35" i="292" s="1"/>
  <c r="A36" i="292" s="1"/>
  <c r="A37" i="292" s="1"/>
  <c r="A38" i="292" s="1"/>
  <c r="A39" i="292" s="1"/>
  <c r="A40" i="292" s="1"/>
  <c r="A41" i="292" s="1"/>
  <c r="G25" i="291"/>
  <c r="E17" i="291"/>
  <c r="E16" i="291"/>
  <c r="A14" i="291"/>
  <c r="A15" i="291" s="1"/>
  <c r="A16" i="291" s="1"/>
  <c r="A17" i="291" s="1"/>
  <c r="A18" i="291" s="1"/>
  <c r="A19" i="291" s="1"/>
  <c r="A20" i="291" s="1"/>
  <c r="A21" i="291" s="1"/>
  <c r="A22" i="291" s="1"/>
  <c r="A23" i="291" s="1"/>
  <c r="A24" i="291" s="1"/>
  <c r="A25" i="291" s="1"/>
  <c r="A26" i="291" s="1"/>
  <c r="A27" i="291" s="1"/>
  <c r="A28" i="291" s="1"/>
  <c r="A29" i="291" s="1"/>
  <c r="A30" i="291" s="1"/>
  <c r="A31" i="291" s="1"/>
  <c r="A32" i="291" s="1"/>
  <c r="A33" i="291" s="1"/>
  <c r="A34" i="291" s="1"/>
  <c r="A35" i="291" s="1"/>
  <c r="A36" i="291" s="1"/>
  <c r="A37" i="291" s="1"/>
  <c r="A38" i="291" s="1"/>
  <c r="A39" i="291" s="1"/>
  <c r="A40" i="291" s="1"/>
  <c r="A17" i="27"/>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H392" i="131"/>
  <c r="J395" i="131" s="1"/>
  <c r="G392" i="131"/>
  <c r="I395" i="131" s="1"/>
  <c r="A361" i="131"/>
  <c r="A362" i="131" s="1"/>
  <c r="A363" i="131" s="1"/>
  <c r="A364" i="131" s="1"/>
  <c r="A365" i="131" s="1"/>
  <c r="A366" i="131" s="1"/>
  <c r="A367" i="131" s="1"/>
  <c r="A368" i="131" s="1"/>
  <c r="A369" i="131" s="1"/>
  <c r="A370" i="131" s="1"/>
  <c r="A371" i="131" s="1"/>
  <c r="A372" i="131" s="1"/>
  <c r="A373" i="131" s="1"/>
  <c r="A374" i="131" s="1"/>
  <c r="A375" i="131" s="1"/>
  <c r="A376" i="131" s="1"/>
  <c r="A377" i="131" s="1"/>
  <c r="A378" i="131" s="1"/>
  <c r="A379" i="131" s="1"/>
  <c r="A380" i="131" s="1"/>
  <c r="A381" i="131" s="1"/>
  <c r="A382" i="131" s="1"/>
  <c r="A383" i="131" s="1"/>
  <c r="A384" i="131" s="1"/>
  <c r="A385" i="131" s="1"/>
  <c r="A386" i="131" s="1"/>
  <c r="G343" i="131"/>
  <c r="H312" i="131"/>
  <c r="G312" i="131"/>
  <c r="H311" i="131"/>
  <c r="G311" i="131"/>
  <c r="H310" i="131"/>
  <c r="G310" i="131"/>
  <c r="H309" i="131"/>
  <c r="G309" i="131"/>
  <c r="H308" i="131"/>
  <c r="G308" i="131"/>
  <c r="A291" i="131"/>
  <c r="A292" i="131" s="1"/>
  <c r="A293" i="131" s="1"/>
  <c r="A294" i="131" s="1"/>
  <c r="A295" i="131" s="1"/>
  <c r="A296" i="131" s="1"/>
  <c r="A297" i="131" s="1"/>
  <c r="A298" i="131" s="1"/>
  <c r="A299" i="131" s="1"/>
  <c r="A300" i="131" s="1"/>
  <c r="A301" i="131" s="1"/>
  <c r="A302" i="131" s="1"/>
  <c r="A303" i="131" s="1"/>
  <c r="A304" i="131" s="1"/>
  <c r="A305" i="131" s="1"/>
  <c r="A306" i="131" s="1"/>
  <c r="A307" i="131" s="1"/>
  <c r="A308" i="131" s="1"/>
  <c r="A309" i="131" s="1"/>
  <c r="A310" i="131" s="1"/>
  <c r="A311" i="131" s="1"/>
  <c r="A312" i="131" s="1"/>
  <c r="A313" i="131" s="1"/>
  <c r="A314" i="131" s="1"/>
  <c r="A315" i="131" s="1"/>
  <c r="A316" i="131" s="1"/>
  <c r="A317" i="131" s="1"/>
  <c r="A318" i="131" s="1"/>
  <c r="A319" i="131" s="1"/>
  <c r="A320" i="131" s="1"/>
  <c r="A321" i="131" s="1"/>
  <c r="A322" i="131" s="1"/>
  <c r="A323" i="131" s="1"/>
  <c r="A324" i="131" s="1"/>
  <c r="A325" i="131" s="1"/>
  <c r="A326" i="131" s="1"/>
  <c r="A327" i="131" s="1"/>
  <c r="A328" i="131" s="1"/>
  <c r="A329" i="131" s="1"/>
  <c r="A330" i="131" s="1"/>
  <c r="A331" i="131" s="1"/>
  <c r="A332" i="131" s="1"/>
  <c r="A333" i="131" s="1"/>
  <c r="A334" i="131" s="1"/>
  <c r="A335" i="131" s="1"/>
  <c r="A336" i="131" s="1"/>
  <c r="A337" i="131" s="1"/>
  <c r="A338" i="131" s="1"/>
  <c r="A339" i="131" s="1"/>
  <c r="A340" i="131" s="1"/>
  <c r="A341" i="131" s="1"/>
  <c r="A342" i="131" s="1"/>
  <c r="A343" i="131" s="1"/>
  <c r="A344" i="131" s="1"/>
  <c r="A345" i="131" s="1"/>
  <c r="A346" i="131" s="1"/>
  <c r="A347" i="131" s="1"/>
  <c r="A348" i="131" s="1"/>
  <c r="A349" i="131" s="1"/>
  <c r="A224" i="131"/>
  <c r="A225" i="131" s="1"/>
  <c r="A226" i="131" s="1"/>
  <c r="A227" i="131" s="1"/>
  <c r="A228" i="131" s="1"/>
  <c r="A229" i="131" s="1"/>
  <c r="A230" i="131" s="1"/>
  <c r="A231" i="131" s="1"/>
  <c r="A232" i="131" s="1"/>
  <c r="A233" i="131" s="1"/>
  <c r="A234" i="131" s="1"/>
  <c r="A235" i="131" s="1"/>
  <c r="A236" i="131" s="1"/>
  <c r="A237" i="131" s="1"/>
  <c r="A238" i="131" s="1"/>
  <c r="A239" i="131" s="1"/>
  <c r="A240" i="131" s="1"/>
  <c r="A241" i="131" s="1"/>
  <c r="A242" i="131" s="1"/>
  <c r="A243" i="131" s="1"/>
  <c r="A244" i="131" s="1"/>
  <c r="A245" i="131" s="1"/>
  <c r="A246" i="131" s="1"/>
  <c r="A247" i="131" s="1"/>
  <c r="A248" i="131" s="1"/>
  <c r="A249" i="131" s="1"/>
  <c r="A250" i="131" s="1"/>
  <c r="A251" i="131" s="1"/>
  <c r="A252" i="131" s="1"/>
  <c r="A253" i="131" s="1"/>
  <c r="A254" i="131" s="1"/>
  <c r="A255" i="131" s="1"/>
  <c r="A256" i="131" s="1"/>
  <c r="A257" i="131" s="1"/>
  <c r="A258" i="131" s="1"/>
  <c r="A259" i="131" s="1"/>
  <c r="A260" i="131" s="1"/>
  <c r="A261" i="131" s="1"/>
  <c r="A262" i="131" s="1"/>
  <c r="A263" i="131" s="1"/>
  <c r="A264" i="131" s="1"/>
  <c r="A265" i="131" s="1"/>
  <c r="A266" i="131" s="1"/>
  <c r="A267" i="131" s="1"/>
  <c r="A268" i="131" s="1"/>
  <c r="A269" i="131" s="1"/>
  <c r="A270" i="131" s="1"/>
  <c r="A271" i="131" s="1"/>
  <c r="A272" i="131" s="1"/>
  <c r="A273" i="131" s="1"/>
  <c r="A274" i="131" s="1"/>
  <c r="A275" i="131" s="1"/>
  <c r="A276" i="131" s="1"/>
  <c r="A277" i="131" s="1"/>
  <c r="A278" i="131" s="1"/>
  <c r="A279" i="131" s="1"/>
  <c r="H166" i="131"/>
  <c r="E78" i="37" s="1"/>
  <c r="G166" i="131"/>
  <c r="E61" i="121" s="1"/>
  <c r="G158" i="131"/>
  <c r="A152" i="131"/>
  <c r="A153" i="131" s="1"/>
  <c r="A154" i="131" s="1"/>
  <c r="A155" i="131" s="1"/>
  <c r="A156" i="131" s="1"/>
  <c r="A157" i="131" s="1"/>
  <c r="A158" i="131" s="1"/>
  <c r="A159" i="131" s="1"/>
  <c r="A160" i="131" s="1"/>
  <c r="A161" i="131" s="1"/>
  <c r="A162" i="131" s="1"/>
  <c r="A163" i="131" s="1"/>
  <c r="A164" i="131" s="1"/>
  <c r="A165" i="131" s="1"/>
  <c r="A166" i="131" s="1"/>
  <c r="A167" i="131" s="1"/>
  <c r="A168" i="131" s="1"/>
  <c r="A169" i="131" s="1"/>
  <c r="A170" i="131" s="1"/>
  <c r="A171" i="131" s="1"/>
  <c r="A172" i="131" s="1"/>
  <c r="A173" i="131" s="1"/>
  <c r="A174" i="131" s="1"/>
  <c r="A175" i="131" s="1"/>
  <c r="A176" i="131" s="1"/>
  <c r="A177" i="131" s="1"/>
  <c r="A178" i="131" s="1"/>
  <c r="A179" i="131" s="1"/>
  <c r="A180" i="131" s="1"/>
  <c r="A181" i="131" s="1"/>
  <c r="A182" i="131" s="1"/>
  <c r="A183" i="131" s="1"/>
  <c r="A184" i="131" s="1"/>
  <c r="A185" i="131" s="1"/>
  <c r="A186" i="131" s="1"/>
  <c r="A187" i="131" s="1"/>
  <c r="A188" i="131" s="1"/>
  <c r="A189" i="131" s="1"/>
  <c r="A190" i="131" s="1"/>
  <c r="A191" i="131" s="1"/>
  <c r="A192" i="131" s="1"/>
  <c r="A193" i="131" s="1"/>
  <c r="A194" i="131" s="1"/>
  <c r="A195" i="131" s="1"/>
  <c r="A196" i="131" s="1"/>
  <c r="A197" i="131" s="1"/>
  <c r="A198" i="131" s="1"/>
  <c r="A199" i="131" s="1"/>
  <c r="A200" i="131" s="1"/>
  <c r="A201" i="131" s="1"/>
  <c r="A202" i="131" s="1"/>
  <c r="A203" i="131" s="1"/>
  <c r="A204" i="131" s="1"/>
  <c r="A205" i="131" s="1"/>
  <c r="A206" i="131" s="1"/>
  <c r="A207" i="131" s="1"/>
  <c r="A208" i="131" s="1"/>
  <c r="A209" i="131" s="1"/>
  <c r="A210" i="131" s="1"/>
  <c r="A211" i="131" s="1"/>
  <c r="A212" i="131" s="1"/>
  <c r="A213" i="131" s="1"/>
  <c r="G140" i="131"/>
  <c r="H139" i="131"/>
  <c r="H138" i="131"/>
  <c r="E37" i="37"/>
  <c r="R121" i="131"/>
  <c r="U120" i="131"/>
  <c r="T120" i="131"/>
  <c r="S120" i="131"/>
  <c r="Q120" i="131"/>
  <c r="P120" i="131"/>
  <c r="O120" i="131"/>
  <c r="U119" i="131"/>
  <c r="T119" i="131"/>
  <c r="S119" i="131"/>
  <c r="Q119" i="131"/>
  <c r="P119" i="131"/>
  <c r="O119" i="131"/>
  <c r="U118" i="131"/>
  <c r="T118" i="131"/>
  <c r="S118" i="131"/>
  <c r="Q118" i="131"/>
  <c r="P118" i="131"/>
  <c r="O118" i="131"/>
  <c r="O117" i="131"/>
  <c r="N117" i="131"/>
  <c r="G106" i="131"/>
  <c r="G19" i="291" s="1"/>
  <c r="G98" i="131"/>
  <c r="G97" i="131"/>
  <c r="G95" i="131"/>
  <c r="G94" i="131"/>
  <c r="H92" i="131"/>
  <c r="H90" i="131"/>
  <c r="G90" i="131"/>
  <c r="H88" i="131"/>
  <c r="H86" i="131"/>
  <c r="H85" i="131"/>
  <c r="H83" i="131"/>
  <c r="H81" i="131"/>
  <c r="H79" i="131"/>
  <c r="A77" i="131"/>
  <c r="A78" i="131" s="1"/>
  <c r="A79" i="131" s="1"/>
  <c r="A80" i="131" s="1"/>
  <c r="A81" i="131" s="1"/>
  <c r="A82" i="131" s="1"/>
  <c r="A83" i="131" s="1"/>
  <c r="A84" i="131" s="1"/>
  <c r="A85" i="131" s="1"/>
  <c r="A86" i="131" s="1"/>
  <c r="A87" i="131" s="1"/>
  <c r="A88" i="131" s="1"/>
  <c r="A89" i="131" s="1"/>
  <c r="A90" i="131" s="1"/>
  <c r="A91" i="131" s="1"/>
  <c r="A92" i="131" s="1"/>
  <c r="A93" i="131" s="1"/>
  <c r="A94" i="131" s="1"/>
  <c r="A95" i="131" s="1"/>
  <c r="A96" i="131" s="1"/>
  <c r="A97" i="131" s="1"/>
  <c r="A98" i="131" s="1"/>
  <c r="A99" i="131" s="1"/>
  <c r="A100" i="131" s="1"/>
  <c r="A101" i="131" s="1"/>
  <c r="A102" i="131" s="1"/>
  <c r="A103" i="131" s="1"/>
  <c r="A104" i="131" s="1"/>
  <c r="A105" i="131" s="1"/>
  <c r="A106" i="131" s="1"/>
  <c r="A107" i="131" s="1"/>
  <c r="A108" i="131" s="1"/>
  <c r="A109" i="131" s="1"/>
  <c r="A110" i="131" s="1"/>
  <c r="A111" i="131" s="1"/>
  <c r="A112" i="131" s="1"/>
  <c r="A113" i="131" s="1"/>
  <c r="A114" i="131" s="1"/>
  <c r="A115" i="131" s="1"/>
  <c r="A116" i="131" s="1"/>
  <c r="A117" i="131" s="1"/>
  <c r="A118" i="131" s="1"/>
  <c r="A119" i="131" s="1"/>
  <c r="A120" i="131" s="1"/>
  <c r="A121" i="131" s="1"/>
  <c r="A122" i="131" s="1"/>
  <c r="A123" i="131" s="1"/>
  <c r="A124" i="131" s="1"/>
  <c r="A125" i="131" s="1"/>
  <c r="A126" i="131" s="1"/>
  <c r="A127" i="131" s="1"/>
  <c r="A128" i="131" s="1"/>
  <c r="A129" i="131" s="1"/>
  <c r="A130" i="131" s="1"/>
  <c r="A131" i="131" s="1"/>
  <c r="A132" i="131" s="1"/>
  <c r="A133" i="131" s="1"/>
  <c r="A134" i="131" s="1"/>
  <c r="A135" i="131" s="1"/>
  <c r="A136" i="131" s="1"/>
  <c r="A137" i="131" s="1"/>
  <c r="A138" i="131" s="1"/>
  <c r="A139" i="131" s="1"/>
  <c r="A140" i="131" s="1"/>
  <c r="O61" i="131"/>
  <c r="H61" i="131"/>
  <c r="G61" i="131"/>
  <c r="O59" i="131"/>
  <c r="H54" i="131"/>
  <c r="G54" i="131"/>
  <c r="H48" i="131"/>
  <c r="G48" i="131"/>
  <c r="A11" i="131"/>
  <c r="A12" i="131" s="1"/>
  <c r="A13" i="131" s="1"/>
  <c r="A14" i="131" s="1"/>
  <c r="A15" i="131" s="1"/>
  <c r="A16" i="131" s="1"/>
  <c r="A17" i="131" s="1"/>
  <c r="A18" i="131" s="1"/>
  <c r="A19" i="131" s="1"/>
  <c r="A20" i="131" s="1"/>
  <c r="A21" i="131" s="1"/>
  <c r="A22" i="131" s="1"/>
  <c r="A23" i="131" s="1"/>
  <c r="A24" i="131" s="1"/>
  <c r="A25" i="131" s="1"/>
  <c r="A26" i="131" s="1"/>
  <c r="A27" i="131" s="1"/>
  <c r="A28" i="131" s="1"/>
  <c r="A29" i="131" s="1"/>
  <c r="A30" i="131" s="1"/>
  <c r="A31" i="131" s="1"/>
  <c r="A32" i="131" s="1"/>
  <c r="A33" i="131" s="1"/>
  <c r="A34" i="131" s="1"/>
  <c r="A35" i="131" s="1"/>
  <c r="A36" i="131" s="1"/>
  <c r="A37" i="131" s="1"/>
  <c r="A38" i="131" s="1"/>
  <c r="A39" i="131" s="1"/>
  <c r="A40" i="131" s="1"/>
  <c r="A41" i="131" s="1"/>
  <c r="A42" i="131" s="1"/>
  <c r="A43" i="131" s="1"/>
  <c r="A44" i="131" s="1"/>
  <c r="A45" i="131" s="1"/>
  <c r="A46" i="131" s="1"/>
  <c r="A47" i="131" s="1"/>
  <c r="A48" i="131" s="1"/>
  <c r="A49" i="131" s="1"/>
  <c r="A50" i="131" s="1"/>
  <c r="A51" i="131" s="1"/>
  <c r="A52" i="131" s="1"/>
  <c r="A53" i="131" s="1"/>
  <c r="A54" i="131" s="1"/>
  <c r="A55" i="131" s="1"/>
  <c r="A56" i="131" s="1"/>
  <c r="A57" i="131" s="1"/>
  <c r="A58" i="131" s="1"/>
  <c r="A59" i="131" s="1"/>
  <c r="A60" i="131" s="1"/>
  <c r="A61" i="131" s="1"/>
  <c r="A62" i="131" s="1"/>
  <c r="A63" i="131" s="1"/>
  <c r="A64" i="131" s="1"/>
  <c r="A65" i="131" s="1"/>
  <c r="AA64" i="477"/>
  <c r="X64" i="477"/>
  <c r="S64" i="477"/>
  <c r="P64" i="477"/>
  <c r="M64" i="477"/>
  <c r="H64" i="477"/>
  <c r="G61" i="477"/>
  <c r="Z60" i="477"/>
  <c r="R60" i="477"/>
  <c r="J60" i="477"/>
  <c r="G59" i="477"/>
  <c r="AC58" i="477"/>
  <c r="G58" i="477" s="1"/>
  <c r="G57" i="477"/>
  <c r="G56" i="477"/>
  <c r="AB55" i="477"/>
  <c r="AC55" i="477" s="1"/>
  <c r="Z55" i="477"/>
  <c r="T55" i="477"/>
  <c r="U55" i="477" s="1"/>
  <c r="O55" i="477"/>
  <c r="O64" i="477" s="1"/>
  <c r="G54" i="477"/>
  <c r="AB53" i="477"/>
  <c r="AC53" i="477" s="1"/>
  <c r="Z53" i="477"/>
  <c r="Q53" i="477"/>
  <c r="R53" i="477" s="1"/>
  <c r="J53" i="477"/>
  <c r="V51" i="477"/>
  <c r="V52" i="477" s="1"/>
  <c r="V53" i="477" s="1"/>
  <c r="V54" i="477" s="1"/>
  <c r="V55" i="477" s="1"/>
  <c r="V56" i="477" s="1"/>
  <c r="V57" i="477" s="1"/>
  <c r="V58" i="477" s="1"/>
  <c r="V59" i="477" s="1"/>
  <c r="V60" i="477" s="1"/>
  <c r="V61" i="477" s="1"/>
  <c r="V62" i="477" s="1"/>
  <c r="V63" i="477" s="1"/>
  <c r="V64" i="477" s="1"/>
  <c r="K51" i="477"/>
  <c r="K52" i="477" s="1"/>
  <c r="K53" i="477" s="1"/>
  <c r="K54" i="477" s="1"/>
  <c r="K55" i="477" s="1"/>
  <c r="K56" i="477" s="1"/>
  <c r="K57" i="477" s="1"/>
  <c r="K58" i="477" s="1"/>
  <c r="K59" i="477" s="1"/>
  <c r="K60" i="477" s="1"/>
  <c r="K61" i="477" s="1"/>
  <c r="K62" i="477" s="1"/>
  <c r="K63" i="477" s="1"/>
  <c r="K64" i="477" s="1"/>
  <c r="A51" i="477"/>
  <c r="A52" i="477" s="1"/>
  <c r="A53" i="477" s="1"/>
  <c r="A54" i="477" s="1"/>
  <c r="A55" i="477" s="1"/>
  <c r="A56" i="477" s="1"/>
  <c r="A57" i="477" s="1"/>
  <c r="A58" i="477" s="1"/>
  <c r="A59" i="477" s="1"/>
  <c r="A60" i="477" s="1"/>
  <c r="A61" i="477" s="1"/>
  <c r="A62" i="477" s="1"/>
  <c r="A63" i="477" s="1"/>
  <c r="A64" i="477" s="1"/>
  <c r="AA31" i="477"/>
  <c r="X31" i="477"/>
  <c r="S31" i="477"/>
  <c r="P31" i="477"/>
  <c r="M31" i="477"/>
  <c r="H31" i="477"/>
  <c r="D31" i="477"/>
  <c r="U29" i="477"/>
  <c r="O29" i="477"/>
  <c r="G28" i="477"/>
  <c r="Z27" i="477"/>
  <c r="R27" i="477"/>
  <c r="J27" i="477"/>
  <c r="G26" i="477"/>
  <c r="AC25" i="477"/>
  <c r="G23" i="477"/>
  <c r="AB22" i="477"/>
  <c r="AC22" i="477" s="1"/>
  <c r="Z22" i="477"/>
  <c r="T22" i="477"/>
  <c r="U22" i="477" s="1"/>
  <c r="O22" i="477"/>
  <c r="G21" i="477"/>
  <c r="AB20" i="477"/>
  <c r="AC20" i="477" s="1"/>
  <c r="Z20" i="477"/>
  <c r="Q20" i="477"/>
  <c r="R20" i="477" s="1"/>
  <c r="J20" i="477"/>
  <c r="V18" i="477"/>
  <c r="V19" i="477" s="1"/>
  <c r="V20" i="477" s="1"/>
  <c r="V21" i="477" s="1"/>
  <c r="V22" i="477" s="1"/>
  <c r="V23" i="477" s="1"/>
  <c r="V24" i="477" s="1"/>
  <c r="V25" i="477" s="1"/>
  <c r="V26" i="477" s="1"/>
  <c r="V27" i="477" s="1"/>
  <c r="V28" i="477" s="1"/>
  <c r="V29" i="477" s="1"/>
  <c r="V30" i="477" s="1"/>
  <c r="V31" i="477" s="1"/>
  <c r="K18" i="477"/>
  <c r="K19" i="477" s="1"/>
  <c r="K20" i="477" s="1"/>
  <c r="K21" i="477" s="1"/>
  <c r="K22" i="477" s="1"/>
  <c r="K23" i="477" s="1"/>
  <c r="K24" i="477" s="1"/>
  <c r="K25" i="477" s="1"/>
  <c r="K26" i="477" s="1"/>
  <c r="K27" i="477" s="1"/>
  <c r="K28" i="477" s="1"/>
  <c r="K29" i="477" s="1"/>
  <c r="K30" i="477" s="1"/>
  <c r="K31" i="477" s="1"/>
  <c r="A18" i="477"/>
  <c r="A19" i="477" s="1"/>
  <c r="A20" i="477" s="1"/>
  <c r="A21" i="477" s="1"/>
  <c r="A22" i="477" s="1"/>
  <c r="A23" i="477" s="1"/>
  <c r="A24" i="477" s="1"/>
  <c r="A25" i="477" s="1"/>
  <c r="A26" i="477" s="1"/>
  <c r="A27" i="477" s="1"/>
  <c r="A28" i="477" s="1"/>
  <c r="A29" i="477" s="1"/>
  <c r="A30" i="477" s="1"/>
  <c r="A31" i="477" s="1"/>
  <c r="D68" i="455"/>
  <c r="G67" i="455"/>
  <c r="H64" i="455" s="1"/>
  <c r="I65" i="455"/>
  <c r="F65" i="455"/>
  <c r="E65" i="455"/>
  <c r="I64" i="455"/>
  <c r="F64" i="455"/>
  <c r="E64" i="455"/>
  <c r="I63" i="455"/>
  <c r="F63" i="455"/>
  <c r="E63" i="455"/>
  <c r="D56" i="455"/>
  <c r="F57" i="455" s="1"/>
  <c r="D28" i="455"/>
  <c r="E35" i="221"/>
  <c r="E28" i="221"/>
  <c r="E17" i="221"/>
  <c r="D64" i="221"/>
  <c r="E58" i="221"/>
  <c r="G57" i="221"/>
  <c r="G56" i="221"/>
  <c r="G55" i="221"/>
  <c r="G54" i="221"/>
  <c r="G53" i="221"/>
  <c r="G52" i="221"/>
  <c r="G51" i="221"/>
  <c r="G50" i="221"/>
  <c r="G49" i="221"/>
  <c r="G48" i="221"/>
  <c r="G46" i="221"/>
  <c r="E46" i="221"/>
  <c r="G45" i="221"/>
  <c r="G44" i="221"/>
  <c r="G43" i="221"/>
  <c r="G42" i="221"/>
  <c r="G41" i="221"/>
  <c r="G40" i="221"/>
  <c r="G39" i="221"/>
  <c r="G38" i="221"/>
  <c r="G37" i="221"/>
  <c r="G36" i="221"/>
  <c r="G35" i="221"/>
  <c r="G34" i="221"/>
  <c r="G33" i="221"/>
  <c r="G32" i="221"/>
  <c r="G31" i="221"/>
  <c r="G30" i="221"/>
  <c r="G29" i="221"/>
  <c r="G28" i="221"/>
  <c r="G27" i="221"/>
  <c r="G26" i="221"/>
  <c r="G25" i="221"/>
  <c r="G24" i="221"/>
  <c r="G23" i="221"/>
  <c r="G22" i="221"/>
  <c r="G21" i="221"/>
  <c r="G20" i="221"/>
  <c r="G19" i="221"/>
  <c r="G18" i="221"/>
  <c r="G17" i="221"/>
  <c r="G16" i="221"/>
  <c r="G15" i="221"/>
  <c r="G14" i="221"/>
  <c r="G13" i="221"/>
  <c r="A13" i="221"/>
  <c r="A14" i="221" s="1"/>
  <c r="A15" i="221" s="1"/>
  <c r="A16" i="221" s="1"/>
  <c r="A17" i="221" s="1"/>
  <c r="A18" i="221" s="1"/>
  <c r="A19" i="221" s="1"/>
  <c r="A20" i="221" s="1"/>
  <c r="A21" i="221" s="1"/>
  <c r="A22" i="221" s="1"/>
  <c r="A23" i="221" s="1"/>
  <c r="A24" i="221" s="1"/>
  <c r="A25" i="221" s="1"/>
  <c r="A26" i="221" s="1"/>
  <c r="A27" i="221" s="1"/>
  <c r="A28" i="221" s="1"/>
  <c r="A29" i="221" s="1"/>
  <c r="A30" i="221" s="1"/>
  <c r="A31" i="221" s="1"/>
  <c r="A32" i="221" s="1"/>
  <c r="A33" i="221" s="1"/>
  <c r="A34" i="221" s="1"/>
  <c r="A35" i="221" s="1"/>
  <c r="A36" i="221" s="1"/>
  <c r="A37" i="221" s="1"/>
  <c r="A38" i="221" s="1"/>
  <c r="A39" i="221" s="1"/>
  <c r="A40" i="221" s="1"/>
  <c r="A41" i="221" s="1"/>
  <c r="A42" i="221" s="1"/>
  <c r="A43" i="221" s="1"/>
  <c r="A44" i="221" s="1"/>
  <c r="A45" i="221" s="1"/>
  <c r="A46" i="221" s="1"/>
  <c r="A47" i="221" s="1"/>
  <c r="A48" i="221" s="1"/>
  <c r="A49" i="221" s="1"/>
  <c r="A50" i="221" s="1"/>
  <c r="A51" i="221" s="1"/>
  <c r="A52" i="221" s="1"/>
  <c r="A53" i="221" s="1"/>
  <c r="A54" i="221" s="1"/>
  <c r="A55" i="221" s="1"/>
  <c r="A56" i="221" s="1"/>
  <c r="A57" i="221" s="1"/>
  <c r="A58" i="221" s="1"/>
  <c r="A59" i="221" s="1"/>
  <c r="A60" i="221" s="1"/>
  <c r="A15" i="1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E63" i="218"/>
  <c r="H56" i="218"/>
  <c r="H55" i="218"/>
  <c r="H54" i="218"/>
  <c r="H53" i="218"/>
  <c r="H52" i="218"/>
  <c r="H51" i="218"/>
  <c r="H50" i="218"/>
  <c r="H49" i="218"/>
  <c r="H48" i="218"/>
  <c r="H46" i="218"/>
  <c r="H44" i="218"/>
  <c r="H43" i="218"/>
  <c r="H42" i="218"/>
  <c r="H41" i="218"/>
  <c r="H40" i="218"/>
  <c r="H39" i="218"/>
  <c r="H38" i="218"/>
  <c r="H36" i="218"/>
  <c r="H35" i="218"/>
  <c r="H33" i="218"/>
  <c r="H32" i="218"/>
  <c r="H31" i="218"/>
  <c r="H30" i="218"/>
  <c r="H29" i="218"/>
  <c r="H28" i="218"/>
  <c r="H26" i="218"/>
  <c r="H25" i="218"/>
  <c r="H24" i="218"/>
  <c r="H23" i="218"/>
  <c r="H22" i="218"/>
  <c r="H21" i="218"/>
  <c r="H20" i="218"/>
  <c r="H19" i="218"/>
  <c r="H18" i="218"/>
  <c r="H17" i="218"/>
  <c r="H15" i="218"/>
  <c r="H14" i="218"/>
  <c r="H13" i="218"/>
  <c r="A13" i="218"/>
  <c r="A14" i="218" s="1"/>
  <c r="A15" i="218" s="1"/>
  <c r="A16" i="218" s="1"/>
  <c r="A17" i="218" s="1"/>
  <c r="A18" i="218" s="1"/>
  <c r="A19" i="218" s="1"/>
  <c r="A20" i="218" s="1"/>
  <c r="A21" i="218" s="1"/>
  <c r="A22" i="218" s="1"/>
  <c r="A23" i="218" s="1"/>
  <c r="A24" i="218" s="1"/>
  <c r="A25" i="218" s="1"/>
  <c r="A26" i="218" s="1"/>
  <c r="A27" i="218" s="1"/>
  <c r="A28" i="218" s="1"/>
  <c r="A29" i="218" s="1"/>
  <c r="A30" i="218" s="1"/>
  <c r="A31" i="218" s="1"/>
  <c r="A32" i="218" s="1"/>
  <c r="A33" i="218" s="1"/>
  <c r="A34" i="218" s="1"/>
  <c r="A35" i="218" s="1"/>
  <c r="A36" i="218" s="1"/>
  <c r="A37" i="218" s="1"/>
  <c r="A38" i="218" s="1"/>
  <c r="A39" i="218" s="1"/>
  <c r="A40" i="218" s="1"/>
  <c r="A41" i="218" s="1"/>
  <c r="A42" i="218" s="1"/>
  <c r="A43" i="218" s="1"/>
  <c r="A44" i="218" s="1"/>
  <c r="A45" i="218" s="1"/>
  <c r="A46" i="218" s="1"/>
  <c r="A47" i="218" s="1"/>
  <c r="A48" i="218" s="1"/>
  <c r="A49" i="218" s="1"/>
  <c r="A50" i="218" s="1"/>
  <c r="A51" i="218" s="1"/>
  <c r="A52" i="218" s="1"/>
  <c r="A53" i="218" s="1"/>
  <c r="A54" i="218" s="1"/>
  <c r="A55" i="218" s="1"/>
  <c r="A56" i="218" s="1"/>
  <c r="A57" i="218" s="1"/>
  <c r="A58" i="218" s="1"/>
  <c r="A59" i="218" s="1"/>
  <c r="A297" i="7"/>
  <c r="A298" i="7" s="1"/>
  <c r="A299" i="7" s="1"/>
  <c r="A300" i="7" s="1"/>
  <c r="A301" i="7" s="1"/>
  <c r="A302" i="7" s="1"/>
  <c r="A303" i="7" s="1"/>
  <c r="A304" i="7" s="1"/>
  <c r="A305" i="7" s="1"/>
  <c r="A306" i="7" s="1"/>
  <c r="A307" i="7" s="1"/>
  <c r="A308" i="7" s="1"/>
  <c r="A309" i="7" s="1"/>
  <c r="A310" i="7" s="1"/>
  <c r="A311" i="7" s="1"/>
  <c r="A312" i="7" s="1"/>
  <c r="A313" i="7" s="1"/>
  <c r="A314" i="7" s="1"/>
  <c r="V235" i="7"/>
  <c r="X234" i="7"/>
  <c r="W234" i="7"/>
  <c r="T234" i="7"/>
  <c r="V239" i="7" s="1"/>
  <c r="X233" i="7"/>
  <c r="W233" i="7"/>
  <c r="T233" i="7"/>
  <c r="V238" i="7" s="1"/>
  <c r="X232" i="7"/>
  <c r="W232" i="7"/>
  <c r="T232" i="7"/>
  <c r="V237" i="7" s="1"/>
  <c r="F231" i="7"/>
  <c r="E231" i="7"/>
  <c r="A229" i="7"/>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F184" i="7"/>
  <c r="H250" i="131" s="1"/>
  <c r="A159" i="7"/>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E96" i="7"/>
  <c r="O94" i="7"/>
  <c r="S92" i="7" s="1"/>
  <c r="S93" i="7" s="1"/>
  <c r="S94" i="7" s="1"/>
  <c r="S95" i="7" s="1"/>
  <c r="S96" i="7" s="1"/>
  <c r="S97" i="7" s="1"/>
  <c r="S98" i="7" s="1"/>
  <c r="S99" i="7" s="1"/>
  <c r="S100" i="7" s="1"/>
  <c r="S101" i="7" s="1"/>
  <c r="S102" i="7" s="1"/>
  <c r="S103" i="7" s="1"/>
  <c r="S104" i="7" s="1"/>
  <c r="O93" i="7"/>
  <c r="P92" i="7" s="1"/>
  <c r="P93" i="7" s="1"/>
  <c r="P94" i="7" s="1"/>
  <c r="P95" i="7" s="1"/>
  <c r="P96" i="7" s="1"/>
  <c r="P97" i="7" s="1"/>
  <c r="P98" i="7" s="1"/>
  <c r="P99" i="7" s="1"/>
  <c r="P100" i="7" s="1"/>
  <c r="P101" i="7" s="1"/>
  <c r="P102" i="7" s="1"/>
  <c r="P103" i="7" s="1"/>
  <c r="P104" i="7" s="1"/>
  <c r="A87" i="7"/>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F35" i="7"/>
  <c r="J23" i="7"/>
  <c r="E23" i="7"/>
  <c r="F22" i="7"/>
  <c r="A14" i="7"/>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L65" i="493" l="1"/>
  <c r="F40" i="7"/>
  <c r="P135" i="488"/>
  <c r="B68" i="471"/>
  <c r="F311" i="7"/>
  <c r="L19" i="493"/>
  <c r="R19" i="493" s="1"/>
  <c r="Q19" i="493" s="1"/>
  <c r="L42" i="493"/>
  <c r="R42" i="493" s="1"/>
  <c r="Q42" i="493" s="1"/>
  <c r="AC42" i="493" s="1"/>
  <c r="AD42" i="493" s="1"/>
  <c r="AH42" i="493" s="1"/>
  <c r="AJ42" i="493" s="1"/>
  <c r="L45" i="493"/>
  <c r="R45" i="493" s="1"/>
  <c r="Q45" i="493" s="1"/>
  <c r="L49" i="493"/>
  <c r="L28" i="493"/>
  <c r="R28" i="493" s="1"/>
  <c r="Q28" i="493" s="1"/>
  <c r="AC28" i="493" s="1"/>
  <c r="AE28" i="493" s="1"/>
  <c r="AI28" i="493" s="1"/>
  <c r="AK28" i="493" s="1"/>
  <c r="L31" i="493"/>
  <c r="L63" i="493"/>
  <c r="R63" i="493" s="1"/>
  <c r="Q63" i="493" s="1"/>
  <c r="E27" i="7"/>
  <c r="L27" i="493"/>
  <c r="L33" i="493"/>
  <c r="L35" i="493"/>
  <c r="L37" i="493"/>
  <c r="S37" i="493" s="1"/>
  <c r="F34" i="7"/>
  <c r="F310" i="7"/>
  <c r="L47" i="493"/>
  <c r="S47" i="493" s="1"/>
  <c r="L52" i="493"/>
  <c r="R52" i="493" s="1"/>
  <c r="Q52" i="493" s="1"/>
  <c r="AC52" i="493" s="1"/>
  <c r="AE52" i="493" s="1"/>
  <c r="AI52" i="493" s="1"/>
  <c r="AK52" i="493" s="1"/>
  <c r="L54" i="493"/>
  <c r="R54" i="493" s="1"/>
  <c r="Q54" i="493" s="1"/>
  <c r="L38" i="493"/>
  <c r="L34" i="493"/>
  <c r="L36" i="493"/>
  <c r="L62" i="493"/>
  <c r="L4" i="493"/>
  <c r="S4" i="493" s="1"/>
  <c r="L17" i="493"/>
  <c r="S17" i="493" s="1"/>
  <c r="L48" i="493"/>
  <c r="R48" i="493" s="1"/>
  <c r="Q48" i="493" s="1"/>
  <c r="L23" i="493"/>
  <c r="S23" i="493" s="1"/>
  <c r="L25" i="493"/>
  <c r="L30" i="493"/>
  <c r="L39" i="493"/>
  <c r="L58" i="493"/>
  <c r="L61" i="493"/>
  <c r="S61" i="493" s="1"/>
  <c r="O31" i="477"/>
  <c r="G16" i="506"/>
  <c r="C15" i="471"/>
  <c r="C19" i="471" s="1"/>
  <c r="C20" i="471" s="1"/>
  <c r="H70" i="506"/>
  <c r="I22" i="482"/>
  <c r="U238" i="7"/>
  <c r="T238" i="7" s="1"/>
  <c r="S238" i="7" s="1"/>
  <c r="R238" i="7" s="1"/>
  <c r="Q238" i="7" s="1"/>
  <c r="P238" i="7" s="1"/>
  <c r="O238" i="7" s="1"/>
  <c r="N238" i="7" s="1"/>
  <c r="M238" i="7" s="1"/>
  <c r="L238" i="7" s="1"/>
  <c r="K238" i="7" s="1"/>
  <c r="J238" i="7" s="1"/>
  <c r="W238" i="7" s="1"/>
  <c r="K59" i="496"/>
  <c r="K61" i="496" s="1"/>
  <c r="N10" i="482"/>
  <c r="Q10" i="482" s="1"/>
  <c r="I67" i="506"/>
  <c r="I184" i="496"/>
  <c r="J92" i="7"/>
  <c r="K92" i="7" s="1"/>
  <c r="L95" i="7" s="1"/>
  <c r="Q92" i="7" s="1"/>
  <c r="I69" i="506"/>
  <c r="I53" i="482"/>
  <c r="N38" i="482"/>
  <c r="Q38" i="482" s="1"/>
  <c r="C32" i="471"/>
  <c r="C35" i="471" s="1"/>
  <c r="C36" i="471" s="1"/>
  <c r="G19" i="506"/>
  <c r="J135" i="488"/>
  <c r="AC78" i="493"/>
  <c r="AE78" i="493" s="1"/>
  <c r="AI78" i="493" s="1"/>
  <c r="AK78" i="493" s="1"/>
  <c r="N36" i="482"/>
  <c r="Q36" i="482" s="1"/>
  <c r="I71" i="506"/>
  <c r="C135" i="488"/>
  <c r="P59" i="496"/>
  <c r="P61" i="496" s="1"/>
  <c r="N8" i="482"/>
  <c r="Q8" i="482" s="1"/>
  <c r="N37" i="482"/>
  <c r="N20" i="482"/>
  <c r="Q20" i="482" s="1"/>
  <c r="D84" i="471"/>
  <c r="I17" i="121"/>
  <c r="I22" i="121"/>
  <c r="U237" i="7"/>
  <c r="T237" i="7" s="1"/>
  <c r="S237" i="7" s="1"/>
  <c r="R237" i="7" s="1"/>
  <c r="Q237" i="7" s="1"/>
  <c r="P237" i="7" s="1"/>
  <c r="O237" i="7" s="1"/>
  <c r="N237" i="7" s="1"/>
  <c r="M237" i="7" s="1"/>
  <c r="L237" i="7" s="1"/>
  <c r="K237" i="7" s="1"/>
  <c r="J237" i="7" s="1"/>
  <c r="W237" i="7" s="1"/>
  <c r="U239" i="7"/>
  <c r="T239" i="7" s="1"/>
  <c r="S239" i="7" s="1"/>
  <c r="R239" i="7" s="1"/>
  <c r="Q239" i="7" s="1"/>
  <c r="P239" i="7" s="1"/>
  <c r="O239" i="7" s="1"/>
  <c r="N239" i="7" s="1"/>
  <c r="M239" i="7" s="1"/>
  <c r="L239" i="7" s="1"/>
  <c r="K239" i="7" s="1"/>
  <c r="J239" i="7" s="1"/>
  <c r="W239" i="7" s="1"/>
  <c r="Z31" i="477"/>
  <c r="Z64" i="477"/>
  <c r="G60" i="477"/>
  <c r="H313" i="131"/>
  <c r="H19" i="292"/>
  <c r="K8" i="121"/>
  <c r="L9" i="121" s="1"/>
  <c r="N44" i="482"/>
  <c r="Q44" i="482" s="1"/>
  <c r="C66" i="471"/>
  <c r="G22" i="506"/>
  <c r="H22" i="506" s="1"/>
  <c r="F43" i="7"/>
  <c r="N12" i="482"/>
  <c r="Q12" i="482" s="1"/>
  <c r="O27" i="482"/>
  <c r="N30" i="482"/>
  <c r="Q30" i="482" s="1"/>
  <c r="N33" i="482"/>
  <c r="Q33" i="482" s="1"/>
  <c r="H5" i="471"/>
  <c r="I5" i="471" s="1"/>
  <c r="J5" i="471" s="1"/>
  <c r="E38" i="471"/>
  <c r="E31" i="7"/>
  <c r="R184" i="496"/>
  <c r="G59" i="496"/>
  <c r="G61" i="496" s="1"/>
  <c r="Q117" i="496"/>
  <c r="F160" i="7" s="1"/>
  <c r="H226" i="131" s="1"/>
  <c r="F55" i="37" s="1"/>
  <c r="G55" i="37" s="1"/>
  <c r="E29" i="7"/>
  <c r="E28" i="7"/>
  <c r="E23" i="218" s="1"/>
  <c r="F30" i="218"/>
  <c r="G313" i="131"/>
  <c r="I35" i="121"/>
  <c r="I46" i="121"/>
  <c r="I58" i="121"/>
  <c r="V118" i="131"/>
  <c r="V120" i="131"/>
  <c r="H156" i="131"/>
  <c r="H99" i="131"/>
  <c r="G16" i="292" s="1"/>
  <c r="I19" i="121"/>
  <c r="I28" i="121"/>
  <c r="K8" i="37"/>
  <c r="M9" i="37" s="1"/>
  <c r="N14" i="482"/>
  <c r="P14" i="482" s="1"/>
  <c r="I16" i="506"/>
  <c r="K16" i="506" s="1"/>
  <c r="I74" i="506"/>
  <c r="I22" i="506"/>
  <c r="I75" i="506"/>
  <c r="N45" i="482"/>
  <c r="Q45" i="482" s="1"/>
  <c r="I70" i="506"/>
  <c r="E86" i="506"/>
  <c r="R135" i="488"/>
  <c r="M28" i="176"/>
  <c r="G28" i="176"/>
  <c r="O12" i="482"/>
  <c r="N27" i="482"/>
  <c r="P27" i="482" s="1"/>
  <c r="N34" i="482"/>
  <c r="Q34" i="482" s="1"/>
  <c r="I72" i="506"/>
  <c r="I68" i="506"/>
  <c r="U233" i="7"/>
  <c r="F234" i="7" s="1"/>
  <c r="I2" i="7"/>
  <c r="J3" i="7" s="1"/>
  <c r="L96" i="7"/>
  <c r="T92" i="7" s="1"/>
  <c r="F31" i="218"/>
  <c r="E21" i="121"/>
  <c r="E59" i="121" s="1"/>
  <c r="G136" i="131"/>
  <c r="G305" i="131" s="1"/>
  <c r="G318" i="131" s="1"/>
  <c r="U234" i="7"/>
  <c r="F235" i="7" s="1"/>
  <c r="F28" i="218"/>
  <c r="F44" i="218"/>
  <c r="J31" i="477"/>
  <c r="H58" i="218"/>
  <c r="U232" i="7"/>
  <c r="F29" i="218"/>
  <c r="J64" i="477"/>
  <c r="H157" i="131"/>
  <c r="H153" i="131"/>
  <c r="H140" i="131"/>
  <c r="E15" i="37" s="1"/>
  <c r="E76" i="37" s="1"/>
  <c r="F22" i="266"/>
  <c r="F33" i="266" s="1"/>
  <c r="F35" i="266" s="1"/>
  <c r="H155" i="131"/>
  <c r="E29" i="455"/>
  <c r="E47" i="455" s="1"/>
  <c r="K395" i="131"/>
  <c r="I30" i="121"/>
  <c r="J3" i="212"/>
  <c r="K4" i="212" s="1"/>
  <c r="N17" i="176"/>
  <c r="H22" i="176"/>
  <c r="L41" i="493"/>
  <c r="R41" i="493" s="1"/>
  <c r="Q41" i="493" s="1"/>
  <c r="G37" i="121"/>
  <c r="G44" i="121"/>
  <c r="I44" i="121" s="1"/>
  <c r="G14" i="37"/>
  <c r="L57" i="493"/>
  <c r="S57" i="493" s="1"/>
  <c r="L22" i="493"/>
  <c r="R22" i="493" s="1"/>
  <c r="Q22" i="493" s="1"/>
  <c r="AC22" i="493" s="1"/>
  <c r="AE22" i="493" s="1"/>
  <c r="AI22" i="493" s="1"/>
  <c r="AK22" i="493" s="1"/>
  <c r="E84" i="506"/>
  <c r="E85" i="506" s="1"/>
  <c r="E87" i="506" s="1"/>
  <c r="E88" i="506" s="1"/>
  <c r="E63" i="506"/>
  <c r="L53" i="493"/>
  <c r="S53" i="493" s="1"/>
  <c r="Q37" i="482"/>
  <c r="G57" i="121"/>
  <c r="I57" i="121" s="1"/>
  <c r="K53" i="482"/>
  <c r="M22" i="482"/>
  <c r="N22" i="482" s="1"/>
  <c r="Q22" i="482" s="1"/>
  <c r="G18" i="471"/>
  <c r="H18" i="471" s="1"/>
  <c r="I18" i="471" s="1"/>
  <c r="J22" i="506"/>
  <c r="O22" i="506" s="1"/>
  <c r="P22" i="506" s="1"/>
  <c r="Q22" i="506" s="1"/>
  <c r="R22" i="506" s="1"/>
  <c r="S22" i="506" s="1"/>
  <c r="T22" i="506" s="1"/>
  <c r="U22" i="506" s="1"/>
  <c r="V22" i="506" s="1"/>
  <c r="W22" i="506" s="1"/>
  <c r="X22" i="506" s="1"/>
  <c r="Y22" i="506" s="1"/>
  <c r="Z22" i="506" s="1"/>
  <c r="AA22" i="506" s="1"/>
  <c r="K22" i="506"/>
  <c r="Q53" i="496"/>
  <c r="F132" i="7" s="1"/>
  <c r="H201" i="131" s="1"/>
  <c r="L20" i="493"/>
  <c r="S20" i="493" s="1"/>
  <c r="H14" i="494"/>
  <c r="K46" i="493"/>
  <c r="AA46" i="493" s="1"/>
  <c r="AB46" i="493" s="1"/>
  <c r="L55" i="493"/>
  <c r="S55" i="493" s="1"/>
  <c r="L13" i="493"/>
  <c r="S13" i="493" s="1"/>
  <c r="E49" i="7"/>
  <c r="E199" i="7" s="1"/>
  <c r="G22" i="37"/>
  <c r="G50" i="37"/>
  <c r="G33" i="37"/>
  <c r="G51" i="37"/>
  <c r="G61" i="37"/>
  <c r="K73" i="491"/>
  <c r="F28" i="176"/>
  <c r="L28" i="176"/>
  <c r="L53" i="482"/>
  <c r="M16" i="482"/>
  <c r="N16" i="482" s="1"/>
  <c r="Q16" i="482" s="1"/>
  <c r="K33" i="493"/>
  <c r="B32" i="471"/>
  <c r="B35" i="471" s="1"/>
  <c r="B36" i="471" s="1"/>
  <c r="G49" i="471"/>
  <c r="G39" i="506"/>
  <c r="N135" i="488"/>
  <c r="Q42" i="496"/>
  <c r="F130" i="7" s="1"/>
  <c r="H199" i="131" s="1"/>
  <c r="F24" i="37" s="1"/>
  <c r="N32" i="482"/>
  <c r="Q32" i="482" s="1"/>
  <c r="B15" i="471"/>
  <c r="B19" i="471" s="1"/>
  <c r="B40" i="471" s="1"/>
  <c r="H39" i="506"/>
  <c r="N48" i="506"/>
  <c r="O48" i="506" s="1"/>
  <c r="Q29" i="496"/>
  <c r="F127" i="7" s="1"/>
  <c r="H196" i="131" s="1"/>
  <c r="Q145" i="496"/>
  <c r="H184" i="496"/>
  <c r="L16" i="493"/>
  <c r="R16" i="493" s="1"/>
  <c r="Q16" i="493" s="1"/>
  <c r="AC16" i="493" s="1"/>
  <c r="AD16" i="493" s="1"/>
  <c r="AH16" i="493" s="1"/>
  <c r="AJ16" i="493" s="1"/>
  <c r="I19" i="506"/>
  <c r="H40" i="506"/>
  <c r="D84" i="506"/>
  <c r="D85" i="506" s="1"/>
  <c r="L124" i="488"/>
  <c r="Q40" i="488"/>
  <c r="E107" i="7" s="1"/>
  <c r="D25" i="221" s="1"/>
  <c r="Q52" i="488"/>
  <c r="E109" i="7" s="1"/>
  <c r="G178" i="131" s="1"/>
  <c r="F31" i="121" s="1"/>
  <c r="G31" i="121" s="1"/>
  <c r="I31" i="121" s="1"/>
  <c r="Q84" i="488"/>
  <c r="E116" i="7" s="1"/>
  <c r="G185" i="131" s="1"/>
  <c r="F42" i="121" s="1"/>
  <c r="Q99" i="488"/>
  <c r="H135" i="488"/>
  <c r="Q133" i="488"/>
  <c r="Q126" i="496"/>
  <c r="F162" i="7" s="1"/>
  <c r="H228" i="131" s="1"/>
  <c r="F58" i="37" s="1"/>
  <c r="G58" i="37" s="1"/>
  <c r="N18" i="482"/>
  <c r="Q18" i="482" s="1"/>
  <c r="N31" i="482"/>
  <c r="N41" i="482"/>
  <c r="Q41" i="482" s="1"/>
  <c r="C65" i="471"/>
  <c r="C68" i="471" s="1"/>
  <c r="S124" i="488"/>
  <c r="Q47" i="496"/>
  <c r="F131" i="7" s="1"/>
  <c r="H200" i="131" s="1"/>
  <c r="F26" i="37" s="1"/>
  <c r="G26" i="37" s="1"/>
  <c r="R173" i="496"/>
  <c r="O47" i="506"/>
  <c r="H59" i="496"/>
  <c r="H61" i="496" s="1"/>
  <c r="L43" i="493"/>
  <c r="S43" i="493" s="1"/>
  <c r="F52" i="218"/>
  <c r="A202" i="7"/>
  <c r="A203" i="7"/>
  <c r="A204" i="7" s="1"/>
  <c r="A205" i="7" s="1"/>
  <c r="A206" i="7" s="1"/>
  <c r="A207" i="7" s="1"/>
  <c r="A208" i="7" s="1"/>
  <c r="A209" i="7" s="1"/>
  <c r="A210" i="7" s="1"/>
  <c r="A211" i="7" s="1"/>
  <c r="A212" i="7" s="1"/>
  <c r="A213" i="7" s="1"/>
  <c r="A214" i="7" s="1"/>
  <c r="A215" i="7" s="1"/>
  <c r="A61" i="218"/>
  <c r="A60" i="218"/>
  <c r="A62" i="218" s="1"/>
  <c r="A63" i="218" s="1"/>
  <c r="A61" i="221"/>
  <c r="A63" i="221" s="1"/>
  <c r="A64" i="221" s="1"/>
  <c r="A62" i="221"/>
  <c r="A53" i="7"/>
  <c r="A54" i="7" s="1"/>
  <c r="A55" i="7" s="1"/>
  <c r="A56" i="7" s="1"/>
  <c r="A57" i="7" s="1"/>
  <c r="A58" i="7" s="1"/>
  <c r="A59" i="7" s="1"/>
  <c r="A60" i="7" s="1"/>
  <c r="A61" i="7" s="1"/>
  <c r="A62" i="7" s="1"/>
  <c r="A63" i="7" s="1"/>
  <c r="A64" i="7" s="1"/>
  <c r="A65" i="7" s="1"/>
  <c r="A66" i="7" s="1"/>
  <c r="A67" i="7" s="1"/>
  <c r="A68" i="7" s="1"/>
  <c r="A69" i="7" s="1"/>
  <c r="A70" i="7" s="1"/>
  <c r="A71" i="7" s="1"/>
  <c r="A72" i="7" s="1"/>
  <c r="A52" i="7"/>
  <c r="F233" i="7"/>
  <c r="E236" i="7"/>
  <c r="F15" i="218"/>
  <c r="F37" i="218"/>
  <c r="F43" i="218"/>
  <c r="F18" i="218"/>
  <c r="F20" i="218"/>
  <c r="G176" i="131"/>
  <c r="F25" i="121" s="1"/>
  <c r="G25" i="121" s="1"/>
  <c r="I25" i="121" s="1"/>
  <c r="F23" i="7"/>
  <c r="T93" i="7"/>
  <c r="T94" i="7" s="1"/>
  <c r="T95" i="7" s="1"/>
  <c r="T96" i="7" s="1"/>
  <c r="T97" i="7" s="1"/>
  <c r="T98" i="7" s="1"/>
  <c r="T99" i="7" s="1"/>
  <c r="T100" i="7" s="1"/>
  <c r="T101" i="7" s="1"/>
  <c r="T102" i="7" s="1"/>
  <c r="T103" i="7" s="1"/>
  <c r="T104" i="7" s="1"/>
  <c r="F19" i="218"/>
  <c r="T117" i="131"/>
  <c r="T121" i="131" s="1"/>
  <c r="S117" i="131"/>
  <c r="S121" i="131" s="1"/>
  <c r="Q117" i="131"/>
  <c r="Q121" i="131" s="1"/>
  <c r="P117" i="131"/>
  <c r="P121" i="131" s="1"/>
  <c r="N121" i="131"/>
  <c r="AC31" i="477"/>
  <c r="G22" i="477"/>
  <c r="U31" i="477"/>
  <c r="AC64" i="477"/>
  <c r="U64" i="477"/>
  <c r="G55" i="477"/>
  <c r="J2" i="131"/>
  <c r="K3" i="131" s="1"/>
  <c r="H14" i="131"/>
  <c r="E19" i="221"/>
  <c r="E37" i="221"/>
  <c r="E57" i="455"/>
  <c r="D57" i="455" s="1"/>
  <c r="H65" i="455"/>
  <c r="H63" i="455"/>
  <c r="U117" i="131"/>
  <c r="U121" i="131" s="1"/>
  <c r="G53" i="477"/>
  <c r="R64" i="477"/>
  <c r="V119" i="131"/>
  <c r="E20" i="221"/>
  <c r="E26" i="221"/>
  <c r="E44" i="221"/>
  <c r="E57" i="221"/>
  <c r="R31" i="477"/>
  <c r="G20" i="477"/>
  <c r="G27" i="477"/>
  <c r="G99" i="131"/>
  <c r="G16" i="291" s="1"/>
  <c r="F39" i="266"/>
  <c r="E40" i="266" s="1"/>
  <c r="E34" i="266" s="1"/>
  <c r="L4" i="212"/>
  <c r="F29" i="455"/>
  <c r="O121" i="131"/>
  <c r="H136" i="131"/>
  <c r="M9" i="121"/>
  <c r="K9" i="121" s="1"/>
  <c r="I15" i="121"/>
  <c r="H154" i="131"/>
  <c r="H160" i="131"/>
  <c r="F46" i="218"/>
  <c r="F22" i="218"/>
  <c r="K43" i="176"/>
  <c r="G45" i="37"/>
  <c r="P16" i="176"/>
  <c r="G26" i="121"/>
  <c r="I26" i="121" s="1"/>
  <c r="G33" i="121"/>
  <c r="I33" i="121" s="1"/>
  <c r="G25" i="37"/>
  <c r="L17" i="176"/>
  <c r="G43" i="176"/>
  <c r="M43" i="176"/>
  <c r="G17" i="176"/>
  <c r="M17" i="176"/>
  <c r="H17" i="176"/>
  <c r="I22" i="176"/>
  <c r="O22" i="176"/>
  <c r="H28" i="176"/>
  <c r="N28" i="176"/>
  <c r="I43" i="176"/>
  <c r="O43" i="176"/>
  <c r="I17" i="176"/>
  <c r="O17" i="176"/>
  <c r="D22" i="176"/>
  <c r="P20" i="176"/>
  <c r="I28" i="176"/>
  <c r="O28" i="176"/>
  <c r="P35" i="176"/>
  <c r="D43" i="176"/>
  <c r="J43" i="176"/>
  <c r="D17" i="176"/>
  <c r="J17" i="176"/>
  <c r="E22" i="176"/>
  <c r="K22" i="176"/>
  <c r="D28" i="176"/>
  <c r="J28" i="176"/>
  <c r="E43" i="176"/>
  <c r="P40" i="176"/>
  <c r="P48" i="176"/>
  <c r="E17" i="176"/>
  <c r="K17" i="176"/>
  <c r="P15" i="176"/>
  <c r="F22" i="176"/>
  <c r="L22" i="176"/>
  <c r="E28" i="176"/>
  <c r="K28" i="176"/>
  <c r="P21" i="176"/>
  <c r="F43" i="176"/>
  <c r="L43" i="176"/>
  <c r="B57" i="482"/>
  <c r="B61" i="482" s="1"/>
  <c r="F38" i="506"/>
  <c r="B56" i="506" s="1"/>
  <c r="G21" i="506"/>
  <c r="H21" i="506" s="1"/>
  <c r="I21" i="506"/>
  <c r="D66" i="471"/>
  <c r="P20" i="506"/>
  <c r="Q20" i="506" s="1"/>
  <c r="R20" i="506" s="1"/>
  <c r="S20" i="506" s="1"/>
  <c r="T20" i="506" s="1"/>
  <c r="U20" i="506" s="1"/>
  <c r="V20" i="506" s="1"/>
  <c r="W20" i="506" s="1"/>
  <c r="X20" i="506" s="1"/>
  <c r="Y20" i="506" s="1"/>
  <c r="Z20" i="506" s="1"/>
  <c r="AA20" i="506" s="1"/>
  <c r="N43" i="506"/>
  <c r="O43" i="506" s="1"/>
  <c r="Q14" i="482"/>
  <c r="F38" i="471"/>
  <c r="A58" i="471" s="1"/>
  <c r="G34" i="471"/>
  <c r="P17" i="506"/>
  <c r="Q17" i="506" s="1"/>
  <c r="R17" i="506" s="1"/>
  <c r="S17" i="506" s="1"/>
  <c r="T17" i="506" s="1"/>
  <c r="U17" i="506" s="1"/>
  <c r="V17" i="506" s="1"/>
  <c r="W17" i="506" s="1"/>
  <c r="X17" i="506" s="1"/>
  <c r="Y17" i="506" s="1"/>
  <c r="Z17" i="506" s="1"/>
  <c r="AA17" i="506" s="1"/>
  <c r="G18" i="506"/>
  <c r="H18" i="506" s="1"/>
  <c r="I18" i="506"/>
  <c r="O55" i="506"/>
  <c r="H74" i="506"/>
  <c r="H71" i="506"/>
  <c r="H68" i="506"/>
  <c r="D86" i="506"/>
  <c r="D87" i="506" s="1"/>
  <c r="D88" i="506" s="1"/>
  <c r="C86" i="506"/>
  <c r="H75" i="506"/>
  <c r="H72" i="506"/>
  <c r="H69" i="506"/>
  <c r="E30" i="471"/>
  <c r="G48" i="471"/>
  <c r="A67" i="471"/>
  <c r="C67" i="471" s="1"/>
  <c r="C6" i="506"/>
  <c r="C3" i="506" s="1"/>
  <c r="C7" i="506"/>
  <c r="C10" i="506" s="1"/>
  <c r="G24" i="506"/>
  <c r="H24" i="506" s="1"/>
  <c r="I24" i="506"/>
  <c r="H73" i="506"/>
  <c r="N6" i="482"/>
  <c r="B20" i="471"/>
  <c r="G23" i="506"/>
  <c r="H23" i="506" s="1"/>
  <c r="I23" i="506"/>
  <c r="B57" i="506"/>
  <c r="G40" i="506"/>
  <c r="Q56" i="488"/>
  <c r="E110" i="7" s="1"/>
  <c r="Q88" i="488"/>
  <c r="E117" i="7" s="1"/>
  <c r="Q103" i="488"/>
  <c r="E120" i="7" s="1"/>
  <c r="G189" i="131" s="1"/>
  <c r="E53" i="482"/>
  <c r="Q31" i="482"/>
  <c r="J16" i="506"/>
  <c r="O44" i="506"/>
  <c r="D25" i="506"/>
  <c r="F25" i="506"/>
  <c r="C53" i="506"/>
  <c r="D53" i="506" s="1"/>
  <c r="E53" i="506" s="1"/>
  <c r="F53" i="506" s="1"/>
  <c r="G53" i="506" s="1"/>
  <c r="O46" i="506"/>
  <c r="O58" i="506"/>
  <c r="B48" i="506" s="1"/>
  <c r="P12" i="482"/>
  <c r="G47" i="471"/>
  <c r="F50" i="471"/>
  <c r="G50" i="471" s="1"/>
  <c r="H16" i="506"/>
  <c r="K17" i="506"/>
  <c r="H19" i="506"/>
  <c r="K20" i="506"/>
  <c r="O45" i="506"/>
  <c r="N35" i="482"/>
  <c r="Q35" i="482" s="1"/>
  <c r="A56" i="471"/>
  <c r="G17" i="506"/>
  <c r="H17" i="506" s="1"/>
  <c r="G20" i="506"/>
  <c r="H20" i="506" s="1"/>
  <c r="C84" i="506"/>
  <c r="Q72" i="488"/>
  <c r="E113" i="7" s="1"/>
  <c r="Q108" i="488"/>
  <c r="E121" i="7" s="1"/>
  <c r="O54" i="506"/>
  <c r="O3" i="176"/>
  <c r="Q32" i="488"/>
  <c r="E105" i="7" s="1"/>
  <c r="Q47" i="488"/>
  <c r="E108" i="7" s="1"/>
  <c r="Q76" i="488"/>
  <c r="E114" i="7" s="1"/>
  <c r="Q112" i="488"/>
  <c r="E122" i="7" s="1"/>
  <c r="G124" i="488"/>
  <c r="Q36" i="488"/>
  <c r="E106" i="7" s="1"/>
  <c r="Q63" i="488"/>
  <c r="E111" i="7" s="1"/>
  <c r="Q80" i="488"/>
  <c r="E115" i="7" s="1"/>
  <c r="Q95" i="488"/>
  <c r="E118" i="7" s="1"/>
  <c r="P41" i="176"/>
  <c r="Q68" i="488"/>
  <c r="E112" i="7" s="1"/>
  <c r="R124" i="488"/>
  <c r="Q25" i="496"/>
  <c r="F126" i="7" s="1"/>
  <c r="Q38" i="496"/>
  <c r="F129" i="7" s="1"/>
  <c r="E59" i="496"/>
  <c r="E61" i="496" s="1"/>
  <c r="Q57" i="496"/>
  <c r="F133" i="7" s="1"/>
  <c r="Q130" i="496"/>
  <c r="F163" i="7" s="1"/>
  <c r="L88" i="491"/>
  <c r="S13" i="488"/>
  <c r="K124" i="488"/>
  <c r="Q116" i="488"/>
  <c r="E123" i="7" s="1"/>
  <c r="Q120" i="488"/>
  <c r="E124" i="7" s="1"/>
  <c r="F21" i="496"/>
  <c r="Q33" i="496"/>
  <c r="F128" i="7" s="1"/>
  <c r="H197" i="131" s="1"/>
  <c r="F59" i="496"/>
  <c r="F61" i="496" s="1"/>
  <c r="L59" i="496"/>
  <c r="L61" i="496" s="1"/>
  <c r="Q76" i="496"/>
  <c r="F137" i="7" s="1"/>
  <c r="Q84" i="496"/>
  <c r="F139" i="7" s="1"/>
  <c r="Q92" i="496"/>
  <c r="F141" i="7" s="1"/>
  <c r="Q104" i="496"/>
  <c r="F143" i="7" s="1"/>
  <c r="F184" i="496"/>
  <c r="L178" i="496"/>
  <c r="L184" i="496" s="1"/>
  <c r="K64" i="491"/>
  <c r="L21" i="493"/>
  <c r="E124" i="488"/>
  <c r="F21" i="488"/>
  <c r="M21" i="488"/>
  <c r="M124" i="488" s="1"/>
  <c r="Q151" i="496"/>
  <c r="F168" i="7" s="1"/>
  <c r="Q159" i="496"/>
  <c r="F170" i="7" s="1"/>
  <c r="Q167" i="496"/>
  <c r="F172" i="7" s="1"/>
  <c r="H28" i="494"/>
  <c r="K30" i="493"/>
  <c r="L8" i="493"/>
  <c r="L56" i="493"/>
  <c r="N124" i="488"/>
  <c r="I27" i="488"/>
  <c r="Q27" i="488" s="1"/>
  <c r="E104" i="7" s="1"/>
  <c r="I59" i="496"/>
  <c r="I61" i="496" s="1"/>
  <c r="O59" i="496"/>
  <c r="O61" i="496" s="1"/>
  <c r="J59" i="496"/>
  <c r="J61" i="496" s="1"/>
  <c r="Q72" i="496"/>
  <c r="F136" i="7" s="1"/>
  <c r="Q80" i="496"/>
  <c r="F138" i="7" s="1"/>
  <c r="Q88" i="496"/>
  <c r="F140" i="7" s="1"/>
  <c r="Q100" i="496"/>
  <c r="F142" i="7" s="1"/>
  <c r="Q108" i="496"/>
  <c r="F144" i="7" s="1"/>
  <c r="Q134" i="496"/>
  <c r="F164" i="7" s="1"/>
  <c r="Q182" i="496"/>
  <c r="F167" i="7" s="1"/>
  <c r="H233" i="131" s="1"/>
  <c r="H124" i="488"/>
  <c r="O124" i="488"/>
  <c r="J21" i="488"/>
  <c r="J124" i="488" s="1"/>
  <c r="P21" i="488"/>
  <c r="P124" i="488" s="1"/>
  <c r="F135" i="488"/>
  <c r="L129" i="488"/>
  <c r="L135" i="488" s="1"/>
  <c r="Q65" i="496"/>
  <c r="F135" i="7" s="1"/>
  <c r="Q122" i="496"/>
  <c r="F161" i="7" s="1"/>
  <c r="Q141" i="496"/>
  <c r="F165" i="7" s="1"/>
  <c r="Q155" i="496"/>
  <c r="F169" i="7" s="1"/>
  <c r="Q163" i="496"/>
  <c r="F171" i="7" s="1"/>
  <c r="Q171" i="496"/>
  <c r="F173" i="7" s="1"/>
  <c r="L24" i="493"/>
  <c r="L60" i="493"/>
  <c r="I129" i="488"/>
  <c r="I135" i="488" s="1"/>
  <c r="O129" i="488"/>
  <c r="O135" i="488" s="1"/>
  <c r="E135" i="488"/>
  <c r="K135" i="488"/>
  <c r="I21" i="496"/>
  <c r="O21" i="496"/>
  <c r="O178" i="496"/>
  <c r="O184" i="496" s="1"/>
  <c r="M184" i="496"/>
  <c r="K22" i="491"/>
  <c r="L44" i="493"/>
  <c r="L32" i="493"/>
  <c r="L40" i="493"/>
  <c r="H36" i="494"/>
  <c r="K57" i="493"/>
  <c r="AA57" i="493" s="1"/>
  <c r="AB57" i="493" s="1"/>
  <c r="L14" i="493"/>
  <c r="J21" i="496"/>
  <c r="P21" i="496"/>
  <c r="P173" i="496" s="1"/>
  <c r="J178" i="496"/>
  <c r="J184" i="496" s="1"/>
  <c r="P178" i="496"/>
  <c r="P184" i="496" s="1"/>
  <c r="G184" i="496"/>
  <c r="N184" i="496"/>
  <c r="H5" i="494"/>
  <c r="K41" i="493"/>
  <c r="AA41" i="493" s="1"/>
  <c r="AB41" i="493" s="1"/>
  <c r="S19" i="493"/>
  <c r="H44" i="494"/>
  <c r="K59" i="493"/>
  <c r="AA59" i="493" s="1"/>
  <c r="AB59" i="493" s="1"/>
  <c r="L64" i="493"/>
  <c r="G135" i="488"/>
  <c r="M135" i="488"/>
  <c r="E21" i="496"/>
  <c r="K21" i="496"/>
  <c r="K173" i="496" s="1"/>
  <c r="E178" i="496"/>
  <c r="K178" i="496"/>
  <c r="K184" i="496" s="1"/>
  <c r="K88" i="491"/>
  <c r="L51" i="493"/>
  <c r="L18" i="493"/>
  <c r="H21" i="494"/>
  <c r="K12" i="493"/>
  <c r="AA12" i="493" s="1"/>
  <c r="AB12" i="493" s="1"/>
  <c r="H22" i="494"/>
  <c r="K24" i="493"/>
  <c r="AA24" i="493" s="1"/>
  <c r="AB24" i="493" s="1"/>
  <c r="L59" i="493"/>
  <c r="H40" i="494"/>
  <c r="K11" i="493"/>
  <c r="AA11" i="493" s="1"/>
  <c r="AB11" i="493" s="1"/>
  <c r="G21" i="496"/>
  <c r="G173" i="496" s="1"/>
  <c r="M21" i="496"/>
  <c r="M173" i="496" s="1"/>
  <c r="H38" i="494"/>
  <c r="K35" i="493"/>
  <c r="H45" i="494"/>
  <c r="K62" i="493"/>
  <c r="H39" i="494"/>
  <c r="K36" i="493"/>
  <c r="H21" i="496"/>
  <c r="H173" i="496" s="1"/>
  <c r="N21" i="496"/>
  <c r="N173" i="496" s="1"/>
  <c r="S22" i="491"/>
  <c r="H30" i="494"/>
  <c r="K32" i="493"/>
  <c r="AA32" i="493" s="1"/>
  <c r="AB32" i="493" s="1"/>
  <c r="K40" i="493"/>
  <c r="AA40" i="493" s="1"/>
  <c r="AB40" i="493" s="1"/>
  <c r="H33" i="494"/>
  <c r="L15" i="493"/>
  <c r="H41" i="494"/>
  <c r="K37" i="493"/>
  <c r="AA37" i="493" s="1"/>
  <c r="AB37" i="493" s="1"/>
  <c r="L5" i="493"/>
  <c r="L6" i="493"/>
  <c r="K10" i="493"/>
  <c r="AA10" i="493" s="1"/>
  <c r="AB10" i="493" s="1"/>
  <c r="L12" i="493"/>
  <c r="L9" i="493"/>
  <c r="L10" i="493"/>
  <c r="H6" i="494"/>
  <c r="K18" i="493"/>
  <c r="AA18" i="493" s="1"/>
  <c r="AB18" i="493" s="1"/>
  <c r="F243" i="7"/>
  <c r="F252" i="7" s="1"/>
  <c r="V78" i="493"/>
  <c r="S28" i="493" l="1"/>
  <c r="V28" i="493" s="1"/>
  <c r="F38" i="7"/>
  <c r="F39" i="7"/>
  <c r="L26" i="493"/>
  <c r="R26" i="493" s="1"/>
  <c r="Q26" i="493" s="1"/>
  <c r="J173" i="496"/>
  <c r="O14" i="482"/>
  <c r="Q27" i="482"/>
  <c r="L9" i="37"/>
  <c r="K9" i="37" s="1"/>
  <c r="S54" i="493"/>
  <c r="V54" i="493" s="1"/>
  <c r="AC63" i="493"/>
  <c r="AF63" i="493" s="1"/>
  <c r="S63" i="493"/>
  <c r="V63" i="493" s="1"/>
  <c r="S52" i="493"/>
  <c r="V52" i="493" s="1"/>
  <c r="S45" i="493"/>
  <c r="V45" i="493" s="1"/>
  <c r="R23" i="493"/>
  <c r="Q23" i="493" s="1"/>
  <c r="AC23" i="493" s="1"/>
  <c r="AE23" i="493" s="1"/>
  <c r="AI23" i="493" s="1"/>
  <c r="AK23" i="493" s="1"/>
  <c r="R4" i="493"/>
  <c r="Q4" i="493" s="1"/>
  <c r="R47" i="493"/>
  <c r="Q47" i="493" s="1"/>
  <c r="AC47" i="493" s="1"/>
  <c r="AD47" i="493" s="1"/>
  <c r="AH47" i="493" s="1"/>
  <c r="AJ47" i="493" s="1"/>
  <c r="R37" i="493"/>
  <c r="Q37" i="493" s="1"/>
  <c r="AC37" i="493" s="1"/>
  <c r="AE37" i="493" s="1"/>
  <c r="AI37" i="493" s="1"/>
  <c r="AK37" i="493" s="1"/>
  <c r="R61" i="493"/>
  <c r="Q61" i="493" s="1"/>
  <c r="AC61" i="493" s="1"/>
  <c r="AE61" i="493" s="1"/>
  <c r="AI61" i="493" s="1"/>
  <c r="AK61" i="493" s="1"/>
  <c r="S42" i="493"/>
  <c r="V42" i="493" s="1"/>
  <c r="S48" i="493"/>
  <c r="V48" i="493" s="1"/>
  <c r="R17" i="493"/>
  <c r="Q17" i="493" s="1"/>
  <c r="AC17" i="493" s="1"/>
  <c r="AD17" i="493" s="1"/>
  <c r="AH17" i="493" s="1"/>
  <c r="AJ17" i="493" s="1"/>
  <c r="AC45" i="493"/>
  <c r="AD45" i="493" s="1"/>
  <c r="AH45" i="493" s="1"/>
  <c r="AJ45" i="493" s="1"/>
  <c r="D65" i="471"/>
  <c r="E65" i="471" s="1"/>
  <c r="F65" i="471" s="1"/>
  <c r="G65" i="471" s="1"/>
  <c r="H65" i="471" s="1"/>
  <c r="I65" i="471" s="1"/>
  <c r="J65" i="471" s="1"/>
  <c r="K65" i="471" s="1"/>
  <c r="L65" i="471" s="1"/>
  <c r="M65" i="471" s="1"/>
  <c r="N65" i="471" s="1"/>
  <c r="R57" i="493"/>
  <c r="Q57" i="493" s="1"/>
  <c r="AC57" i="493" s="1"/>
  <c r="AE57" i="493" s="1"/>
  <c r="AI57" i="493" s="1"/>
  <c r="AK57" i="493" s="1"/>
  <c r="M53" i="482"/>
  <c r="D42" i="221"/>
  <c r="K3" i="7"/>
  <c r="F52" i="7" s="1"/>
  <c r="M95" i="7"/>
  <c r="D30" i="221"/>
  <c r="E30" i="221" s="1"/>
  <c r="E33" i="266"/>
  <c r="R20" i="493"/>
  <c r="Q20" i="493" s="1"/>
  <c r="AC20" i="493" s="1"/>
  <c r="AD20" i="493" s="1"/>
  <c r="AH20" i="493" s="1"/>
  <c r="AJ20" i="493" s="1"/>
  <c r="E63" i="121"/>
  <c r="G169" i="131"/>
  <c r="M46" i="176"/>
  <c r="M50" i="176" s="1"/>
  <c r="G46" i="176"/>
  <c r="G50" i="176" s="1"/>
  <c r="G64" i="477"/>
  <c r="D40" i="266"/>
  <c r="D33" i="266" s="1"/>
  <c r="G24" i="37"/>
  <c r="G42" i="121"/>
  <c r="I42" i="121" s="1"/>
  <c r="I173" i="496"/>
  <c r="F173" i="496"/>
  <c r="C11" i="506"/>
  <c r="C12" i="506" s="1"/>
  <c r="F47" i="455"/>
  <c r="R55" i="493"/>
  <c r="Q55" i="493" s="1"/>
  <c r="AC55" i="493" s="1"/>
  <c r="AE55" i="493" s="1"/>
  <c r="AI55" i="493" s="1"/>
  <c r="AK55" i="493" s="1"/>
  <c r="R13" i="493"/>
  <c r="Q13" i="493" s="1"/>
  <c r="AC13" i="493" s="1"/>
  <c r="AE13" i="493" s="1"/>
  <c r="AI13" i="493" s="1"/>
  <c r="AK13" i="493" s="1"/>
  <c r="S16" i="493"/>
  <c r="V16" i="493" s="1"/>
  <c r="S22" i="493"/>
  <c r="V22" i="493" s="1"/>
  <c r="F23" i="218"/>
  <c r="AC41" i="493"/>
  <c r="AD41" i="493" s="1"/>
  <c r="AH41" i="493" s="1"/>
  <c r="AJ41" i="493" s="1"/>
  <c r="R53" i="493"/>
  <c r="Q53" i="493" s="1"/>
  <c r="AC53" i="493" s="1"/>
  <c r="AE53" i="493" s="1"/>
  <c r="AI53" i="493" s="1"/>
  <c r="AK53" i="493" s="1"/>
  <c r="R43" i="493"/>
  <c r="Q43" i="493" s="1"/>
  <c r="AC43" i="493" s="1"/>
  <c r="AD43" i="493" s="1"/>
  <c r="AH43" i="493" s="1"/>
  <c r="AJ43" i="493" s="1"/>
  <c r="S41" i="493"/>
  <c r="V41" i="493" s="1"/>
  <c r="V19" i="493"/>
  <c r="Q21" i="488"/>
  <c r="O173" i="496"/>
  <c r="F50" i="218"/>
  <c r="N46" i="176"/>
  <c r="N50" i="176" s="1"/>
  <c r="V117" i="131"/>
  <c r="V121" i="131" s="1"/>
  <c r="G13" i="37"/>
  <c r="F236" i="7"/>
  <c r="G13" i="121"/>
  <c r="I12" i="121" s="1"/>
  <c r="P42" i="176"/>
  <c r="F17" i="176"/>
  <c r="F46" i="176" s="1"/>
  <c r="F50" i="176" s="1"/>
  <c r="P14" i="176"/>
  <c r="E89" i="506"/>
  <c r="E94" i="506"/>
  <c r="F94" i="506" s="1"/>
  <c r="G94" i="506" s="1"/>
  <c r="H94" i="506" s="1"/>
  <c r="I94" i="506" s="1"/>
  <c r="J94" i="506" s="1"/>
  <c r="K94" i="506" s="1"/>
  <c r="L94" i="506" s="1"/>
  <c r="M94" i="506" s="1"/>
  <c r="N94" i="506" s="1"/>
  <c r="O94" i="506" s="1"/>
  <c r="P94" i="506" s="1"/>
  <c r="Q94" i="506" s="1"/>
  <c r="G15" i="37"/>
  <c r="D64" i="477"/>
  <c r="L73" i="491"/>
  <c r="J46" i="176"/>
  <c r="J50" i="176" s="1"/>
  <c r="O46" i="176"/>
  <c r="O50" i="176" s="1"/>
  <c r="N9" i="37"/>
  <c r="E25" i="221"/>
  <c r="U235" i="7"/>
  <c r="E179" i="7"/>
  <c r="G245" i="131" s="1"/>
  <c r="E48" i="7"/>
  <c r="K46" i="176"/>
  <c r="K50" i="176" s="1"/>
  <c r="P39" i="176"/>
  <c r="S39" i="176" s="1"/>
  <c r="I46" i="176"/>
  <c r="I50" i="176" s="1"/>
  <c r="H46" i="176"/>
  <c r="H50" i="176" s="1"/>
  <c r="J4" i="212"/>
  <c r="C39" i="11"/>
  <c r="E178" i="7"/>
  <c r="G244" i="131" s="1"/>
  <c r="H35" i="494"/>
  <c r="E46" i="176"/>
  <c r="E50" i="176" s="1"/>
  <c r="D46" i="176"/>
  <c r="D50" i="176" s="1"/>
  <c r="J19" i="506"/>
  <c r="O19" i="506" s="1"/>
  <c r="K19" i="506"/>
  <c r="M56" i="121"/>
  <c r="H32" i="291"/>
  <c r="Q178" i="496"/>
  <c r="L46" i="176"/>
  <c r="L50" i="176" s="1"/>
  <c r="C45" i="11"/>
  <c r="M54" i="121"/>
  <c r="M52" i="121"/>
  <c r="F33" i="218"/>
  <c r="C38" i="471"/>
  <c r="C41" i="471"/>
  <c r="F17" i="218"/>
  <c r="Q124" i="488"/>
  <c r="E103" i="7"/>
  <c r="E48" i="221"/>
  <c r="G173" i="131"/>
  <c r="H26" i="494"/>
  <c r="K27" i="493"/>
  <c r="F37" i="7"/>
  <c r="H212" i="131"/>
  <c r="F48" i="37" s="1"/>
  <c r="G48" i="37" s="1"/>
  <c r="R12" i="493"/>
  <c r="Q12" i="493" s="1"/>
  <c r="AC12" i="493" s="1"/>
  <c r="AE12" i="493" s="1"/>
  <c r="AI12" i="493" s="1"/>
  <c r="AK12" i="493" s="1"/>
  <c r="S12" i="493"/>
  <c r="E238" i="7"/>
  <c r="S62" i="493"/>
  <c r="AA62" i="493"/>
  <c r="AB62" i="493" s="1"/>
  <c r="R62" i="493"/>
  <c r="Q62" i="493" s="1"/>
  <c r="S51" i="493"/>
  <c r="R51" i="493"/>
  <c r="Q51" i="493" s="1"/>
  <c r="E181" i="7"/>
  <c r="G247" i="131" s="1"/>
  <c r="K92" i="491"/>
  <c r="H235" i="131"/>
  <c r="F70" i="37" s="1"/>
  <c r="H205" i="131"/>
  <c r="F37" i="37" s="1"/>
  <c r="G37" i="37" s="1"/>
  <c r="Q129" i="488"/>
  <c r="S8" i="493"/>
  <c r="R8" i="493"/>
  <c r="Q8" i="493" s="1"/>
  <c r="AC8" i="493" s="1"/>
  <c r="AD8" i="493" s="1"/>
  <c r="AH8" i="493" s="1"/>
  <c r="AJ8" i="493" s="1"/>
  <c r="H210" i="131"/>
  <c r="F42" i="37" s="1"/>
  <c r="G42" i="37" s="1"/>
  <c r="H229" i="131"/>
  <c r="F59" i="37" s="1"/>
  <c r="G59" i="37" s="1"/>
  <c r="G180" i="131"/>
  <c r="F36" i="121" s="1"/>
  <c r="D36" i="221"/>
  <c r="E36" i="221" s="1"/>
  <c r="G177" i="131"/>
  <c r="F29" i="121" s="1"/>
  <c r="D29" i="221"/>
  <c r="D40" i="506"/>
  <c r="B44" i="506"/>
  <c r="F124" i="488"/>
  <c r="J24" i="506"/>
  <c r="O24" i="506" s="1"/>
  <c r="K24" i="506"/>
  <c r="H36" i="471"/>
  <c r="B38" i="471"/>
  <c r="AB17" i="506"/>
  <c r="L17" i="506" s="1"/>
  <c r="R35" i="176"/>
  <c r="S35" i="176"/>
  <c r="P22" i="176"/>
  <c r="G14" i="131"/>
  <c r="G18" i="131" s="1"/>
  <c r="E15" i="221"/>
  <c r="L3" i="131"/>
  <c r="H119" i="131" s="1"/>
  <c r="J5" i="131"/>
  <c r="G119" i="131"/>
  <c r="F47" i="218"/>
  <c r="F40" i="218"/>
  <c r="S32" i="493"/>
  <c r="R32" i="493"/>
  <c r="Q32" i="493" s="1"/>
  <c r="AC32" i="493" s="1"/>
  <c r="AE32" i="493" s="1"/>
  <c r="AI32" i="493" s="1"/>
  <c r="AK32" i="493" s="1"/>
  <c r="H237" i="131"/>
  <c r="F72" i="37" s="1"/>
  <c r="E184" i="496"/>
  <c r="G183" i="131"/>
  <c r="F40" i="121" s="1"/>
  <c r="G40" i="121" s="1"/>
  <c r="I40" i="121" s="1"/>
  <c r="D40" i="221"/>
  <c r="E40" i="221" s="1"/>
  <c r="S40" i="176"/>
  <c r="R40" i="176"/>
  <c r="C43" i="11"/>
  <c r="S10" i="493"/>
  <c r="R10" i="493"/>
  <c r="Q10" i="493" s="1"/>
  <c r="AC10" i="493" s="1"/>
  <c r="AE10" i="493" s="1"/>
  <c r="AI10" i="493" s="1"/>
  <c r="AK10" i="493" s="1"/>
  <c r="H43" i="494"/>
  <c r="K58" i="493"/>
  <c r="H27" i="494"/>
  <c r="K26" i="493"/>
  <c r="AA26" i="493" s="1"/>
  <c r="AB26" i="493" s="1"/>
  <c r="G265" i="131"/>
  <c r="Q21" i="496"/>
  <c r="R64" i="493"/>
  <c r="Q64" i="493" s="1"/>
  <c r="AC64" i="493" s="1"/>
  <c r="AF64" i="493" s="1"/>
  <c r="S64" i="493"/>
  <c r="H24" i="494"/>
  <c r="K51" i="493"/>
  <c r="AA51" i="493" s="1"/>
  <c r="AB51" i="493" s="1"/>
  <c r="F240" i="7"/>
  <c r="F249" i="7" s="1"/>
  <c r="S14" i="493"/>
  <c r="R14" i="493"/>
  <c r="Q14" i="493" s="1"/>
  <c r="AC14" i="493" s="1"/>
  <c r="AE14" i="493" s="1"/>
  <c r="AI14" i="493" s="1"/>
  <c r="AK14" i="493" s="1"/>
  <c r="Q22" i="491"/>
  <c r="K48" i="493"/>
  <c r="AA48" i="493" s="1"/>
  <c r="AB48" i="493" s="1"/>
  <c r="H16" i="494"/>
  <c r="H231" i="131"/>
  <c r="F64" i="37" s="1"/>
  <c r="G64" i="37" s="1"/>
  <c r="H230" i="131"/>
  <c r="F60" i="37" s="1"/>
  <c r="G60" i="37" s="1"/>
  <c r="S21" i="493"/>
  <c r="R21" i="493"/>
  <c r="Q21" i="493" s="1"/>
  <c r="AC21" i="493" s="1"/>
  <c r="AD21" i="493" s="1"/>
  <c r="AH21" i="493" s="1"/>
  <c r="AJ21" i="493" s="1"/>
  <c r="H208" i="131"/>
  <c r="H202" i="131"/>
  <c r="G175" i="131"/>
  <c r="G174" i="131"/>
  <c r="L173" i="496"/>
  <c r="G25" i="506"/>
  <c r="O53" i="506"/>
  <c r="AB22" i="506"/>
  <c r="L22" i="506" s="1"/>
  <c r="H20" i="471"/>
  <c r="I20" i="471" s="1"/>
  <c r="S26" i="176"/>
  <c r="R26" i="176"/>
  <c r="D31" i="27"/>
  <c r="E42" i="221"/>
  <c r="E14" i="221"/>
  <c r="H305" i="131"/>
  <c r="H318" i="131" s="1"/>
  <c r="F40" i="266"/>
  <c r="D34" i="266"/>
  <c r="D35" i="266" s="1"/>
  <c r="D36" i="266" s="1"/>
  <c r="E56" i="221"/>
  <c r="E51" i="11"/>
  <c r="F25" i="218"/>
  <c r="F33" i="7"/>
  <c r="H29" i="494"/>
  <c r="K31" i="493"/>
  <c r="H7" i="494"/>
  <c r="K19" i="493"/>
  <c r="AA19" i="493" s="1"/>
  <c r="AB19" i="493" s="1"/>
  <c r="D67" i="471"/>
  <c r="E67" i="471" s="1"/>
  <c r="F67" i="471" s="1"/>
  <c r="G67" i="471" s="1"/>
  <c r="H67" i="471" s="1"/>
  <c r="I67" i="471" s="1"/>
  <c r="J67" i="471" s="1"/>
  <c r="K67" i="471" s="1"/>
  <c r="L67" i="471" s="1"/>
  <c r="M67" i="471" s="1"/>
  <c r="N67" i="471" s="1"/>
  <c r="O69" i="37"/>
  <c r="G335" i="131"/>
  <c r="M58" i="131"/>
  <c r="G120" i="131"/>
  <c r="G114" i="131"/>
  <c r="G27" i="291" s="1"/>
  <c r="G268" i="131"/>
  <c r="S9" i="493"/>
  <c r="R9" i="493"/>
  <c r="Q9" i="493" s="1"/>
  <c r="AC9" i="493" s="1"/>
  <c r="AE9" i="493" s="1"/>
  <c r="F193" i="7"/>
  <c r="L7" i="493"/>
  <c r="E30" i="7"/>
  <c r="H37" i="494"/>
  <c r="K34" i="493"/>
  <c r="AA33" i="493"/>
  <c r="AB33" i="493" s="1"/>
  <c r="S33" i="493"/>
  <c r="R33" i="493"/>
  <c r="Q33" i="493" s="1"/>
  <c r="F190" i="7"/>
  <c r="H256" i="131" s="1"/>
  <c r="E177" i="7"/>
  <c r="S40" i="493"/>
  <c r="R40" i="493"/>
  <c r="Q40" i="493" s="1"/>
  <c r="AC40" i="493" s="1"/>
  <c r="AE40" i="493" s="1"/>
  <c r="AI40" i="493" s="1"/>
  <c r="AK40" i="493" s="1"/>
  <c r="S44" i="493"/>
  <c r="R44" i="493"/>
  <c r="Q44" i="493" s="1"/>
  <c r="AC44" i="493" s="1"/>
  <c r="AD44" i="493" s="1"/>
  <c r="AH44" i="493" s="1"/>
  <c r="AJ44" i="493" s="1"/>
  <c r="R22" i="491"/>
  <c r="S60" i="493"/>
  <c r="R60" i="493"/>
  <c r="Q60" i="493" s="1"/>
  <c r="AC60" i="493" s="1"/>
  <c r="AE60" i="493" s="1"/>
  <c r="AI60" i="493" s="1"/>
  <c r="AK60" i="493" s="1"/>
  <c r="AA88" i="491"/>
  <c r="H227" i="131"/>
  <c r="F57" i="37" s="1"/>
  <c r="G57" i="37" s="1"/>
  <c r="H225" i="131"/>
  <c r="I124" i="488"/>
  <c r="S30" i="493"/>
  <c r="R30" i="493"/>
  <c r="Q30" i="493" s="1"/>
  <c r="AA30" i="493"/>
  <c r="AB30" i="493" s="1"/>
  <c r="AA64" i="491"/>
  <c r="H206" i="131"/>
  <c r="F38" i="37" s="1"/>
  <c r="G38" i="37" s="1"/>
  <c r="E173" i="496"/>
  <c r="L46" i="493"/>
  <c r="E32" i="7"/>
  <c r="Q61" i="496"/>
  <c r="F134" i="7" s="1"/>
  <c r="S27" i="176"/>
  <c r="R27" i="176"/>
  <c r="G186" i="131"/>
  <c r="F43" i="121" s="1"/>
  <c r="G43" i="121" s="1"/>
  <c r="I43" i="121" s="1"/>
  <c r="D43" i="221"/>
  <c r="E43" i="221" s="1"/>
  <c r="C57" i="506"/>
  <c r="D57" i="506" s="1"/>
  <c r="E57" i="506" s="1"/>
  <c r="F57" i="506" s="1"/>
  <c r="G57" i="506" s="1"/>
  <c r="H57" i="506" s="1"/>
  <c r="I57" i="506" s="1"/>
  <c r="J57" i="506" s="1"/>
  <c r="K57" i="506" s="1"/>
  <c r="L57" i="506" s="1"/>
  <c r="M57" i="506" s="1"/>
  <c r="N57" i="506" s="1"/>
  <c r="H41" i="471"/>
  <c r="H35" i="471"/>
  <c r="B45" i="506"/>
  <c r="E40" i="506"/>
  <c r="H34" i="471"/>
  <c r="I34" i="471" s="1"/>
  <c r="A57" i="471"/>
  <c r="AB20" i="506"/>
  <c r="L20" i="506" s="1"/>
  <c r="C56" i="506"/>
  <c r="D56" i="506" s="1"/>
  <c r="E56" i="506" s="1"/>
  <c r="F56" i="506" s="1"/>
  <c r="G56" i="506" s="1"/>
  <c r="H56" i="506" s="1"/>
  <c r="I56" i="506" s="1"/>
  <c r="J56" i="506" s="1"/>
  <c r="K56" i="506" s="1"/>
  <c r="L56" i="506" s="1"/>
  <c r="M56" i="506" s="1"/>
  <c r="N56" i="506" s="1"/>
  <c r="S25" i="176"/>
  <c r="P28" i="176"/>
  <c r="R25" i="176"/>
  <c r="L78" i="37"/>
  <c r="G125" i="131"/>
  <c r="G38" i="291" s="1"/>
  <c r="H30" i="291"/>
  <c r="F45" i="455"/>
  <c r="E45" i="455"/>
  <c r="S59" i="493"/>
  <c r="R59" i="493"/>
  <c r="Q59" i="493" s="1"/>
  <c r="AC59" i="493" s="1"/>
  <c r="AE59" i="493" s="1"/>
  <c r="AI59" i="493" s="1"/>
  <c r="AK59" i="493" s="1"/>
  <c r="H31" i="27"/>
  <c r="E22" i="221"/>
  <c r="H296" i="131"/>
  <c r="R6" i="493"/>
  <c r="Q6" i="493" s="1"/>
  <c r="AC6" i="493" s="1"/>
  <c r="AD6" i="493" s="1"/>
  <c r="AH6" i="493" s="1"/>
  <c r="AJ6" i="493" s="1"/>
  <c r="S6" i="493"/>
  <c r="F242" i="7"/>
  <c r="V22" i="491"/>
  <c r="G249" i="131"/>
  <c r="F50" i="121" s="1"/>
  <c r="E183" i="7"/>
  <c r="R35" i="493"/>
  <c r="Q35" i="493" s="1"/>
  <c r="AA35" i="493"/>
  <c r="AB35" i="493" s="1"/>
  <c r="S35" i="493"/>
  <c r="S18" i="493"/>
  <c r="R18" i="493"/>
  <c r="Q18" i="493" s="1"/>
  <c r="AC18" i="493" s="1"/>
  <c r="AD18" i="493" s="1"/>
  <c r="AH18" i="493" s="1"/>
  <c r="AJ18" i="493" s="1"/>
  <c r="F185" i="7"/>
  <c r="H251" i="131" s="1"/>
  <c r="K38" i="493"/>
  <c r="H32" i="494"/>
  <c r="H204" i="131"/>
  <c r="H211" i="131"/>
  <c r="F47" i="37" s="1"/>
  <c r="G47" i="37" s="1"/>
  <c r="S56" i="493"/>
  <c r="R56" i="493"/>
  <c r="Q56" i="493" s="1"/>
  <c r="AC56" i="493" s="1"/>
  <c r="AE56" i="493" s="1"/>
  <c r="AI56" i="493" s="1"/>
  <c r="AK56" i="493" s="1"/>
  <c r="L64" i="491"/>
  <c r="L92" i="491" s="1"/>
  <c r="H238" i="131"/>
  <c r="F73" i="37" s="1"/>
  <c r="G73" i="37" s="1"/>
  <c r="H23" i="494"/>
  <c r="K25" i="493"/>
  <c r="G193" i="131"/>
  <c r="F55" i="121" s="1"/>
  <c r="D55" i="221"/>
  <c r="H198" i="131"/>
  <c r="F23" i="37" s="1"/>
  <c r="G23" i="37" s="1"/>
  <c r="R41" i="176"/>
  <c r="S41" i="176"/>
  <c r="G190" i="131"/>
  <c r="F52" i="121" s="1"/>
  <c r="D52" i="221"/>
  <c r="C63" i="506"/>
  <c r="C85" i="506"/>
  <c r="C87" i="506" s="1"/>
  <c r="C88" i="506" s="1"/>
  <c r="C40" i="471"/>
  <c r="E40" i="471" s="1"/>
  <c r="H19" i="471"/>
  <c r="I25" i="506"/>
  <c r="G179" i="131"/>
  <c r="J23" i="506"/>
  <c r="O23" i="506" s="1"/>
  <c r="K23" i="506"/>
  <c r="C57" i="482"/>
  <c r="C61" i="482" s="1"/>
  <c r="B41" i="471"/>
  <c r="J18" i="506"/>
  <c r="O18" i="506" s="1"/>
  <c r="K18" i="506"/>
  <c r="E66" i="471"/>
  <c r="D68" i="471"/>
  <c r="J21" i="506"/>
  <c r="O21" i="506" s="1"/>
  <c r="K21" i="506"/>
  <c r="G41" i="131"/>
  <c r="R39" i="176"/>
  <c r="G36" i="121"/>
  <c r="I36" i="121" s="1"/>
  <c r="F35" i="218"/>
  <c r="F14" i="218"/>
  <c r="N52" i="121"/>
  <c r="N56" i="121"/>
  <c r="N54" i="121"/>
  <c r="G31" i="477"/>
  <c r="H33" i="292"/>
  <c r="N9" i="121"/>
  <c r="D29" i="455"/>
  <c r="E33" i="7"/>
  <c r="E52" i="7"/>
  <c r="E202" i="7" s="1"/>
  <c r="T105" i="7"/>
  <c r="F95" i="7" s="1"/>
  <c r="Q184" i="496"/>
  <c r="F166" i="7"/>
  <c r="H232" i="131" s="1"/>
  <c r="F66" i="37" s="1"/>
  <c r="H207" i="131"/>
  <c r="H234" i="131"/>
  <c r="F69" i="37" s="1"/>
  <c r="D41" i="221"/>
  <c r="G184" i="131"/>
  <c r="F41" i="121" s="1"/>
  <c r="G41" i="121" s="1"/>
  <c r="I41" i="121" s="1"/>
  <c r="F187" i="7"/>
  <c r="H295" i="131"/>
  <c r="R5" i="493"/>
  <c r="Q5" i="493" s="1"/>
  <c r="AC5" i="493" s="1"/>
  <c r="AD5" i="493" s="1"/>
  <c r="S5" i="493"/>
  <c r="S15" i="493"/>
  <c r="R15" i="493"/>
  <c r="Q15" i="493" s="1"/>
  <c r="AC15" i="493" s="1"/>
  <c r="AF15" i="493" s="1"/>
  <c r="R65" i="493"/>
  <c r="Q65" i="493" s="1"/>
  <c r="AC65" i="493" s="1"/>
  <c r="AF65" i="493" s="1"/>
  <c r="S65" i="493"/>
  <c r="S36" i="493"/>
  <c r="AA36" i="493"/>
  <c r="AB36" i="493" s="1"/>
  <c r="R36" i="493"/>
  <c r="Q36" i="493" s="1"/>
  <c r="H15" i="494"/>
  <c r="K49" i="493"/>
  <c r="H31" i="494"/>
  <c r="K39" i="493"/>
  <c r="F192" i="7"/>
  <c r="H258" i="131" s="1"/>
  <c r="F241" i="7"/>
  <c r="F250" i="7" s="1"/>
  <c r="R24" i="493"/>
  <c r="Q24" i="493" s="1"/>
  <c r="AC24" i="493" s="1"/>
  <c r="AE24" i="493" s="1"/>
  <c r="AI24" i="493" s="1"/>
  <c r="AK24" i="493" s="1"/>
  <c r="S24" i="493"/>
  <c r="H239" i="131"/>
  <c r="F74" i="37" s="1"/>
  <c r="G74" i="37" s="1"/>
  <c r="H209" i="131"/>
  <c r="F41" i="37" s="1"/>
  <c r="G41" i="37" s="1"/>
  <c r="L50" i="493"/>
  <c r="H236" i="131"/>
  <c r="F71" i="37" s="1"/>
  <c r="G192" i="131"/>
  <c r="F54" i="121" s="1"/>
  <c r="D54" i="221"/>
  <c r="E54" i="221" s="1"/>
  <c r="H195" i="131"/>
  <c r="F19" i="37" s="1"/>
  <c r="G19" i="37" s="1"/>
  <c r="G181" i="131"/>
  <c r="D47" i="221"/>
  <c r="G187" i="131"/>
  <c r="F47" i="121" s="1"/>
  <c r="G47" i="121" s="1"/>
  <c r="I47" i="121" s="1"/>
  <c r="G191" i="131"/>
  <c r="F53" i="121" s="1"/>
  <c r="G53" i="121" s="1"/>
  <c r="I53" i="121" s="1"/>
  <c r="D53" i="221"/>
  <c r="E53" i="221" s="1"/>
  <c r="G182" i="131"/>
  <c r="H25" i="506"/>
  <c r="D48" i="506"/>
  <c r="C48" i="506"/>
  <c r="O16" i="506"/>
  <c r="N53" i="482"/>
  <c r="Q6" i="482"/>
  <c r="E93" i="506"/>
  <c r="D89" i="506"/>
  <c r="P17" i="176"/>
  <c r="G29" i="121"/>
  <c r="I29" i="121" s="1"/>
  <c r="E33" i="221"/>
  <c r="E31" i="221"/>
  <c r="F26" i="218"/>
  <c r="F36" i="218"/>
  <c r="H18" i="291"/>
  <c r="E51" i="221"/>
  <c r="F51" i="218"/>
  <c r="E80" i="37"/>
  <c r="F42" i="218"/>
  <c r="Q93" i="7"/>
  <c r="Q94" i="7" s="1"/>
  <c r="Q95" i="7" s="1"/>
  <c r="Q96" i="7" s="1"/>
  <c r="Q97" i="7" s="1"/>
  <c r="Q98" i="7" s="1"/>
  <c r="Q99" i="7" s="1"/>
  <c r="Q100" i="7" s="1"/>
  <c r="Q101" i="7" s="1"/>
  <c r="Q102" i="7" s="1"/>
  <c r="Q103" i="7" s="1"/>
  <c r="Q104" i="7" s="1"/>
  <c r="E35" i="266"/>
  <c r="E36" i="266" s="1"/>
  <c r="H102" i="131" s="1"/>
  <c r="F36" i="7" l="1"/>
  <c r="S26" i="493"/>
  <c r="V26" i="493" s="1"/>
  <c r="F183" i="7"/>
  <c r="O65" i="471"/>
  <c r="Q53" i="482"/>
  <c r="V37" i="493"/>
  <c r="V23" i="493"/>
  <c r="V4" i="493"/>
  <c r="V47" i="493"/>
  <c r="V57" i="493"/>
  <c r="V61" i="493"/>
  <c r="V20" i="493"/>
  <c r="V55" i="493"/>
  <c r="V17" i="493"/>
  <c r="F309" i="7"/>
  <c r="V13" i="493"/>
  <c r="H249" i="131"/>
  <c r="Q105" i="7"/>
  <c r="N95" i="7" s="1"/>
  <c r="D23" i="221"/>
  <c r="E23" i="221" s="1"/>
  <c r="F23" i="121"/>
  <c r="G23" i="121" s="1"/>
  <c r="I23" i="121" s="1"/>
  <c r="AC62" i="493"/>
  <c r="AE62" i="493" s="1"/>
  <c r="AI62" i="493" s="1"/>
  <c r="AK62" i="493" s="1"/>
  <c r="G50" i="121"/>
  <c r="V12" i="493"/>
  <c r="V9" i="493"/>
  <c r="V51" i="493"/>
  <c r="V43" i="493"/>
  <c r="V53" i="493"/>
  <c r="V15" i="493"/>
  <c r="V64" i="493"/>
  <c r="V18" i="493"/>
  <c r="AC35" i="493"/>
  <c r="AE35" i="493" s="1"/>
  <c r="AI35" i="493" s="1"/>
  <c r="AK35" i="493" s="1"/>
  <c r="V30" i="493"/>
  <c r="V5" i="493"/>
  <c r="K25" i="506"/>
  <c r="V44" i="493"/>
  <c r="V32" i="493"/>
  <c r="R94" i="506"/>
  <c r="E90" i="506" s="1"/>
  <c r="E62" i="506" s="1"/>
  <c r="P43" i="176"/>
  <c r="V56" i="493"/>
  <c r="V33" i="493"/>
  <c r="J25" i="506"/>
  <c r="O25" i="506" s="1"/>
  <c r="R64" i="491"/>
  <c r="V24" i="493"/>
  <c r="V65" i="493"/>
  <c r="V6" i="493"/>
  <c r="V21" i="493"/>
  <c r="S42" i="176"/>
  <c r="S43" i="176" s="1"/>
  <c r="V62" i="493"/>
  <c r="P19" i="506"/>
  <c r="Q19" i="506" s="1"/>
  <c r="R19" i="506" s="1"/>
  <c r="S19" i="506" s="1"/>
  <c r="T19" i="506" s="1"/>
  <c r="U19" i="506" s="1"/>
  <c r="V19" i="506" s="1"/>
  <c r="W19" i="506" s="1"/>
  <c r="X19" i="506" s="1"/>
  <c r="Y19" i="506" s="1"/>
  <c r="Z19" i="506" s="1"/>
  <c r="AA19" i="506" s="1"/>
  <c r="E198" i="7"/>
  <c r="D24" i="221" s="1"/>
  <c r="E24" i="221" s="1"/>
  <c r="E24" i="218"/>
  <c r="F24" i="218" s="1"/>
  <c r="Q64" i="491"/>
  <c r="H18" i="494"/>
  <c r="R42" i="176"/>
  <c r="R43" i="176" s="1"/>
  <c r="AC51" i="493"/>
  <c r="AE51" i="493" s="1"/>
  <c r="AI51" i="493" s="1"/>
  <c r="AK51" i="493" s="1"/>
  <c r="N69" i="37"/>
  <c r="M69" i="37"/>
  <c r="G264" i="131"/>
  <c r="F24" i="121" s="1"/>
  <c r="G24" i="121" s="1"/>
  <c r="I24" i="121" s="1"/>
  <c r="G51" i="121"/>
  <c r="I51" i="121" s="1"/>
  <c r="P46" i="176"/>
  <c r="P50" i="176" s="1"/>
  <c r="M73" i="37"/>
  <c r="N73" i="37"/>
  <c r="U27" i="176"/>
  <c r="O67" i="471"/>
  <c r="AC48" i="493"/>
  <c r="AD48" i="493" s="1"/>
  <c r="AH48" i="493" s="1"/>
  <c r="AJ48" i="493" s="1"/>
  <c r="N71" i="37"/>
  <c r="M71" i="37"/>
  <c r="F55" i="218"/>
  <c r="N66" i="37"/>
  <c r="M66" i="37"/>
  <c r="H15" i="131"/>
  <c r="H18" i="131" s="1"/>
  <c r="N51" i="121"/>
  <c r="M51" i="121"/>
  <c r="H293" i="131"/>
  <c r="F61" i="218"/>
  <c r="F13" i="218"/>
  <c r="D57" i="482"/>
  <c r="D61" i="482" s="1"/>
  <c r="O53" i="482"/>
  <c r="E50" i="7"/>
  <c r="F54" i="218"/>
  <c r="F46" i="455"/>
  <c r="E46" i="455"/>
  <c r="F66" i="471"/>
  <c r="E68" i="471"/>
  <c r="P53" i="482"/>
  <c r="AA25" i="493"/>
  <c r="AB25" i="493" s="1"/>
  <c r="S25" i="493"/>
  <c r="R25" i="493"/>
  <c r="Q25" i="493" s="1"/>
  <c r="V35" i="493"/>
  <c r="V59" i="493"/>
  <c r="M49" i="121"/>
  <c r="N49" i="121"/>
  <c r="O57" i="506"/>
  <c r="B47" i="506" s="1"/>
  <c r="F49" i="37"/>
  <c r="G49" i="37" s="1"/>
  <c r="AC33" i="493"/>
  <c r="AE33" i="493" s="1"/>
  <c r="AI33" i="493" s="1"/>
  <c r="AK33" i="493" s="1"/>
  <c r="R34" i="493"/>
  <c r="Q34" i="493" s="1"/>
  <c r="S34" i="493"/>
  <c r="AA34" i="493"/>
  <c r="AB34" i="493" s="1"/>
  <c r="G69" i="37"/>
  <c r="G56" i="121"/>
  <c r="I56" i="121" s="1"/>
  <c r="O73" i="37"/>
  <c r="F30" i="37"/>
  <c r="G30" i="37" s="1"/>
  <c r="Q173" i="496"/>
  <c r="F125" i="7"/>
  <c r="F174" i="7" s="1"/>
  <c r="E63" i="221"/>
  <c r="F19" i="455"/>
  <c r="E19" i="455"/>
  <c r="U35" i="176"/>
  <c r="M17" i="506"/>
  <c r="F189" i="7"/>
  <c r="H255" i="131" s="1"/>
  <c r="S50" i="493"/>
  <c r="R50" i="493"/>
  <c r="Q50" i="493" s="1"/>
  <c r="AC50" i="493" s="1"/>
  <c r="AE50" i="493" s="1"/>
  <c r="AI50" i="493" s="1"/>
  <c r="AK50" i="493" s="1"/>
  <c r="N50" i="121"/>
  <c r="M50" i="121"/>
  <c r="S46" i="493"/>
  <c r="R46" i="493"/>
  <c r="Q46" i="493" s="1"/>
  <c r="AC46" i="493" s="1"/>
  <c r="AD46" i="493" s="1"/>
  <c r="AH46" i="493" s="1"/>
  <c r="AJ46" i="493" s="1"/>
  <c r="E180" i="7"/>
  <c r="E55" i="221"/>
  <c r="F41" i="218"/>
  <c r="P16" i="506"/>
  <c r="Q16" i="506" s="1"/>
  <c r="R16" i="506" s="1"/>
  <c r="S16" i="506" s="1"/>
  <c r="T16" i="506" s="1"/>
  <c r="U16" i="506" s="1"/>
  <c r="V16" i="506" s="1"/>
  <c r="W16" i="506" s="1"/>
  <c r="X16" i="506" s="1"/>
  <c r="Y16" i="506" s="1"/>
  <c r="Z16" i="506" s="1"/>
  <c r="AA16" i="506" s="1"/>
  <c r="L74" i="506"/>
  <c r="L71" i="506"/>
  <c r="L68" i="506"/>
  <c r="L73" i="506"/>
  <c r="L70" i="506"/>
  <c r="L67" i="506"/>
  <c r="L75" i="506"/>
  <c r="L72" i="506"/>
  <c r="L69" i="506"/>
  <c r="M67" i="37"/>
  <c r="N67" i="37"/>
  <c r="I19" i="471"/>
  <c r="B56" i="471"/>
  <c r="N72" i="37"/>
  <c r="M72" i="37"/>
  <c r="R28" i="176"/>
  <c r="U25" i="176"/>
  <c r="H203" i="131"/>
  <c r="AC4" i="493"/>
  <c r="K20" i="495"/>
  <c r="V40" i="493"/>
  <c r="R31" i="493"/>
  <c r="Q31" i="493" s="1"/>
  <c r="AA31" i="493"/>
  <c r="AB31" i="493" s="1"/>
  <c r="S31" i="493"/>
  <c r="F202" i="7"/>
  <c r="O68" i="37"/>
  <c r="G68" i="37"/>
  <c r="M22" i="506"/>
  <c r="N22" i="506" s="1"/>
  <c r="E29" i="221"/>
  <c r="F72" i="7"/>
  <c r="C42" i="471"/>
  <c r="H41" i="131"/>
  <c r="H25" i="494"/>
  <c r="K54" i="493"/>
  <c r="AA54" i="493" s="1"/>
  <c r="F40" i="455"/>
  <c r="E40" i="455"/>
  <c r="P25" i="506"/>
  <c r="Q25" i="506" s="1"/>
  <c r="R25" i="506" s="1"/>
  <c r="S25" i="506" s="1"/>
  <c r="T25" i="506" s="1"/>
  <c r="U25" i="506" s="1"/>
  <c r="V25" i="506" s="1"/>
  <c r="W25" i="506" s="1"/>
  <c r="X25" i="506" s="1"/>
  <c r="Y25" i="506" s="1"/>
  <c r="Z25" i="506" s="1"/>
  <c r="AA25" i="506" s="1"/>
  <c r="H294" i="131"/>
  <c r="AC36" i="493"/>
  <c r="AE36" i="493" s="1"/>
  <c r="AI36" i="493" s="1"/>
  <c r="AK36" i="493" s="1"/>
  <c r="O67" i="37"/>
  <c r="N48" i="121"/>
  <c r="M48" i="121"/>
  <c r="E19" i="291"/>
  <c r="P18" i="506"/>
  <c r="Q18" i="506" s="1"/>
  <c r="R18" i="506" s="1"/>
  <c r="S18" i="506" s="1"/>
  <c r="T18" i="506" s="1"/>
  <c r="U18" i="506" s="1"/>
  <c r="V18" i="506" s="1"/>
  <c r="W18" i="506" s="1"/>
  <c r="X18" i="506" s="1"/>
  <c r="Y18" i="506" s="1"/>
  <c r="Z18" i="506" s="1"/>
  <c r="AA18" i="506" s="1"/>
  <c r="P23" i="506"/>
  <c r="Q23" i="506" s="1"/>
  <c r="R23" i="506" s="1"/>
  <c r="S23" i="506" s="1"/>
  <c r="T23" i="506" s="1"/>
  <c r="U23" i="506" s="1"/>
  <c r="V23" i="506" s="1"/>
  <c r="W23" i="506" s="1"/>
  <c r="X23" i="506" s="1"/>
  <c r="Y23" i="506" s="1"/>
  <c r="Z23" i="506" s="1"/>
  <c r="AA23" i="506" s="1"/>
  <c r="F251" i="7"/>
  <c r="N55" i="121"/>
  <c r="M55" i="121"/>
  <c r="O66" i="37"/>
  <c r="G66" i="37"/>
  <c r="P30" i="176"/>
  <c r="O56" i="506"/>
  <c r="C45" i="506"/>
  <c r="D45" i="506"/>
  <c r="AC30" i="493"/>
  <c r="AE30" i="493" s="1"/>
  <c r="AI30" i="493" s="1"/>
  <c r="AK30" i="493" s="1"/>
  <c r="E32" i="218"/>
  <c r="F32" i="218" s="1"/>
  <c r="E44" i="7"/>
  <c r="H259" i="131"/>
  <c r="F34" i="37" s="1"/>
  <c r="G34" i="37" s="1"/>
  <c r="AI9" i="493"/>
  <c r="M61" i="131"/>
  <c r="G59" i="131"/>
  <c r="F16" i="455"/>
  <c r="E16" i="455"/>
  <c r="C40" i="506"/>
  <c r="B43" i="506"/>
  <c r="V14" i="493"/>
  <c r="F53" i="218"/>
  <c r="H38" i="471"/>
  <c r="I36" i="471"/>
  <c r="I38" i="471" s="1"/>
  <c r="V8" i="493"/>
  <c r="E247" i="7"/>
  <c r="E244" i="7"/>
  <c r="G54" i="121"/>
  <c r="I54" i="121" s="1"/>
  <c r="R27" i="493"/>
  <c r="Q27" i="493" s="1"/>
  <c r="AA27" i="493"/>
  <c r="AB27" i="493" s="1"/>
  <c r="S27" i="493"/>
  <c r="E13" i="221"/>
  <c r="AC26" i="493"/>
  <c r="AE26" i="493" s="1"/>
  <c r="AI26" i="493" s="1"/>
  <c r="AK26" i="493" s="1"/>
  <c r="O65" i="37"/>
  <c r="S38" i="493"/>
  <c r="AA38" i="493"/>
  <c r="AB38" i="493" s="1"/>
  <c r="R38" i="493"/>
  <c r="Q38" i="493" s="1"/>
  <c r="R58" i="493"/>
  <c r="Q58" i="493" s="1"/>
  <c r="S58" i="493"/>
  <c r="AA58" i="493"/>
  <c r="AB58" i="493" s="1"/>
  <c r="E272" i="7"/>
  <c r="AA49" i="493"/>
  <c r="AB49" i="493" s="1"/>
  <c r="R49" i="493"/>
  <c r="Q49" i="493" s="1"/>
  <c r="S49" i="493"/>
  <c r="AH5" i="493"/>
  <c r="H253" i="131"/>
  <c r="M65" i="37"/>
  <c r="N65" i="37"/>
  <c r="E92" i="506"/>
  <c r="F90" i="506"/>
  <c r="C89" i="506"/>
  <c r="F188" i="7"/>
  <c r="H254" i="131" s="1"/>
  <c r="L11" i="493"/>
  <c r="F41" i="7"/>
  <c r="F44" i="7" s="1"/>
  <c r="E41" i="221"/>
  <c r="G55" i="121"/>
  <c r="I55" i="121" s="1"/>
  <c r="S28" i="176"/>
  <c r="H37" i="471"/>
  <c r="B58" i="471" s="1"/>
  <c r="B57" i="471"/>
  <c r="I35" i="471"/>
  <c r="I37" i="471" s="1"/>
  <c r="G243" i="131"/>
  <c r="G60" i="131"/>
  <c r="F60" i="7"/>
  <c r="E72" i="7"/>
  <c r="E47" i="221"/>
  <c r="N70" i="37"/>
  <c r="M70" i="37"/>
  <c r="C44" i="506"/>
  <c r="D44" i="506"/>
  <c r="S64" i="491"/>
  <c r="G291" i="131"/>
  <c r="G297" i="131" s="1"/>
  <c r="H44" i="27"/>
  <c r="H46" i="27" s="1"/>
  <c r="O71" i="37"/>
  <c r="AC19" i="493"/>
  <c r="AD19" i="493" s="1"/>
  <c r="AH19" i="493" s="1"/>
  <c r="AJ19" i="493" s="1"/>
  <c r="F38" i="455"/>
  <c r="E38" i="455"/>
  <c r="H60" i="131"/>
  <c r="Q135" i="488"/>
  <c r="E119" i="7"/>
  <c r="G188" i="131" s="1"/>
  <c r="F49" i="121" s="1"/>
  <c r="G49" i="121" s="1"/>
  <c r="I49" i="121" s="1"/>
  <c r="O70" i="37"/>
  <c r="G70" i="37"/>
  <c r="F93" i="506"/>
  <c r="G93" i="506" s="1"/>
  <c r="H93" i="506" s="1"/>
  <c r="I93" i="506" s="1"/>
  <c r="J93" i="506" s="1"/>
  <c r="K93" i="506" s="1"/>
  <c r="L93" i="506" s="1"/>
  <c r="M93" i="506" s="1"/>
  <c r="N93" i="506" s="1"/>
  <c r="O93" i="506" s="1"/>
  <c r="P93" i="506" s="1"/>
  <c r="Q93" i="506" s="1"/>
  <c r="F272" i="7"/>
  <c r="AA39" i="493"/>
  <c r="AB39" i="493" s="1"/>
  <c r="S39" i="493"/>
  <c r="R39" i="493"/>
  <c r="Q39" i="493" s="1"/>
  <c r="V36" i="493"/>
  <c r="G48" i="121"/>
  <c r="P21" i="506"/>
  <c r="Q21" i="506" s="1"/>
  <c r="R21" i="506" s="1"/>
  <c r="S21" i="506" s="1"/>
  <c r="T21" i="506" s="1"/>
  <c r="U21" i="506" s="1"/>
  <c r="V21" i="506" s="1"/>
  <c r="W21" i="506" s="1"/>
  <c r="X21" i="506" s="1"/>
  <c r="Y21" i="506" s="1"/>
  <c r="Z21" i="506" s="1"/>
  <c r="AA21" i="506" s="1"/>
  <c r="B42" i="471"/>
  <c r="E41" i="471"/>
  <c r="E42" i="471" s="1"/>
  <c r="E52" i="221"/>
  <c r="O72" i="37"/>
  <c r="G72" i="37"/>
  <c r="M20" i="506"/>
  <c r="N20" i="506" s="1"/>
  <c r="J41" i="471"/>
  <c r="I41" i="471"/>
  <c r="E182" i="7"/>
  <c r="V60" i="493"/>
  <c r="R7" i="493"/>
  <c r="Q7" i="493" s="1"/>
  <c r="AC7" i="493" s="1"/>
  <c r="AD7" i="493" s="1"/>
  <c r="AH7" i="493" s="1"/>
  <c r="AJ7" i="493" s="1"/>
  <c r="S7" i="493"/>
  <c r="G52" i="121"/>
  <c r="I52" i="121" s="1"/>
  <c r="G71" i="37"/>
  <c r="G14" i="121"/>
  <c r="I14" i="121" s="1"/>
  <c r="N68" i="37"/>
  <c r="M68" i="37"/>
  <c r="U26" i="176"/>
  <c r="V10" i="493"/>
  <c r="F62" i="218"/>
  <c r="N58" i="131"/>
  <c r="H120" i="131"/>
  <c r="H114" i="131"/>
  <c r="G28" i="292" s="1"/>
  <c r="H268" i="131"/>
  <c r="H335" i="131"/>
  <c r="H125" i="131"/>
  <c r="G39" i="292" s="1"/>
  <c r="N53" i="121"/>
  <c r="M53" i="121"/>
  <c r="P24" i="506"/>
  <c r="Q24" i="506" s="1"/>
  <c r="R24" i="506" s="1"/>
  <c r="S24" i="506" s="1"/>
  <c r="T24" i="506" s="1"/>
  <c r="U24" i="506" s="1"/>
  <c r="V24" i="506" s="1"/>
  <c r="W24" i="506" s="1"/>
  <c r="X24" i="506" s="1"/>
  <c r="Y24" i="506" s="1"/>
  <c r="Z24" i="506" s="1"/>
  <c r="AA24" i="506" s="1"/>
  <c r="V64" i="491"/>
  <c r="D44" i="27"/>
  <c r="D46" i="27" s="1"/>
  <c r="D18" i="221"/>
  <c r="G172" i="131"/>
  <c r="F36" i="266"/>
  <c r="G102" i="131"/>
  <c r="G36" i="292"/>
  <c r="E174" i="7" l="1"/>
  <c r="K66" i="493"/>
  <c r="F94" i="7"/>
  <c r="F96" i="7" s="1"/>
  <c r="V58" i="493"/>
  <c r="AC34" i="493"/>
  <c r="AE34" i="493" s="1"/>
  <c r="AI34" i="493" s="1"/>
  <c r="AK34" i="493" s="1"/>
  <c r="V31" i="493"/>
  <c r="D59" i="121"/>
  <c r="D69" i="121" s="1"/>
  <c r="AA66" i="493"/>
  <c r="V38" i="493"/>
  <c r="AB18" i="506"/>
  <c r="L18" i="506" s="1"/>
  <c r="M18" i="506" s="1"/>
  <c r="V7" i="493"/>
  <c r="V39" i="493"/>
  <c r="AC58" i="493"/>
  <c r="AE58" i="493" s="1"/>
  <c r="AI58" i="493" s="1"/>
  <c r="AK58" i="493" s="1"/>
  <c r="V27" i="493"/>
  <c r="N57" i="121"/>
  <c r="AB25" i="506"/>
  <c r="V50" i="493"/>
  <c r="AC25" i="493"/>
  <c r="AE25" i="493" s="1"/>
  <c r="AI25" i="493" s="1"/>
  <c r="AK25" i="493" s="1"/>
  <c r="V49" i="493"/>
  <c r="AB16" i="506"/>
  <c r="L16" i="506" s="1"/>
  <c r="M16" i="506" s="1"/>
  <c r="AB19" i="506"/>
  <c r="L19" i="506" s="1"/>
  <c r="M19" i="506" s="1"/>
  <c r="H53" i="27"/>
  <c r="H13" i="131"/>
  <c r="AK9" i="493"/>
  <c r="E18" i="221"/>
  <c r="AB24" i="506"/>
  <c r="L24" i="506" s="1"/>
  <c r="AB21" i="506"/>
  <c r="L21" i="506" s="1"/>
  <c r="AC39" i="493"/>
  <c r="AE39" i="493" s="1"/>
  <c r="AI39" i="493" s="1"/>
  <c r="AK39" i="493" s="1"/>
  <c r="H276" i="131"/>
  <c r="F40" i="37" s="1"/>
  <c r="G40" i="37" s="1"/>
  <c r="G41" i="212"/>
  <c r="G48" i="212" s="1"/>
  <c r="G61" i="212" s="1"/>
  <c r="AJ5" i="493"/>
  <c r="H17" i="291"/>
  <c r="F40" i="506"/>
  <c r="I40" i="506" s="1"/>
  <c r="C29" i="506" s="1"/>
  <c r="B46" i="506"/>
  <c r="F280" i="7"/>
  <c r="H194" i="131"/>
  <c r="V25" i="493"/>
  <c r="E16" i="7"/>
  <c r="F210" i="7"/>
  <c r="G246" i="131"/>
  <c r="F32" i="121" s="1"/>
  <c r="G32" i="121" s="1"/>
  <c r="I32" i="121" s="1"/>
  <c r="D32" i="221"/>
  <c r="E32" i="221" s="1"/>
  <c r="E17" i="7"/>
  <c r="D63" i="121"/>
  <c r="F278" i="7"/>
  <c r="C57" i="471"/>
  <c r="B59" i="471"/>
  <c r="F186" i="7"/>
  <c r="H252" i="131" s="1"/>
  <c r="AC38" i="493"/>
  <c r="AE38" i="493" s="1"/>
  <c r="AI38" i="493" s="1"/>
  <c r="AK38" i="493" s="1"/>
  <c r="AC27" i="493"/>
  <c r="AE27" i="493" s="1"/>
  <c r="AI27" i="493" s="1"/>
  <c r="AK27" i="493" s="1"/>
  <c r="E253" i="7"/>
  <c r="AB23" i="506"/>
  <c r="L23" i="506" s="1"/>
  <c r="E62" i="221"/>
  <c r="E90" i="7"/>
  <c r="E280" i="7"/>
  <c r="F239" i="7"/>
  <c r="L20" i="495"/>
  <c r="U28" i="176"/>
  <c r="F299" i="7"/>
  <c r="F298" i="7"/>
  <c r="G65" i="37"/>
  <c r="D76" i="37"/>
  <c r="F18" i="455"/>
  <c r="E18" i="455"/>
  <c r="E275" i="7"/>
  <c r="N61" i="131"/>
  <c r="H59" i="131"/>
  <c r="H63" i="131" s="1"/>
  <c r="E36" i="292" s="1"/>
  <c r="E278" i="7"/>
  <c r="R93" i="506"/>
  <c r="D90" i="506" s="1"/>
  <c r="D62" i="506" s="1"/>
  <c r="F12" i="455"/>
  <c r="E12" i="455"/>
  <c r="C58" i="471"/>
  <c r="D58" i="471" s="1"/>
  <c r="E58" i="471" s="1"/>
  <c r="F58" i="471" s="1"/>
  <c r="G58" i="471" s="1"/>
  <c r="H58" i="471" s="1"/>
  <c r="I58" i="471" s="1"/>
  <c r="J58" i="471" s="1"/>
  <c r="K58" i="471" s="1"/>
  <c r="L58" i="471" s="1"/>
  <c r="M58" i="471" s="1"/>
  <c r="N58" i="471" s="1"/>
  <c r="N74" i="37"/>
  <c r="F191" i="7"/>
  <c r="G16" i="455"/>
  <c r="F43" i="455"/>
  <c r="E43" i="455"/>
  <c r="AC31" i="493"/>
  <c r="AE31" i="493" s="1"/>
  <c r="AI31" i="493" s="1"/>
  <c r="AK31" i="493" s="1"/>
  <c r="AF4" i="493"/>
  <c r="AF66" i="493" s="1"/>
  <c r="G17" i="212"/>
  <c r="G24" i="212" s="1"/>
  <c r="G36" i="212" s="1"/>
  <c r="F301" i="7"/>
  <c r="G19" i="455"/>
  <c r="V34" i="493"/>
  <c r="D47" i="506"/>
  <c r="C47" i="506"/>
  <c r="F67" i="37"/>
  <c r="G67" i="37" s="1"/>
  <c r="D58" i="218"/>
  <c r="G13" i="131"/>
  <c r="D53" i="27"/>
  <c r="E269" i="7"/>
  <c r="F58" i="7"/>
  <c r="F68" i="471"/>
  <c r="G66" i="471"/>
  <c r="I76" i="37"/>
  <c r="H152" i="131"/>
  <c r="H158" i="131" s="1"/>
  <c r="G248" i="131"/>
  <c r="F10" i="455"/>
  <c r="E10" i="455"/>
  <c r="F268" i="7"/>
  <c r="S11" i="493"/>
  <c r="R11" i="493"/>
  <c r="Q11" i="493" s="1"/>
  <c r="Q66" i="493" s="1"/>
  <c r="L66" i="493"/>
  <c r="AC49" i="493"/>
  <c r="AD49" i="493" s="1"/>
  <c r="AH49" i="493" s="1"/>
  <c r="AJ49" i="493" s="1"/>
  <c r="X47" i="494"/>
  <c r="D43" i="506"/>
  <c r="C43" i="506"/>
  <c r="F54" i="7"/>
  <c r="V46" i="493"/>
  <c r="E200" i="7"/>
  <c r="D38" i="221" s="1"/>
  <c r="E38" i="221" s="1"/>
  <c r="E38" i="218"/>
  <c r="F38" i="218" s="1"/>
  <c r="F61" i="121"/>
  <c r="X18" i="494"/>
  <c r="C56" i="471"/>
  <c r="D56" i="471" s="1"/>
  <c r="E56" i="471" s="1"/>
  <c r="F56" i="471" s="1"/>
  <c r="G56" i="471" s="1"/>
  <c r="H56" i="471" s="1"/>
  <c r="I56" i="471" s="1"/>
  <c r="J56" i="471" s="1"/>
  <c r="K56" i="471" s="1"/>
  <c r="L56" i="471" s="1"/>
  <c r="M56" i="471" s="1"/>
  <c r="N56" i="471" s="1"/>
  <c r="F300" i="7"/>
  <c r="F18" i="121"/>
  <c r="G240" i="131"/>
  <c r="E268" i="7"/>
  <c r="F57" i="7"/>
  <c r="H16" i="292"/>
  <c r="E194" i="7"/>
  <c r="F92" i="506"/>
  <c r="G92" i="506" s="1"/>
  <c r="H92" i="506" s="1"/>
  <c r="I92" i="506" s="1"/>
  <c r="J92" i="506" s="1"/>
  <c r="K92" i="506" s="1"/>
  <c r="L92" i="506" s="1"/>
  <c r="M92" i="506" s="1"/>
  <c r="N92" i="506" s="1"/>
  <c r="O92" i="506" s="1"/>
  <c r="P92" i="506" s="1"/>
  <c r="Q92" i="506" s="1"/>
  <c r="M74" i="37"/>
  <c r="F55" i="7"/>
  <c r="C59" i="221"/>
  <c r="F53" i="7"/>
  <c r="G63" i="131"/>
  <c r="E35" i="291" s="1"/>
  <c r="M344" i="131"/>
  <c r="F269" i="7"/>
  <c r="M57" i="121"/>
  <c r="AB54" i="493"/>
  <c r="AB66" i="493" s="1"/>
  <c r="E20" i="292"/>
  <c r="H47" i="494"/>
  <c r="I18" i="494"/>
  <c r="E47" i="7"/>
  <c r="H18" i="292"/>
  <c r="L76" i="506"/>
  <c r="F297" i="7"/>
  <c r="N17" i="506"/>
  <c r="I47" i="494"/>
  <c r="G266" i="131"/>
  <c r="F38" i="121" s="1"/>
  <c r="G38" i="121" s="1"/>
  <c r="I38" i="121" s="1"/>
  <c r="G35" i="291"/>
  <c r="J53" i="27" l="1"/>
  <c r="J55" i="27" s="1"/>
  <c r="I52" i="494"/>
  <c r="AC54" i="493"/>
  <c r="AE54" i="493" s="1"/>
  <c r="AI54" i="493" s="1"/>
  <c r="AK54" i="493" s="1"/>
  <c r="N16" i="506"/>
  <c r="R92" i="506"/>
  <c r="C90" i="506" s="1"/>
  <c r="C62" i="506" s="1"/>
  <c r="R66" i="493"/>
  <c r="N19" i="506"/>
  <c r="E277" i="7"/>
  <c r="H36" i="292"/>
  <c r="E276" i="7"/>
  <c r="I80" i="37"/>
  <c r="L76" i="37"/>
  <c r="M24" i="506"/>
  <c r="N24" i="506" s="1"/>
  <c r="G126" i="131"/>
  <c r="G29" i="291" s="1"/>
  <c r="H17" i="292"/>
  <c r="H274" i="131"/>
  <c r="F32" i="37" s="1"/>
  <c r="G32" i="37" s="1"/>
  <c r="D22" i="455"/>
  <c r="E23" i="455" s="1"/>
  <c r="D72" i="455"/>
  <c r="D88" i="37"/>
  <c r="D80" i="37"/>
  <c r="G56" i="131"/>
  <c r="D57" i="471"/>
  <c r="C59" i="471"/>
  <c r="F17" i="7"/>
  <c r="E56" i="218"/>
  <c r="F56" i="218" s="1"/>
  <c r="L25" i="506"/>
  <c r="C2" i="506" s="1"/>
  <c r="M21" i="506"/>
  <c r="N21" i="506" s="1"/>
  <c r="H66" i="471"/>
  <c r="G68" i="471"/>
  <c r="F205" i="7"/>
  <c r="H271" i="131"/>
  <c r="O56" i="471"/>
  <c r="K61" i="121"/>
  <c r="J61" i="121"/>
  <c r="G61" i="121"/>
  <c r="F56" i="7"/>
  <c r="F206" i="7" s="1"/>
  <c r="E267" i="7"/>
  <c r="AC11" i="493"/>
  <c r="G10" i="455"/>
  <c r="H39" i="292"/>
  <c r="G260" i="131"/>
  <c r="G20" i="131"/>
  <c r="E51" i="7"/>
  <c r="E61" i="7" s="1"/>
  <c r="H257" i="131"/>
  <c r="H260" i="131" s="1"/>
  <c r="C64" i="221"/>
  <c r="E61" i="221"/>
  <c r="E64" i="221" s="1"/>
  <c r="E89" i="7"/>
  <c r="M23" i="506"/>
  <c r="AD66" i="493"/>
  <c r="F274" i="7"/>
  <c r="F15" i="455"/>
  <c r="E15" i="455"/>
  <c r="D46" i="506"/>
  <c r="D49" i="506" s="1"/>
  <c r="C46" i="506"/>
  <c r="C49" i="506" s="1"/>
  <c r="H24" i="291"/>
  <c r="P47" i="494"/>
  <c r="G123" i="131"/>
  <c r="G14" i="291" s="1"/>
  <c r="F208" i="7"/>
  <c r="H292" i="131"/>
  <c r="H297" i="131" s="1"/>
  <c r="R20" i="495"/>
  <c r="F16" i="7"/>
  <c r="E49" i="218"/>
  <c r="F49" i="218" s="1"/>
  <c r="F275" i="7"/>
  <c r="F302" i="7"/>
  <c r="E197" i="7"/>
  <c r="E21" i="218"/>
  <c r="F204" i="7"/>
  <c r="H27" i="291"/>
  <c r="F267" i="7"/>
  <c r="V11" i="493"/>
  <c r="V66" i="493" s="1"/>
  <c r="H23" i="291"/>
  <c r="E271" i="7"/>
  <c r="O58" i="471"/>
  <c r="H31" i="291"/>
  <c r="D50" i="221"/>
  <c r="E50" i="221" s="1"/>
  <c r="F90" i="7"/>
  <c r="E274" i="7"/>
  <c r="F59" i="7"/>
  <c r="H52" i="494"/>
  <c r="H269" i="131"/>
  <c r="M346" i="131"/>
  <c r="F207" i="7"/>
  <c r="G18" i="121"/>
  <c r="H16" i="291"/>
  <c r="H270" i="131"/>
  <c r="F20" i="37" s="1"/>
  <c r="G20" i="37" s="1"/>
  <c r="D50" i="455"/>
  <c r="E51" i="455" s="1"/>
  <c r="F271" i="7"/>
  <c r="S66" i="493"/>
  <c r="F248" i="7"/>
  <c r="F244" i="7"/>
  <c r="H25" i="291"/>
  <c r="D63" i="218"/>
  <c r="F60" i="218"/>
  <c r="F18" i="37"/>
  <c r="H240" i="131"/>
  <c r="AJ66" i="493"/>
  <c r="H34" i="291"/>
  <c r="H20" i="131"/>
  <c r="G18" i="455"/>
  <c r="H33" i="291"/>
  <c r="H36" i="291"/>
  <c r="F203" i="7"/>
  <c r="H273" i="131"/>
  <c r="F31" i="37" s="1"/>
  <c r="G31" i="37" s="1"/>
  <c r="N18" i="506"/>
  <c r="H169" i="131"/>
  <c r="L85" i="37" s="1"/>
  <c r="X52" i="494"/>
  <c r="K75" i="506"/>
  <c r="K72" i="506"/>
  <c r="K69" i="506"/>
  <c r="K73" i="506"/>
  <c r="K70" i="506"/>
  <c r="K67" i="506"/>
  <c r="K74" i="506"/>
  <c r="K71" i="506"/>
  <c r="K68" i="506"/>
  <c r="F194" i="7"/>
  <c r="H21" i="291"/>
  <c r="H20" i="292"/>
  <c r="AH66" i="493"/>
  <c r="H35" i="291"/>
  <c r="AH68" i="493" l="1"/>
  <c r="AH69" i="493" s="1"/>
  <c r="F61" i="7"/>
  <c r="F63" i="7" s="1"/>
  <c r="F51" i="455"/>
  <c r="H24" i="292"/>
  <c r="H37" i="292"/>
  <c r="H123" i="131"/>
  <c r="G14" i="292" s="1"/>
  <c r="H34" i="292"/>
  <c r="H28" i="292"/>
  <c r="H26" i="292"/>
  <c r="H35" i="292"/>
  <c r="H22" i="292"/>
  <c r="H32" i="292"/>
  <c r="G263" i="131"/>
  <c r="F21" i="121" s="1"/>
  <c r="K260" i="131"/>
  <c r="F23" i="455"/>
  <c r="F6" i="455" s="1"/>
  <c r="O18" i="494"/>
  <c r="F277" i="7"/>
  <c r="H29" i="291"/>
  <c r="H14" i="291"/>
  <c r="E35" i="455"/>
  <c r="E7" i="455"/>
  <c r="E34" i="455"/>
  <c r="E6" i="455"/>
  <c r="G124" i="131"/>
  <c r="G15" i="291" s="1"/>
  <c r="H22" i="291"/>
  <c r="P18" i="494"/>
  <c r="P52" i="494" s="1"/>
  <c r="H25" i="131"/>
  <c r="H26" i="131" s="1"/>
  <c r="H324" i="131"/>
  <c r="E15" i="7"/>
  <c r="F63" i="218"/>
  <c r="F253" i="7"/>
  <c r="F209" i="7"/>
  <c r="F211" i="7" s="1"/>
  <c r="F213" i="7" s="1"/>
  <c r="F78" i="37"/>
  <c r="K297" i="131"/>
  <c r="H68" i="471"/>
  <c r="I66" i="471"/>
  <c r="D59" i="471"/>
  <c r="E57" i="471"/>
  <c r="E28" i="291"/>
  <c r="H56" i="131"/>
  <c r="G65" i="131"/>
  <c r="E282" i="7"/>
  <c r="C37" i="11"/>
  <c r="E301" i="7"/>
  <c r="F276" i="7"/>
  <c r="K76" i="506"/>
  <c r="E297" i="7"/>
  <c r="D67" i="176"/>
  <c r="G122" i="131"/>
  <c r="C40" i="291"/>
  <c r="D51" i="455"/>
  <c r="I18" i="121"/>
  <c r="F29" i="37"/>
  <c r="G29" i="37" s="1"/>
  <c r="H275" i="131"/>
  <c r="F39" i="37" s="1"/>
  <c r="G39" i="37" s="1"/>
  <c r="E270" i="7"/>
  <c r="G345" i="131"/>
  <c r="AD68" i="493" s="1"/>
  <c r="AD70" i="493" s="1"/>
  <c r="E201" i="7"/>
  <c r="D39" i="221" s="1"/>
  <c r="E39" i="221" s="1"/>
  <c r="E39" i="218"/>
  <c r="F39" i="218" s="1"/>
  <c r="D80" i="455"/>
  <c r="G72" i="455"/>
  <c r="F282" i="7"/>
  <c r="E300" i="7"/>
  <c r="I240" i="131"/>
  <c r="H26" i="291"/>
  <c r="F21" i="218"/>
  <c r="F270" i="7"/>
  <c r="N18" i="494"/>
  <c r="G267" i="131"/>
  <c r="F39" i="121" s="1"/>
  <c r="G39" i="121" s="1"/>
  <c r="I39" i="121" s="1"/>
  <c r="AE11" i="493"/>
  <c r="AC66" i="493"/>
  <c r="H272" i="131"/>
  <c r="F21" i="37" s="1"/>
  <c r="G21" i="37" s="1"/>
  <c r="S47" i="494"/>
  <c r="J35" i="471"/>
  <c r="J20" i="471"/>
  <c r="H20" i="291"/>
  <c r="F279" i="7"/>
  <c r="D84" i="37"/>
  <c r="D63" i="176"/>
  <c r="E61" i="176" s="1"/>
  <c r="G18" i="37"/>
  <c r="O47" i="494"/>
  <c r="D21" i="221"/>
  <c r="G25" i="131"/>
  <c r="G26" i="131" s="1"/>
  <c r="G324" i="131"/>
  <c r="E279" i="7"/>
  <c r="H19" i="291"/>
  <c r="E82" i="37"/>
  <c r="L80" i="37"/>
  <c r="L86" i="37" s="1"/>
  <c r="S18" i="494"/>
  <c r="E281" i="7"/>
  <c r="H37" i="291"/>
  <c r="E298" i="7"/>
  <c r="E299" i="7"/>
  <c r="M25" i="506"/>
  <c r="M345" i="131"/>
  <c r="E63" i="7"/>
  <c r="G15" i="455"/>
  <c r="N23" i="506"/>
  <c r="N25" i="506" s="1"/>
  <c r="D49" i="221"/>
  <c r="E49" i="221" s="1"/>
  <c r="F89" i="7"/>
  <c r="E91" i="7"/>
  <c r="E99" i="7" s="1"/>
  <c r="H38" i="291"/>
  <c r="G346" i="131" l="1"/>
  <c r="G347" i="131" s="1"/>
  <c r="G348" i="131" s="1"/>
  <c r="G349" i="131" s="1"/>
  <c r="F31" i="212" s="1"/>
  <c r="H31" i="212" s="1"/>
  <c r="O52" i="494"/>
  <c r="E62" i="176"/>
  <c r="S11" i="176" s="1"/>
  <c r="F34" i="455"/>
  <c r="F7" i="455"/>
  <c r="F35" i="455"/>
  <c r="H277" i="131"/>
  <c r="H299" i="131" s="1"/>
  <c r="H301" i="131" s="1"/>
  <c r="J85" i="37" s="1"/>
  <c r="H124" i="131"/>
  <c r="G15" i="292" s="1"/>
  <c r="E283" i="7"/>
  <c r="H25" i="292"/>
  <c r="H126" i="131"/>
  <c r="G30" i="292" s="1"/>
  <c r="H38" i="292"/>
  <c r="H21" i="292"/>
  <c r="H14" i="292"/>
  <c r="H23" i="292"/>
  <c r="H27" i="292"/>
  <c r="N47" i="494"/>
  <c r="D23" i="455"/>
  <c r="E211" i="7"/>
  <c r="M347" i="131" s="1"/>
  <c r="G277" i="131"/>
  <c r="G299" i="131" s="1"/>
  <c r="G301" i="131" s="1"/>
  <c r="E63" i="176"/>
  <c r="R11" i="176"/>
  <c r="F15" i="7"/>
  <c r="E48" i="218"/>
  <c r="E18" i="7"/>
  <c r="E65" i="7" s="1"/>
  <c r="F57" i="471"/>
  <c r="E59" i="471"/>
  <c r="G6" i="455"/>
  <c r="G76" i="37"/>
  <c r="AI11" i="493"/>
  <c r="AE66" i="493"/>
  <c r="E21" i="221"/>
  <c r="E59" i="221" s="1"/>
  <c r="D59" i="221"/>
  <c r="F281" i="7"/>
  <c r="F283" i="7" s="1"/>
  <c r="F304" i="7" s="1"/>
  <c r="G326" i="131"/>
  <c r="G327" i="131" s="1"/>
  <c r="G329" i="131" s="1"/>
  <c r="F76" i="37"/>
  <c r="G80" i="455"/>
  <c r="H326" i="131"/>
  <c r="H327" i="131" s="1"/>
  <c r="H329" i="131" s="1"/>
  <c r="C45" i="292"/>
  <c r="G7" i="455"/>
  <c r="E40" i="291"/>
  <c r="H28" i="291"/>
  <c r="G82" i="37"/>
  <c r="E84" i="37"/>
  <c r="G13" i="291"/>
  <c r="G128" i="131"/>
  <c r="G130" i="131" s="1"/>
  <c r="E302" i="7"/>
  <c r="E304" i="7" s="1"/>
  <c r="H15" i="291"/>
  <c r="F91" i="7"/>
  <c r="F99" i="7" s="1"/>
  <c r="F215" i="7" s="1"/>
  <c r="D41" i="212"/>
  <c r="H330" i="131"/>
  <c r="D75" i="176"/>
  <c r="E74" i="176" s="1"/>
  <c r="G21" i="121"/>
  <c r="F59" i="121"/>
  <c r="E29" i="292"/>
  <c r="H65" i="131"/>
  <c r="I68" i="471"/>
  <c r="J66" i="471"/>
  <c r="J78" i="37"/>
  <c r="G78" i="37"/>
  <c r="K78" i="37" s="1"/>
  <c r="H331" i="131" l="1"/>
  <c r="D45" i="212" s="1"/>
  <c r="H45" i="212" s="1"/>
  <c r="E213" i="7"/>
  <c r="E215" i="7" s="1"/>
  <c r="H279" i="131"/>
  <c r="H30" i="292"/>
  <c r="H15" i="292"/>
  <c r="C41" i="292"/>
  <c r="C46" i="292" s="1"/>
  <c r="H122" i="131"/>
  <c r="D68" i="176"/>
  <c r="D69" i="176" s="1"/>
  <c r="E68" i="176" s="1"/>
  <c r="S16" i="176" s="1"/>
  <c r="G279" i="131"/>
  <c r="K277" i="131"/>
  <c r="S21" i="176"/>
  <c r="S20" i="176"/>
  <c r="K59" i="121"/>
  <c r="K60" i="121" s="1"/>
  <c r="J59" i="121"/>
  <c r="G65" i="121"/>
  <c r="F63" i="121"/>
  <c r="F51" i="11"/>
  <c r="G40" i="291"/>
  <c r="H13" i="291"/>
  <c r="F48" i="218"/>
  <c r="F58" i="218" s="1"/>
  <c r="E58" i="218"/>
  <c r="AK11" i="493"/>
  <c r="AK66" i="493" s="1"/>
  <c r="AI66" i="493"/>
  <c r="AI68" i="493" s="1"/>
  <c r="I21" i="121"/>
  <c r="G59" i="121"/>
  <c r="G63" i="121" s="1"/>
  <c r="K76" i="37"/>
  <c r="G80" i="37"/>
  <c r="F18" i="7"/>
  <c r="F65" i="7" s="1"/>
  <c r="U11" i="176"/>
  <c r="D17" i="212"/>
  <c r="G330" i="131"/>
  <c r="H29" i="292"/>
  <c r="E41" i="292"/>
  <c r="I59" i="221"/>
  <c r="H59" i="221"/>
  <c r="F59" i="471"/>
  <c r="G57" i="471"/>
  <c r="D51" i="11"/>
  <c r="F80" i="37"/>
  <c r="J76" i="37"/>
  <c r="K66" i="471"/>
  <c r="J68" i="471"/>
  <c r="E73" i="176"/>
  <c r="E67" i="176"/>
  <c r="H345" i="131"/>
  <c r="AE68" i="493" s="1"/>
  <c r="AE70" i="493" s="1"/>
  <c r="G50" i="291" l="1"/>
  <c r="G331" i="131"/>
  <c r="D22" i="212" s="1"/>
  <c r="H22" i="212" s="1"/>
  <c r="S14" i="176"/>
  <c r="S17" i="176" s="1"/>
  <c r="S15" i="176"/>
  <c r="H128" i="131"/>
  <c r="H130" i="131" s="1"/>
  <c r="G13" i="292"/>
  <c r="C45" i="291"/>
  <c r="C41" i="11"/>
  <c r="C51" i="11" s="1"/>
  <c r="F67" i="7" s="1"/>
  <c r="E69" i="176"/>
  <c r="R16" i="176"/>
  <c r="U16" i="176" s="1"/>
  <c r="R15" i="176"/>
  <c r="R14" i="176"/>
  <c r="G86" i="37"/>
  <c r="K80" i="37"/>
  <c r="I85" i="37"/>
  <c r="G84" i="37"/>
  <c r="J63" i="121"/>
  <c r="K63" i="121"/>
  <c r="K65" i="121" s="1"/>
  <c r="G68" i="121"/>
  <c r="G66" i="121"/>
  <c r="E75" i="176"/>
  <c r="R21" i="176"/>
  <c r="U21" i="176" s="1"/>
  <c r="R20" i="176"/>
  <c r="G59" i="471"/>
  <c r="H57" i="471"/>
  <c r="H40" i="291"/>
  <c r="I40" i="291" s="1"/>
  <c r="G73" i="455"/>
  <c r="L66" i="471"/>
  <c r="K68" i="471"/>
  <c r="F84" i="37"/>
  <c r="J80" i="37"/>
  <c r="J86" i="37" s="1"/>
  <c r="J58" i="218"/>
  <c r="I58" i="218"/>
  <c r="J60" i="121"/>
  <c r="H341" i="131"/>
  <c r="S22" i="176"/>
  <c r="D48" i="212"/>
  <c r="AI69" i="493"/>
  <c r="H346" i="131"/>
  <c r="U15" i="176" l="1"/>
  <c r="G41" i="292"/>
  <c r="H13" i="292"/>
  <c r="L68" i="471"/>
  <c r="M66" i="471"/>
  <c r="D24" i="212"/>
  <c r="D53" i="455"/>
  <c r="E54" i="455" s="1"/>
  <c r="I73" i="455"/>
  <c r="G81" i="455"/>
  <c r="G82" i="455" s="1"/>
  <c r="G74" i="455"/>
  <c r="I57" i="471"/>
  <c r="H59" i="471"/>
  <c r="F41" i="212"/>
  <c r="F48" i="212" s="1"/>
  <c r="S30" i="176"/>
  <c r="U20" i="176"/>
  <c r="R22" i="176"/>
  <c r="E41" i="212"/>
  <c r="S46" i="176"/>
  <c r="H347" i="131"/>
  <c r="H348" i="131" s="1"/>
  <c r="H349" i="131" s="1"/>
  <c r="D73" i="455"/>
  <c r="F72" i="455"/>
  <c r="I72" i="455"/>
  <c r="H342" i="131"/>
  <c r="U14" i="176"/>
  <c r="R17" i="176"/>
  <c r="H41" i="292" l="1"/>
  <c r="I41" i="292" s="1"/>
  <c r="I42" i="292" s="1"/>
  <c r="H44" i="292"/>
  <c r="G49" i="292"/>
  <c r="F55" i="212"/>
  <c r="H55" i="212" s="1"/>
  <c r="H343" i="131"/>
  <c r="I74" i="455"/>
  <c r="U17" i="176"/>
  <c r="E17" i="212"/>
  <c r="R46" i="176"/>
  <c r="D25" i="455"/>
  <c r="E26" i="455" s="1"/>
  <c r="G83" i="455"/>
  <c r="E307" i="7" s="1"/>
  <c r="E312" i="7" s="1"/>
  <c r="F73" i="455"/>
  <c r="D81" i="455"/>
  <c r="D82" i="455" s="1"/>
  <c r="D74" i="455"/>
  <c r="E48" i="212"/>
  <c r="H41" i="212"/>
  <c r="E44" i="455"/>
  <c r="E36" i="455"/>
  <c r="U22" i="176"/>
  <c r="F17" i="212"/>
  <c r="F24" i="212" s="1"/>
  <c r="F36" i="212" s="1"/>
  <c r="R30" i="176"/>
  <c r="J57" i="471"/>
  <c r="I59" i="471"/>
  <c r="F54" i="455"/>
  <c r="N66" i="471"/>
  <c r="M68" i="471"/>
  <c r="F74" i="455" l="1"/>
  <c r="F26" i="455"/>
  <c r="D26" i="455" s="1"/>
  <c r="J59" i="471"/>
  <c r="K57" i="471"/>
  <c r="E17" i="455"/>
  <c r="E8" i="455"/>
  <c r="E37" i="455"/>
  <c r="E9" i="455"/>
  <c r="N68" i="471"/>
  <c r="O68" i="471" s="1"/>
  <c r="O66" i="471"/>
  <c r="B70" i="471" s="1"/>
  <c r="A70" i="471" s="1"/>
  <c r="H48" i="212"/>
  <c r="F56" i="212"/>
  <c r="F44" i="455"/>
  <c r="F36" i="455"/>
  <c r="D54" i="455"/>
  <c r="H336" i="131"/>
  <c r="H337" i="131" s="1"/>
  <c r="E52" i="212" s="1"/>
  <c r="H52" i="212" s="1"/>
  <c r="E24" i="212"/>
  <c r="H17" i="212"/>
  <c r="D83" i="455"/>
  <c r="D84" i="455"/>
  <c r="G84" i="455"/>
  <c r="F307" i="7" s="1"/>
  <c r="F312" i="7" s="1"/>
  <c r="E26" i="477" l="1"/>
  <c r="L57" i="471"/>
  <c r="K59" i="471"/>
  <c r="E28" i="477"/>
  <c r="H24" i="212"/>
  <c r="H56" i="212"/>
  <c r="F61" i="212"/>
  <c r="E61" i="212"/>
  <c r="E22" i="477"/>
  <c r="E23" i="477"/>
  <c r="G336" i="131"/>
  <c r="G337" i="131" s="1"/>
  <c r="J24" i="212"/>
  <c r="J25" i="212" s="1"/>
  <c r="E21" i="477"/>
  <c r="E27" i="477"/>
  <c r="F17" i="455"/>
  <c r="F8" i="455"/>
  <c r="F37" i="455"/>
  <c r="F9" i="455"/>
  <c r="G9" i="455" s="1"/>
  <c r="E54" i="477" l="1"/>
  <c r="E28" i="212"/>
  <c r="E61" i="477"/>
  <c r="E59" i="477"/>
  <c r="E20" i="477"/>
  <c r="E31" i="477" s="1"/>
  <c r="C31" i="477"/>
  <c r="E56" i="477"/>
  <c r="E60" i="477"/>
  <c r="E55" i="477"/>
  <c r="M57" i="471"/>
  <c r="L59" i="471"/>
  <c r="H28" i="212" l="1"/>
  <c r="E36" i="212"/>
  <c r="F314" i="7"/>
  <c r="E314" i="7"/>
  <c r="M59" i="471"/>
  <c r="N57" i="471"/>
  <c r="E53" i="477" l="1"/>
  <c r="E64" i="477" s="1"/>
  <c r="C64" i="477"/>
  <c r="D46" i="471"/>
  <c r="N59" i="471"/>
  <c r="O59" i="471" s="1"/>
  <c r="E46" i="471"/>
  <c r="O57" i="471"/>
  <c r="D51" i="471" l="1"/>
  <c r="D53" i="471"/>
  <c r="J36" i="471"/>
  <c r="J38" i="471" s="1"/>
  <c r="B61" i="471"/>
  <c r="A61" i="471" s="1"/>
  <c r="E51" i="471"/>
  <c r="G46" i="471"/>
  <c r="G53" i="471" s="1"/>
  <c r="E53" i="471"/>
  <c r="F53" i="471" l="1"/>
  <c r="E52" i="471"/>
  <c r="F52" i="471" s="1"/>
  <c r="G52" i="471" s="1"/>
  <c r="F51" i="471"/>
  <c r="G51" i="471" s="1"/>
  <c r="G395" i="131" l="1"/>
  <c r="H397" i="131" s="1"/>
  <c r="E72" i="455"/>
  <c r="H72" i="455"/>
  <c r="H73" i="455"/>
  <c r="E73" i="455"/>
  <c r="H74" i="455"/>
  <c r="E74" i="455"/>
  <c r="H396" i="131" l="1"/>
  <c r="I396" i="131" s="1"/>
  <c r="J397" i="131"/>
  <c r="H380" i="131" s="1"/>
  <c r="I397" i="131"/>
  <c r="J396" i="131" l="1"/>
  <c r="G380" i="131" s="1"/>
  <c r="K397" i="131"/>
  <c r="H381" i="131"/>
  <c r="H382" i="131" s="1"/>
  <c r="G381" i="131"/>
  <c r="K396" i="131" l="1"/>
  <c r="G382" i="131"/>
  <c r="H33" i="131"/>
  <c r="H34" i="131" s="1"/>
  <c r="H35" i="131" s="1"/>
  <c r="G33" i="131" l="1"/>
  <c r="G34" i="131" s="1"/>
  <c r="G35" i="131" s="1"/>
  <c r="G373" i="131" l="1"/>
  <c r="H373" i="131"/>
  <c r="G37" i="131" l="1"/>
  <c r="G364" i="131"/>
  <c r="H364" i="131"/>
  <c r="H37" i="131"/>
  <c r="H366" i="131" l="1"/>
  <c r="H368" i="131" s="1"/>
  <c r="D59" i="212"/>
  <c r="D34" i="212"/>
  <c r="G366" i="131"/>
  <c r="G368" i="131" s="1"/>
  <c r="D61" i="212" l="1"/>
  <c r="H59" i="212"/>
  <c r="H61" i="212" s="1"/>
  <c r="D36" i="212"/>
  <c r="H34" i="212"/>
  <c r="H36" i="212" s="1"/>
  <c r="H377" i="131" l="1"/>
  <c r="H384" i="131" s="1"/>
  <c r="H386" i="131" s="1"/>
  <c r="G377" i="131"/>
  <c r="G384" i="131" s="1"/>
  <c r="G386" i="131" s="1"/>
</calcChain>
</file>

<file path=xl/sharedStrings.xml><?xml version="1.0" encoding="utf-8"?>
<sst xmlns="http://schemas.openxmlformats.org/spreadsheetml/2006/main" count="4006" uniqueCount="1244">
  <si>
    <t>Total Adjustments to Utility Plant in Service</t>
  </si>
  <si>
    <t>(HIDE)</t>
  </si>
  <si>
    <t>6760 &amp; 6765</t>
  </si>
  <si>
    <t>6540 &amp; 6545</t>
  </si>
  <si>
    <t>Accounts Payable</t>
  </si>
  <si>
    <t>Accrued Taxes</t>
  </si>
  <si>
    <t>No</t>
  </si>
  <si>
    <t>Sewer</t>
  </si>
  <si>
    <t>Schedule of Adjustments to Operating Income</t>
  </si>
  <si>
    <t>Schedule: B-3</t>
  </si>
  <si>
    <t>(7)</t>
  </si>
  <si>
    <t>336.4  Backflow Prevention Devices</t>
  </si>
  <si>
    <t>RECLAIMED WATER TREATMENT PLANT</t>
  </si>
  <si>
    <t>353.5 Land &amp; Land Rights</t>
  </si>
  <si>
    <t>354.5 Structures &amp; Improvements</t>
  </si>
  <si>
    <t>355.5 Power Generation Equipment</t>
  </si>
  <si>
    <t>371.5 Pumping Equipment</t>
  </si>
  <si>
    <t>380.5 Treatment &amp; Disposal Equipment</t>
  </si>
  <si>
    <t>381.5 Plant Sewers</t>
  </si>
  <si>
    <t>389.5 Other Plant &amp; Misc. Equipment</t>
  </si>
  <si>
    <t>RECLAIMED WATER DISTRIBUTION PLANT</t>
  </si>
  <si>
    <t>352.6  Franchises</t>
  </si>
  <si>
    <t>353.6 Land &amp; Land Rights</t>
  </si>
  <si>
    <t>354.6  Structures &amp; Improvements</t>
  </si>
  <si>
    <t>355.6 Power Generation Equipment</t>
  </si>
  <si>
    <t>366.6 Reuse Services</t>
  </si>
  <si>
    <t>367.6 Reuse Meters &amp; Meter Installations</t>
  </si>
  <si>
    <t>371.6 Pumping Equipment</t>
  </si>
  <si>
    <t>375.6 Reuse Transmission &amp; Distribution System</t>
  </si>
  <si>
    <t>389.6 Other Plant &amp; Miscellaneous Equipment</t>
  </si>
  <si>
    <t>310.3 Power Generation Equipment</t>
  </si>
  <si>
    <t>311.3 Pumping Equipment - WTP</t>
  </si>
  <si>
    <t>Ties to bill???</t>
  </si>
  <si>
    <t>2. Payroll Taxes</t>
  </si>
  <si>
    <t>ADJUSTMENTS TO TEST YEAR (Explain):</t>
  </si>
  <si>
    <t>PRO FORMA ADJUSTMENTS</t>
  </si>
  <si>
    <t>Total Taxes Other than Income - Water</t>
  </si>
  <si>
    <t>Total Taxes Other than Income - Wastewater</t>
  </si>
  <si>
    <t xml:space="preserve">Adjusted Test Year TOTI - Water </t>
  </si>
  <si>
    <t xml:space="preserve">Adjusted Test Year TOTI - Wastewater </t>
  </si>
  <si>
    <t>AA</t>
  </si>
  <si>
    <t>AA + UA</t>
  </si>
  <si>
    <t>UA</t>
  </si>
  <si>
    <t>Taxes Other Than Income (TOTI)</t>
  </si>
  <si>
    <t>Test Year Adjustments</t>
  </si>
  <si>
    <t xml:space="preserve">RAF Rate </t>
  </si>
  <si>
    <t>Adjusted Test Year RAF</t>
  </si>
  <si>
    <t>Total Test Year Adjusted Revenues</t>
  </si>
  <si>
    <t>Pro Forma Adjustments</t>
  </si>
  <si>
    <t>Additional Revenues Requested</t>
  </si>
  <si>
    <t>Total Test Year Adjustments to TOTI</t>
  </si>
  <si>
    <t>601/701 Salary &amp; Wages</t>
  </si>
  <si>
    <t>PLANT</t>
  </si>
  <si>
    <t>Need to breakdown between FM and Svc</t>
  </si>
  <si>
    <t>W</t>
  </si>
  <si>
    <t>Deprec included with FM - Need to breakdown between FM and Svc</t>
  </si>
  <si>
    <t>6595 &amp; 6835</t>
  </si>
  <si>
    <t>6610, 6850</t>
  </si>
  <si>
    <t>6715, 6717</t>
  </si>
  <si>
    <t>6615, 6855</t>
  </si>
  <si>
    <t>6585.6825,6920-6923</t>
  </si>
  <si>
    <t>311.4 Electric Pumping Equipment - T&amp;D</t>
  </si>
  <si>
    <t>Adjustments to Depreciation Expense:</t>
  </si>
  <si>
    <t>See note in col K</t>
  </si>
  <si>
    <t>(a)</t>
  </si>
  <si>
    <t>(b)</t>
  </si>
  <si>
    <t>(c)</t>
  </si>
  <si>
    <t>Total Accumulated Depreciation Adjustments</t>
  </si>
  <si>
    <t>341.5 / 391.7  Transportation Equipment</t>
  </si>
  <si>
    <t>(d)</t>
  </si>
  <si>
    <t>CIAC-SEWER GRAVITY MAIN</t>
  </si>
  <si>
    <t>WATER SALES</t>
  </si>
  <si>
    <t>SEWER SALES</t>
  </si>
  <si>
    <t>Total</t>
  </si>
  <si>
    <t>Account No. and Description</t>
  </si>
  <si>
    <t>521.1 Flat Rate - Residential</t>
  </si>
  <si>
    <t>521.2 Flat Rate - Commercial</t>
  </si>
  <si>
    <t>461.2 Metered - Commercial</t>
  </si>
  <si>
    <t>521.3 Flat Rate - Industrial</t>
  </si>
  <si>
    <t>Explanation: Provide a detailed description of all adjustments to operating income per books, with a total for each line item shown on the net operating income statement.</t>
  </si>
  <si>
    <t>Prior Year</t>
  </si>
  <si>
    <t>CHECK</t>
  </si>
  <si>
    <t>461.3 Metered - Industrial</t>
  </si>
  <si>
    <t>521.4 Flat Rate - Public Authorities</t>
  </si>
  <si>
    <t>Florida Public Service Commission</t>
  </si>
  <si>
    <t>Page 1 of 3</t>
  </si>
  <si>
    <t>Interim [  ] Final [X]</t>
  </si>
  <si>
    <t xml:space="preserve">Explanation:  Provide the total amount of rate case expense requested in the application.  State whether the total includes the amount up to proposed agency action or through a hearing before the Commission.   Provide a list of each firm providing services for the applicant, the individuals for each firm assisting in the application, including each individual's hourly rate, and an estimate of the total charges to be incurred by each firm, as well as a description of the type of services provided. Also provide the additional information for amortization and allocation method, including support behind this determination.  </t>
  </si>
  <si>
    <t>(8)</t>
  </si>
  <si>
    <t>(9)</t>
  </si>
  <si>
    <t>(10)</t>
  </si>
  <si>
    <t>(11)</t>
  </si>
  <si>
    <t>(12)</t>
  </si>
  <si>
    <t>Non-Used &amp;</t>
  </si>
  <si>
    <t>Account No. and Name</t>
  </si>
  <si>
    <t>Average</t>
  </si>
  <si>
    <t>Useful %</t>
  </si>
  <si>
    <t>Amount</t>
  </si>
  <si>
    <t>INTANGIBLE PLANT</t>
  </si>
  <si>
    <t>Explanation: Provide month ending balances for each month of the test year and the ending balance for the prior year.</t>
  </si>
  <si>
    <t>Schedule of Water Accumulated Depreciation By Primary Account</t>
  </si>
  <si>
    <t>Schedule: A-9</t>
  </si>
  <si>
    <t>Construction Work in Progress</t>
  </si>
  <si>
    <t>353.4  Land &amp; Land Rights</t>
  </si>
  <si>
    <t>354.4  Structures &amp; Improvements</t>
  </si>
  <si>
    <t>380.4  Treatment &amp; Disposal Equipment</t>
  </si>
  <si>
    <t>381.4  Plant Sewers</t>
  </si>
  <si>
    <t>382.4  Outfall Sewer Lines</t>
  </si>
  <si>
    <t>389.4  Other Plant &amp; Misc. Equipment</t>
  </si>
  <si>
    <t>345.5  Power Operated Equipment</t>
  </si>
  <si>
    <t>346.5  Communication Equipment</t>
  </si>
  <si>
    <t>347.5  Miscellaneous Equipment</t>
  </si>
  <si>
    <t>348.5  Other Tangible Plant</t>
  </si>
  <si>
    <t>Schedule of Water Plant in Service By Primary Account</t>
  </si>
  <si>
    <t>Test Year Average Balance</t>
  </si>
  <si>
    <t>Test Year Adjusted Revenues</t>
  </si>
  <si>
    <t>To calculate test year revenues based on current rates</t>
  </si>
  <si>
    <t>Adjustment required to annualize revenues</t>
  </si>
  <si>
    <t>Test Year Revenues</t>
  </si>
  <si>
    <t>Pro-Forma Adjustments</t>
  </si>
  <si>
    <t>601/701</t>
  </si>
  <si>
    <t>604/704</t>
  </si>
  <si>
    <t>675/775</t>
  </si>
  <si>
    <t>MISC SERVICE REVENUE</t>
  </si>
  <si>
    <t>OTHER W/S REVENUES</t>
  </si>
  <si>
    <t>AMORT OF INVEST TAX CREDIT</t>
  </si>
  <si>
    <t>Per Income Statement</t>
  </si>
  <si>
    <t>Schedule of Accumulated Amortization of CIAC</t>
  </si>
  <si>
    <t>Test  Year Average Balance - Water and Wastewater</t>
  </si>
  <si>
    <t>301.1  Organization</t>
  </si>
  <si>
    <t>302.1  Franchises</t>
  </si>
  <si>
    <t>339.1  Other Plant &amp; Misc. Equipment</t>
  </si>
  <si>
    <t>SOURCE OF SUPPLY AND PUMPING PLANT</t>
  </si>
  <si>
    <t>303.2  Land &amp; Land Rights</t>
  </si>
  <si>
    <t>304.2  Structures &amp; Improvements</t>
  </si>
  <si>
    <t>305.2  Collect. &amp; Impound. Reservoirs</t>
  </si>
  <si>
    <t>Average Bal.</t>
  </si>
  <si>
    <t>Recap Schedules:     A-1, A-4</t>
  </si>
  <si>
    <t>Schedule: A-5</t>
  </si>
  <si>
    <t>Explanation:  Complete the following schedule of all taxes other than income.   For all allocations, provide description of allocation and calculations.</t>
  </si>
  <si>
    <t>353.7  Land &amp; Land Rights</t>
  </si>
  <si>
    <t>354.7  Structures &amp; Improvements</t>
  </si>
  <si>
    <t>390.7  Office Furniture &amp; Equipment</t>
  </si>
  <si>
    <t>391.7  Transportation Equipment</t>
  </si>
  <si>
    <t>392.7  Stores Equipment</t>
  </si>
  <si>
    <t>393.7  Tools, Shop &amp; Garage Equipment</t>
  </si>
  <si>
    <t>394.7  Laboratory Equipment</t>
  </si>
  <si>
    <t>395.7  Power Operated Equipment</t>
  </si>
  <si>
    <t>396.7  Communication Equipment</t>
  </si>
  <si>
    <t>397.7  Miscellaneous Equipment</t>
  </si>
  <si>
    <t>Page 1 of 1</t>
  </si>
  <si>
    <t>530   Guaranteed Revenues</t>
  </si>
  <si>
    <t>Adjustments to Revenues</t>
  </si>
  <si>
    <t>Total Adjustments to Revenues</t>
  </si>
  <si>
    <t xml:space="preserve">Adjustments to Operations &amp; Maintenance (O&amp;M) Expenses </t>
  </si>
  <si>
    <t>SEWER</t>
  </si>
  <si>
    <t>Page 1 of 2</t>
  </si>
  <si>
    <t>716  Fuel for Power Purchased</t>
  </si>
  <si>
    <t>718  Chemicals</t>
  </si>
  <si>
    <t>641  Rental of Building/Real Prop.</t>
  </si>
  <si>
    <t>642  Rental of Equipment</t>
  </si>
  <si>
    <t>650  Transportation Expenses</t>
  </si>
  <si>
    <t>656  Insurance - Vehicle</t>
  </si>
  <si>
    <t>Property</t>
  </si>
  <si>
    <t>Schedule: B-6</t>
  </si>
  <si>
    <t>Recap Schedules:  B-2</t>
  </si>
  <si>
    <t>701  Salaries &amp; Wages - Employees</t>
  </si>
  <si>
    <t>703  Salaries &amp; Wages - Officers, Etc.</t>
  </si>
  <si>
    <t>704  Employee Pensions &amp; Benefits</t>
  </si>
  <si>
    <t>710 Purchased Sewage Treatment</t>
  </si>
  <si>
    <t>711 Sludge Removal Expense</t>
  </si>
  <si>
    <t>715  Purchased Power</t>
  </si>
  <si>
    <t>SUB-TOTAL</t>
  </si>
  <si>
    <t>Recap Schedules:     A-1, A-8</t>
  </si>
  <si>
    <t>13-Month</t>
  </si>
  <si>
    <t>Plant Capacity Fees</t>
  </si>
  <si>
    <t>Line/Main Extension Fees</t>
  </si>
  <si>
    <t>Contributed Lines</t>
  </si>
  <si>
    <t>Explanation:  Complete the following revenue schedule for the historical test year or base year.  If general service revenues is not accounted for by sub-account, then show the total amount under metered-or measured-commercial and provide an explanation.</t>
  </si>
  <si>
    <t>TOTAL WATER OPERATING REVENUES</t>
  </si>
  <si>
    <t>Schedule: B-5</t>
  </si>
  <si>
    <t>Recap Schedules:  B-1</t>
  </si>
  <si>
    <t>601  Salaries &amp; Wages - Employees</t>
  </si>
  <si>
    <t>603  Salaries &amp; Wages - Officers, Etc.</t>
  </si>
  <si>
    <t>604  Employee Pensions &amp; Benefits</t>
  </si>
  <si>
    <t>610  Purchased Water</t>
  </si>
  <si>
    <t>615  Purchased Power</t>
  </si>
  <si>
    <t>616  Fuel for Power Purchased</t>
  </si>
  <si>
    <t>618  Chemicals</t>
  </si>
  <si>
    <t>620  Materials &amp; Supplies</t>
  </si>
  <si>
    <t>631  Contractual Services - Engr.</t>
  </si>
  <si>
    <t>632  Contractual Services - Acct.</t>
  </si>
  <si>
    <t>633  Contractual Services - Legal</t>
  </si>
  <si>
    <t>634  Contractual Services - Mgmt. Fees</t>
  </si>
  <si>
    <t>720  Materials &amp; Supplies</t>
  </si>
  <si>
    <t>731  Contractual Services - Engr.</t>
  </si>
  <si>
    <t>732  Contractual Services - Acct.</t>
  </si>
  <si>
    <t>398.7  Other Tangible Plant</t>
  </si>
  <si>
    <t>636  Contractual Services - Other</t>
  </si>
  <si>
    <t>Schedule: B-13</t>
  </si>
  <si>
    <t>Recap Schedules:     B-1</t>
  </si>
  <si>
    <t>NET DEPRECIATION EXPENSE - WATER</t>
  </si>
  <si>
    <t>(1)</t>
  </si>
  <si>
    <t>(2)</t>
  </si>
  <si>
    <t>(3)</t>
  </si>
  <si>
    <t>(4)</t>
  </si>
  <si>
    <t>Acquisition Adjustments</t>
  </si>
  <si>
    <t>Accum. Amort. of Acq. Adjustments</t>
  </si>
  <si>
    <t>355.2 Power Generation Equipment - Collection Plt</t>
  </si>
  <si>
    <t>355.3 Power Generation Equipment - Pumping Plt</t>
  </si>
  <si>
    <t>355.4 Power Generation Equipment - Treatment Plt</t>
  </si>
  <si>
    <t>CIAC</t>
  </si>
  <si>
    <t>Recap Schedules:  B-1, B-2</t>
  </si>
  <si>
    <t>DO NOT PRINT</t>
  </si>
  <si>
    <t>Income Statement</t>
  </si>
  <si>
    <t>TOTAL ERCs</t>
  </si>
  <si>
    <t>WATER ERCs</t>
  </si>
  <si>
    <t>SEWER ERCs</t>
  </si>
  <si>
    <t>SEE B15 FOR FINAL ALLOCATION</t>
  </si>
  <si>
    <t>Object</t>
  </si>
  <si>
    <t>Basis of Allocation</t>
  </si>
  <si>
    <t>Water RAF Return</t>
  </si>
  <si>
    <t>Wastewater RAF Return</t>
  </si>
  <si>
    <t xml:space="preserve">    GROSS RECEIPTS TAX - PER BOOKS</t>
  </si>
  <si>
    <t>LABOR</t>
  </si>
  <si>
    <t xml:space="preserve">    FICA EXPENSE</t>
  </si>
  <si>
    <t xml:space="preserve">    FEDERAL UNEMPLOYMENT TAX</t>
  </si>
  <si>
    <t xml:space="preserve">    STATE UNEMPLOYMENT TAX</t>
  </si>
  <si>
    <t>TOTAL PAYROLL TAXES</t>
  </si>
  <si>
    <t>UPIS - NET</t>
  </si>
  <si>
    <t xml:space="preserve">    PERSONAL PROPERTY/ICT TAX</t>
  </si>
  <si>
    <t xml:space="preserve">    PROPERTY/OTHER GENERAL TAX</t>
  </si>
  <si>
    <t xml:space="preserve">    REAL ESTATE TAX</t>
  </si>
  <si>
    <t>TOTAL REAL ESTATE &amp; PERSONAL PROPERTY</t>
  </si>
  <si>
    <t xml:space="preserve">    FRANCHISE TAX</t>
  </si>
  <si>
    <t xml:space="preserve">    SALES/USE TAX EXPENSE</t>
  </si>
  <si>
    <t>TOTAL OTHER TAXES</t>
  </si>
  <si>
    <t xml:space="preserve">   DEF INCOME TAX-FEDERAL</t>
  </si>
  <si>
    <t xml:space="preserve">   DEF INCOME TAXES-STATE</t>
  </si>
  <si>
    <t xml:space="preserve">   INCOME TAXES-FEDERAL</t>
  </si>
  <si>
    <t xml:space="preserve">   INCOME TAXES-STATE</t>
  </si>
  <si>
    <t>TOTAL INCOME TAXES</t>
  </si>
  <si>
    <t>total</t>
  </si>
  <si>
    <t>Miscellaneous Deferred Debits</t>
  </si>
  <si>
    <t>OBJECT</t>
  </si>
  <si>
    <t>CIAC-STRUCT/IMPRV PUMP PLT LS</t>
  </si>
  <si>
    <t>Page 2 of 3</t>
  </si>
  <si>
    <t>Page 3 of 3</t>
  </si>
  <si>
    <t>Historic [X] Projected [  ]</t>
  </si>
  <si>
    <t xml:space="preserve">Schedule of Adjustments to Rate Base </t>
  </si>
  <si>
    <t>Schedule: A-3</t>
  </si>
  <si>
    <t>Water</t>
  </si>
  <si>
    <t>Wastewater</t>
  </si>
  <si>
    <t>(A)</t>
  </si>
  <si>
    <t>(B)</t>
  </si>
  <si>
    <t>Accumulated Depreciation</t>
  </si>
  <si>
    <t>N/A</t>
  </si>
  <si>
    <t>G/L</t>
  </si>
  <si>
    <t>Tap Fees</t>
  </si>
  <si>
    <t>Non-Used and Useful Plant - Summary - Final</t>
  </si>
  <si>
    <t>Schedule: A-7</t>
  </si>
  <si>
    <t>Per Books</t>
  </si>
  <si>
    <t>WATER</t>
  </si>
  <si>
    <t>Plant in Service</t>
  </si>
  <si>
    <t>Land</t>
  </si>
  <si>
    <t>Other (Explain)</t>
  </si>
  <si>
    <t xml:space="preserve">    Total</t>
  </si>
  <si>
    <t>WASTEWATER</t>
  </si>
  <si>
    <t>635 Contractual Services - Testing</t>
  </si>
  <si>
    <t>735 Contractual Services - Testing</t>
  </si>
  <si>
    <t>736 Contractual Services - Other</t>
  </si>
  <si>
    <t>521.5 Flat Rate - Multi-Family</t>
  </si>
  <si>
    <t>461.5 Metered - Multi-Family</t>
  </si>
  <si>
    <t>521.6 Flat Rate - Other</t>
  </si>
  <si>
    <t>462.1 Public Fire Protection</t>
  </si>
  <si>
    <t>541   Measured Re-Use Revenues</t>
  </si>
  <si>
    <t>May</t>
  </si>
  <si>
    <t>Adjustment</t>
  </si>
  <si>
    <t>Revenues</t>
  </si>
  <si>
    <t>(D)</t>
  </si>
  <si>
    <t>Amortization</t>
  </si>
  <si>
    <t>(C)</t>
  </si>
  <si>
    <t>(E)</t>
  </si>
  <si>
    <t>Provision for Income Taxes</t>
  </si>
  <si>
    <t>%</t>
  </si>
  <si>
    <t>Historic [X] or Projected [  ]</t>
  </si>
  <si>
    <t>Recap Schedules:  A-1, A-2</t>
  </si>
  <si>
    <t>of Charges</t>
  </si>
  <si>
    <t>n/a</t>
  </si>
  <si>
    <t>Line</t>
  </si>
  <si>
    <t>ERCs</t>
  </si>
  <si>
    <t>Other</t>
  </si>
  <si>
    <t>733  Contractual Services - Legal</t>
  </si>
  <si>
    <t>734  Contractual Services - Mgmt. Fees</t>
  </si>
  <si>
    <t xml:space="preserve">SUB-TOTAL </t>
  </si>
  <si>
    <t>Explanation:  Provide a schedule of test year non-used and useful depreciation expense by primary account</t>
  </si>
  <si>
    <t>Adjusted</t>
  </si>
  <si>
    <t>Explanation: Provide a detailed description of all adjustments to rate base per books, with a total for each rate base line item.</t>
  </si>
  <si>
    <t>GENERAL PLANT</t>
  </si>
  <si>
    <t>474   Other Water Revenues</t>
  </si>
  <si>
    <t>534   Rents From Sewer Property</t>
  </si>
  <si>
    <t>535   Interdepartmental Rents</t>
  </si>
  <si>
    <t>536   Other Sewer Revenues</t>
  </si>
  <si>
    <t>462.2 Private Fire Protection</t>
  </si>
  <si>
    <t>522.2 Measured - Commercial</t>
  </si>
  <si>
    <t>464   Other Sales - Public Authorities</t>
  </si>
  <si>
    <t>522.3 Measured - Industrial</t>
  </si>
  <si>
    <t>465   Irrigation Customers</t>
  </si>
  <si>
    <t>522.4 Measured - Public Authority</t>
  </si>
  <si>
    <t>466   Sales for Resale</t>
  </si>
  <si>
    <t>522.5 Measured - Multi-Family</t>
  </si>
  <si>
    <t>467   Interdepartmental Sales</t>
  </si>
  <si>
    <t>523   Other Sales - Public Authorities</t>
  </si>
  <si>
    <t>524   Revenues from Other Systems</t>
  </si>
  <si>
    <t>525   Interdepartmental Sales</t>
  </si>
  <si>
    <t xml:space="preserve">      OTHER WATER REVENUES</t>
  </si>
  <si>
    <t>470   Forfeited Discounts</t>
  </si>
  <si>
    <t>471   Misc. Service Revenues</t>
  </si>
  <si>
    <t xml:space="preserve">      OTHER SEWER REVENUES</t>
  </si>
  <si>
    <t>472   Rents From Water Property</t>
  </si>
  <si>
    <t>531   Sale of Sludge</t>
  </si>
  <si>
    <t>473   Interdepartmental Rents</t>
  </si>
  <si>
    <t>532   Forfeited Discounts</t>
  </si>
  <si>
    <t>Analysis of Rate Case Expense</t>
  </si>
  <si>
    <t>Schedule: B-10</t>
  </si>
  <si>
    <t>(15)</t>
  </si>
  <si>
    <t>3.</t>
  </si>
  <si>
    <t>4.</t>
  </si>
  <si>
    <t>NET DEPRECIATION EXPENSE - SEWER</t>
  </si>
  <si>
    <t xml:space="preserve">Taxes Other Than Income (Final Rates) </t>
  </si>
  <si>
    <t>Schedule: B-15</t>
  </si>
  <si>
    <t>Recap Schedules:      B-1, B-2</t>
  </si>
  <si>
    <t>Regulatory</t>
  </si>
  <si>
    <t>Real Estate</t>
  </si>
  <si>
    <t>Assessment</t>
  </si>
  <si>
    <t>Payroll</t>
  </si>
  <si>
    <t>&amp; Personal</t>
  </si>
  <si>
    <t>Fees (RAFs)</t>
  </si>
  <si>
    <t>Taxes</t>
  </si>
  <si>
    <t>Average Bal</t>
  </si>
  <si>
    <t>Cash</t>
  </si>
  <si>
    <t>Firm or</t>
  </si>
  <si>
    <t>Counsel, Consultant</t>
  </si>
  <si>
    <t>Hourly Rate</t>
  </si>
  <si>
    <t>Total Estimate</t>
  </si>
  <si>
    <t>Type of</t>
  </si>
  <si>
    <t>Vendor Name</t>
  </si>
  <si>
    <t>or Witness</t>
  </si>
  <si>
    <t>Per Person</t>
  </si>
  <si>
    <t>Service Rendered</t>
  </si>
  <si>
    <t>Amortization Period 4 Years</t>
  </si>
  <si>
    <t>No.</t>
  </si>
  <si>
    <t>Description</t>
  </si>
  <si>
    <t>Books</t>
  </si>
  <si>
    <t>Adjustments</t>
  </si>
  <si>
    <t>Schedule of Wastewater Plant in Service By Primary Account</t>
  </si>
  <si>
    <t>Recap Schedules:     A-2, A-4</t>
  </si>
  <si>
    <t>351.1  Organization</t>
  </si>
  <si>
    <t>352.1  Franchises</t>
  </si>
  <si>
    <t>389.1  Other Plant &amp; Misc. Equipment</t>
  </si>
  <si>
    <t>COLLECTION PLANT</t>
  </si>
  <si>
    <t>353.2  Land &amp; Land Rights</t>
  </si>
  <si>
    <t>354.2  Structures &amp; Improvements</t>
  </si>
  <si>
    <t>360.2  Collection Sewers - Force</t>
  </si>
  <si>
    <t>361.2  Collection Sewers - Gravity</t>
  </si>
  <si>
    <t>362.2  Special Collecting Structures</t>
  </si>
  <si>
    <t>363.2  Services to Customers</t>
  </si>
  <si>
    <t>364.2  Flow Measuring Devices</t>
  </si>
  <si>
    <t>365.2  Flow Measuring Installations</t>
  </si>
  <si>
    <t>389.2  Other Plant &amp; Misc. Equipment</t>
  </si>
  <si>
    <t>SYSTEM PUMPING PLANT</t>
  </si>
  <si>
    <t>353.3  Land &amp; Land Rights</t>
  </si>
  <si>
    <t>354.3  Structures &amp; Improvements</t>
  </si>
  <si>
    <t>370.3  Receiving Wells</t>
  </si>
  <si>
    <t>371.3  Pumping Equipment</t>
  </si>
  <si>
    <t>389.3  Other Plant &amp; Misc. Equipment</t>
  </si>
  <si>
    <t>Advances for Construction</t>
  </si>
  <si>
    <t>306.2  Lake, River &amp; Other Intakes</t>
  </si>
  <si>
    <t>307.2  Wells &amp; Springs</t>
  </si>
  <si>
    <t>308.2  Infiltration Galleries &amp; Tunnels</t>
  </si>
  <si>
    <t>309.2  Supply Mains</t>
  </si>
  <si>
    <t>310.2  Power Generation Equipment</t>
  </si>
  <si>
    <t>311.2  Pumping Equipment</t>
  </si>
  <si>
    <t>339.2  Other Plant &amp; Misc. Equipment</t>
  </si>
  <si>
    <t>WATER TREATMENT PLANT</t>
  </si>
  <si>
    <t>303.3  Land &amp; Land Rights</t>
  </si>
  <si>
    <t>304.3  Structures &amp; Improvements</t>
  </si>
  <si>
    <t>320.3  Water Treatment Equipment</t>
  </si>
  <si>
    <t>339.3  Other Plant &amp; Misc. Equipment</t>
  </si>
  <si>
    <t>TRANSMISSION &amp; DISTRIBUTION PLANT</t>
  </si>
  <si>
    <t>303.4  Land &amp; Land Rights</t>
  </si>
  <si>
    <t>304.4  Structures &amp; Improvements</t>
  </si>
  <si>
    <t>330.4  Distr. Reservoirs &amp; Standpipes</t>
  </si>
  <si>
    <t>331.4  Transm. &amp; Distribution Mains</t>
  </si>
  <si>
    <t>333.4  Services</t>
  </si>
  <si>
    <t>334.4  Meters &amp; Meter Installations</t>
  </si>
  <si>
    <t>335.4  Hydrants</t>
  </si>
  <si>
    <t>339.4  Other Plant &amp; Misc. Equipment</t>
  </si>
  <si>
    <t>303.5  Land &amp; Land Rights</t>
  </si>
  <si>
    <t>340.5  Office Furniture &amp; Equipment</t>
  </si>
  <si>
    <t>341.5  Transportation Equipment</t>
  </si>
  <si>
    <t>342.5  Stores Equipment</t>
  </si>
  <si>
    <t>343.5  Tools, Shop &amp; Garage Equipment</t>
  </si>
  <si>
    <t>344.5  Laboratory Equipment</t>
  </si>
  <si>
    <t>Expense</t>
  </si>
  <si>
    <t>LESS: AMORTIZATION OF CIAC</t>
  </si>
  <si>
    <t>Net Depreciation Expense - Wastewater</t>
  </si>
  <si>
    <t>Schedule: B-14</t>
  </si>
  <si>
    <t>Recap Schedules:     B-2</t>
  </si>
  <si>
    <t>Schedule of Contributions in Aid of Construction By Classification</t>
  </si>
  <si>
    <t>Year</t>
  </si>
  <si>
    <t>Page 2 of 2</t>
  </si>
  <si>
    <t>Schedule: A-6</t>
  </si>
  <si>
    <t>Hours</t>
  </si>
  <si>
    <t>Explanation: Provide a schedule of operation and maintenance expenses by primary account for each month of the test year.  If schedule has to be continued on 2nd page, reprint the account titles and numbers.</t>
  </si>
  <si>
    <t>Accrued Interest</t>
  </si>
  <si>
    <t>Interim</t>
  </si>
  <si>
    <t>741  Rental of Building/Real Prop.</t>
  </si>
  <si>
    <t>742  Rental of Equipment</t>
  </si>
  <si>
    <t>750  Transportation Expenses</t>
  </si>
  <si>
    <t>756  Insurance - Vehicle</t>
  </si>
  <si>
    <t>757  Insurance - General Liability</t>
  </si>
  <si>
    <t>758  Insurance - Workman's Comp.</t>
  </si>
  <si>
    <t>Rate</t>
  </si>
  <si>
    <t>(13)</t>
  </si>
  <si>
    <t>(14)</t>
  </si>
  <si>
    <t>1.</t>
  </si>
  <si>
    <t>2.</t>
  </si>
  <si>
    <t>461.4 Metered - Public Authorities</t>
  </si>
  <si>
    <t>(5)</t>
  </si>
  <si>
    <t>Balance</t>
  </si>
  <si>
    <t>759  Insurance - Other</t>
  </si>
  <si>
    <t>Accumulated Amortization of CIAC</t>
  </si>
  <si>
    <t xml:space="preserve">       TOTAL </t>
  </si>
  <si>
    <t>Test Year</t>
  </si>
  <si>
    <t>(6)</t>
  </si>
  <si>
    <t xml:space="preserve">Test Year Operating Revenues </t>
  </si>
  <si>
    <t>Schedule: B-4</t>
  </si>
  <si>
    <t>TOTAL</t>
  </si>
  <si>
    <t>657  Insurance - General Liability</t>
  </si>
  <si>
    <t>658  Insurance - Workman's Comp.</t>
  </si>
  <si>
    <t>659  Insurance - Other</t>
  </si>
  <si>
    <t>660  Advertising Expense</t>
  </si>
  <si>
    <t>666  Reg. Comm. Exp. - Rate Case Amort.</t>
  </si>
  <si>
    <t>667  Reg. Comm. Exp. - Other</t>
  </si>
  <si>
    <t>670  Bad Debt Expense</t>
  </si>
  <si>
    <t>675  Miscellaneous Expenses</t>
  </si>
  <si>
    <t>Net Depreciation Expense - Water</t>
  </si>
  <si>
    <t>Materials &amp; Supplies</t>
  </si>
  <si>
    <t>TREATMENT AND DISPOSAL PLANT</t>
  </si>
  <si>
    <t>760  Advertising Expense</t>
  </si>
  <si>
    <t>766  Reg. Comm. Exp. - Rate Case Amort.</t>
  </si>
  <si>
    <t>767  Reg. Comm. Exp. - Other</t>
  </si>
  <si>
    <t>770  Bad Debt Expense</t>
  </si>
  <si>
    <t>775  Miscellaneous Expenses</t>
  </si>
  <si>
    <t>Difference</t>
  </si>
  <si>
    <t>Explanation: Provide a summary of the items included in non-used and useful plant for the test year.  Provide additional support schedules, if necessary.</t>
  </si>
  <si>
    <t>Explanation if different from Section 367.0816, Florida</t>
  </si>
  <si>
    <t>(F)</t>
  </si>
  <si>
    <t>Total Adjustments to Depreciation Expenses</t>
  </si>
  <si>
    <t>Total Pro Forma Adjustments</t>
  </si>
  <si>
    <t xml:space="preserve"> Total Adjustments to O&amp;M Expenses</t>
  </si>
  <si>
    <t>total adj</t>
  </si>
  <si>
    <t>int</t>
  </si>
  <si>
    <t>618/718 Chemicals</t>
  </si>
  <si>
    <t>Total Adj</t>
  </si>
  <si>
    <t>Working Capital Adjustment Per Schedule A-17</t>
  </si>
  <si>
    <t>Total Adjustments to TOTI</t>
  </si>
  <si>
    <t>Pro Forma Adjustment to RAF</t>
  </si>
  <si>
    <t>Utility Plant</t>
  </si>
  <si>
    <t>Total Adjustments to Provision for Income Taxes</t>
  </si>
  <si>
    <t>To calculate additional taxes due to requested revenue adjustments</t>
  </si>
  <si>
    <t>NARUC</t>
  </si>
  <si>
    <t>ACC AMORT SEWER GRAVITY MAIN</t>
  </si>
  <si>
    <t>471/536</t>
  </si>
  <si>
    <t>To remove from rate base average adjusted construction work in process balance</t>
  </si>
  <si>
    <t>by Firm</t>
  </si>
  <si>
    <t>Amortization of Rate Case Expense:</t>
  </si>
  <si>
    <t>Date</t>
  </si>
  <si>
    <t>6605, 6845</t>
  </si>
  <si>
    <t>Total per Income Statement</t>
  </si>
  <si>
    <t>Plant</t>
  </si>
  <si>
    <t>6600,6840</t>
  </si>
  <si>
    <t>TOTAL OTHER SEWER REVENUES</t>
  </si>
  <si>
    <t>TOTAL SEWER OPERATING REVENUES</t>
  </si>
  <si>
    <t>TOTAL WATER SALES</t>
  </si>
  <si>
    <t>TOTAL SEWER SALES</t>
  </si>
  <si>
    <t>Total Revenues per B4 prior to adjustments</t>
  </si>
  <si>
    <t>Test Year Adjusted Revenues prior to Annualizing Revenues</t>
  </si>
  <si>
    <t>Final</t>
  </si>
  <si>
    <t>Detail of Operation &amp; Maintenance Expenses Water</t>
  </si>
  <si>
    <t>Difference - See Water</t>
  </si>
  <si>
    <t>Total Construction Work in Progress Adjustments</t>
  </si>
  <si>
    <t>NU&amp;U</t>
  </si>
  <si>
    <t>(G)</t>
  </si>
  <si>
    <t>666/766 Adjustments for Deferred Costs - Pro Forma Adjustment</t>
  </si>
  <si>
    <t>TOTAL TAXES</t>
  </si>
  <si>
    <t>Total Pro Forma Adjustments to TOTI</t>
  </si>
  <si>
    <t>Annualized Revenue</t>
  </si>
  <si>
    <t>Revenue Increase</t>
  </si>
  <si>
    <t>Regulatory Assessment Fees (RAF)</t>
  </si>
  <si>
    <t>Payroll Taxes</t>
  </si>
  <si>
    <t>Annualized Revenues Adjustment</t>
  </si>
  <si>
    <t>Calculate RAFs based on Adjusted Test Year Revenues</t>
  </si>
  <si>
    <t>Calculate RAFs for Annualized Revenues</t>
  </si>
  <si>
    <t>Calculate RAFs on Additional Revenues Requested</t>
  </si>
  <si>
    <t xml:space="preserve">Total Test Year Adjustments to O&amp;M </t>
  </si>
  <si>
    <t>374.5 Reuse Distribution Reservoirs</t>
  </si>
  <si>
    <t>Supporting Schedules:  A-5, A-6, A-9, A-10, A-12, A-14, A-16</t>
  </si>
  <si>
    <t>Total Customer - County</t>
  </si>
  <si>
    <t>Percentage of Customers</t>
  </si>
  <si>
    <t>Marion</t>
  </si>
  <si>
    <t>Pasco</t>
  </si>
  <si>
    <t>Pinellas</t>
  </si>
  <si>
    <t>Seminole</t>
  </si>
  <si>
    <t>470/532</t>
  </si>
  <si>
    <t>FORFEITED DISCOUNTS</t>
  </si>
  <si>
    <t>WATER PREL ALLOC/ERC</t>
  </si>
  <si>
    <t>See C-Schedules for Allocations</t>
  </si>
  <si>
    <r>
      <t xml:space="preserve">471/474 </t>
    </r>
    <r>
      <rPr>
        <b/>
        <strike/>
        <sz val="8"/>
        <color theme="1"/>
        <rFont val="Calibri"/>
        <family val="2"/>
        <scheme val="minor"/>
      </rPr>
      <t>454</t>
    </r>
    <r>
      <rPr>
        <sz val="8"/>
        <color theme="1"/>
        <rFont val="Calibri"/>
        <family val="2"/>
        <scheme val="minor"/>
      </rPr>
      <t>/536</t>
    </r>
  </si>
  <si>
    <t>Test Year Revenues net of Unbilled Revenues &amp; Other Adjustments</t>
  </si>
  <si>
    <t>UIF - Marion</t>
  </si>
  <si>
    <t>UIF - Orange</t>
  </si>
  <si>
    <t>UIF - Pasco</t>
  </si>
  <si>
    <t>UIF - Pinellas</t>
  </si>
  <si>
    <t>UIF - Seminole</t>
  </si>
  <si>
    <t>WW</t>
  </si>
  <si>
    <t>304.5  Structures &amp; Improvements - Common</t>
  </si>
  <si>
    <t>304.5  Structures &amp; Improvements - Water</t>
  </si>
  <si>
    <t>354.7  Structures &amp; Improvements - Common</t>
  </si>
  <si>
    <t>6470</t>
  </si>
  <si>
    <t>354.7  Structures &amp; Improvements - Sewer</t>
  </si>
  <si>
    <t>604/704 Employee Pensions &amp; Benefits</t>
  </si>
  <si>
    <t>LABRADOR</t>
  </si>
  <si>
    <t>Increase in revenue required by the Utility to realize the rate of return per Schedule D-1.</t>
  </si>
  <si>
    <t>[ ] PAA</t>
  </si>
  <si>
    <t xml:space="preserve">460   Unmetered Water Revenue </t>
  </si>
  <si>
    <t xml:space="preserve">461.1 Metered - Residential </t>
  </si>
  <si>
    <t>Accrued Water Revenues</t>
  </si>
  <si>
    <t>522.1 Measured - Residential</t>
  </si>
  <si>
    <t>Accrued Sewer Revenues</t>
  </si>
  <si>
    <t>Current rate case expense</t>
  </si>
  <si>
    <t>To remove acquisition Adjustments from Rate Base</t>
  </si>
  <si>
    <t>Per TB</t>
  </si>
  <si>
    <t>To allocate chemical expense based on usage</t>
  </si>
  <si>
    <t>To remove Accrued Revenues per B4</t>
  </si>
  <si>
    <t>Total Pro Forma Additions Adjustments</t>
  </si>
  <si>
    <t>Millage rate</t>
  </si>
  <si>
    <t>Increase in ad valorem taxes for Pro Forma Plant Additions</t>
  </si>
  <si>
    <t>Annualized water/sewer revenues per Schedule E-2</t>
  </si>
  <si>
    <t>Adjustment to Test Year Revenues</t>
  </si>
  <si>
    <t>(a) Plant Additions</t>
  </si>
  <si>
    <t>(b) Plant Retirements</t>
  </si>
  <si>
    <t>Total Test Year Adjustments to Depreciation Expense</t>
  </si>
  <si>
    <t>Total Adjustments to Test Year Accumulated Depreciation</t>
  </si>
  <si>
    <t>Test Year Adustments</t>
  </si>
  <si>
    <t>Total Pro Forma Adjustments to O&amp;M</t>
  </si>
  <si>
    <t>4. Regulatory Assessment Fees</t>
  </si>
  <si>
    <t>Preparer: Deborah D. Swain</t>
  </si>
  <si>
    <t>601 / 701 Salaries &amp; Wages - Employees</t>
  </si>
  <si>
    <t>604  / 704 Employee Pensions &amp; Benefits</t>
  </si>
  <si>
    <t>Contributions in Aid of Construction / Amortization</t>
  </si>
  <si>
    <t xml:space="preserve">Acquisition Adjustments /Accumulated Amortization </t>
  </si>
  <si>
    <t>T</t>
  </si>
  <si>
    <t>603/703 Salaries &amp; Wages - Officers, Etc.</t>
  </si>
  <si>
    <t xml:space="preserve">Company:  Utilities, Inc. of Florida </t>
  </si>
  <si>
    <t>Test Year Ended: December 31, 2019</t>
  </si>
  <si>
    <t>Schedule Year Ended:  December 31, 2019</t>
  </si>
  <si>
    <t>12/31/2018</t>
  </si>
  <si>
    <t>12/31/2019</t>
  </si>
  <si>
    <t>Method of allocation for the County between water and wastewater (based on ERC count 12/31/19):</t>
  </si>
  <si>
    <t>LUSI</t>
  </si>
  <si>
    <t>Pennbrooke</t>
  </si>
  <si>
    <t>Mid County</t>
  </si>
  <si>
    <t>Longwood</t>
  </si>
  <si>
    <t>Lake Placid</t>
  </si>
  <si>
    <t>Labrador</t>
  </si>
  <si>
    <t>Eagle Ridge</t>
  </si>
  <si>
    <t>Tierra Verde</t>
  </si>
  <si>
    <t>Cypress Lakes</t>
  </si>
  <si>
    <t>Sanlando</t>
  </si>
  <si>
    <t>Sandalhaven</t>
  </si>
  <si>
    <t/>
  </si>
  <si>
    <t xml:space="preserve">       AMORT-STRUCT/IMPRV PUMP</t>
  </si>
  <si>
    <t xml:space="preserve">       AMORT-STRUCT/IMPRV TREA</t>
  </si>
  <si>
    <t xml:space="preserve">       AMORT-SEWER FORCE MAIN/</t>
  </si>
  <si>
    <t xml:space="preserve">       AMORT-SEWER GRAVITY MAI</t>
  </si>
  <si>
    <t xml:space="preserve">       AMORT-MANHOLES</t>
  </si>
  <si>
    <t xml:space="preserve">       AMORT-SERVICES TO CUSTO</t>
  </si>
  <si>
    <t xml:space="preserve">       AMORT-PUMP EQP RCLM WTP</t>
  </si>
  <si>
    <t xml:space="preserve">       AMORT-TREAT/DISP EQUIP </t>
  </si>
  <si>
    <t xml:space="preserve">       AMORT-OUTFALL LINES</t>
  </si>
  <si>
    <t xml:space="preserve">       AMORT-SEWER-TAP</t>
  </si>
  <si>
    <t xml:space="preserve">       AMORT-SWR LINE EXT FEE</t>
  </si>
  <si>
    <t xml:space="preserve">       AMORT-SWR RES CAP FEE</t>
  </si>
  <si>
    <t xml:space="preserve">       AMORT-SWR PLT MOD FEE</t>
  </si>
  <si>
    <t xml:space="preserve">       AMORT-SWR PLT MTR FEE</t>
  </si>
  <si>
    <t>SEWER REVENUE-GUARANTEE</t>
  </si>
  <si>
    <t>REUSE REVENUE-COMMERCIAL</t>
  </si>
  <si>
    <t>REUSE REVENUE-RESIDENTIAL</t>
  </si>
  <si>
    <t>522.?</t>
  </si>
  <si>
    <t>NON-UTILITY</t>
  </si>
  <si>
    <t>REVENUES NOT INCLUDED IN UTILITY REVENUE</t>
  </si>
  <si>
    <t>AFPI</t>
  </si>
  <si>
    <t>Total Revenues</t>
  </si>
  <si>
    <t>Total Per TB</t>
  </si>
  <si>
    <t>To remove Guaranteed Revenue</t>
  </si>
  <si>
    <t>SEWER REVENUE-RC EXP SURCHARGE</t>
  </si>
  <si>
    <t>&lt;-- moved from MF miscode to Residential</t>
  </si>
  <si>
    <t>Annual Amortization</t>
  </si>
  <si>
    <t>Martin Friedman</t>
  </si>
  <si>
    <t>Legal Fees</t>
  </si>
  <si>
    <t>Milian, Swain &amp; Associates</t>
  </si>
  <si>
    <t>Deborah Swain</t>
  </si>
  <si>
    <t>Assist w/MFRs, Data Requests, Audit, Recommendations Review, Hearing</t>
  </si>
  <si>
    <t>Cynthia Yapp</t>
  </si>
  <si>
    <t>M&amp;R Consultants</t>
  </si>
  <si>
    <t>Frank Seidman</t>
  </si>
  <si>
    <t>U&amp;UAnalysis, Assist w/ MFRs, Data Requests, Audit Facilitation, Hearing</t>
  </si>
  <si>
    <t>Public Service Commission</t>
  </si>
  <si>
    <t>Filing Fee</t>
  </si>
  <si>
    <t>Consultants Travel</t>
  </si>
  <si>
    <t>Travel, Hotel/Accommodation, Rental Care, Airfare</t>
  </si>
  <si>
    <t>Water Service Corp. / UIF</t>
  </si>
  <si>
    <t>[x] Commission Hearing</t>
  </si>
  <si>
    <t>Total projected rate case expense</t>
  </si>
  <si>
    <t>Dean, Mead, Egerton, Bloodworth, Capouano &amp; Bozarth, P.A.</t>
  </si>
  <si>
    <t>UIF</t>
  </si>
  <si>
    <t>TOTAL ALL TAXES</t>
  </si>
  <si>
    <t>PER IS TB</t>
  </si>
  <si>
    <t>USED IN A17 AND "C 5 CALCULATION"</t>
  </si>
  <si>
    <t>BALANCE SHEET METHOD</t>
  </si>
  <si>
    <t>13 MONTH AVG</t>
  </si>
  <si>
    <t>Current &amp; Accrued Assets</t>
  </si>
  <si>
    <t>A</t>
  </si>
  <si>
    <t>B</t>
  </si>
  <si>
    <t>Miscellaneous Current &amp; Accrued Assets</t>
  </si>
  <si>
    <t>C</t>
  </si>
  <si>
    <t>Current &amp; Accrued Liabilities</t>
  </si>
  <si>
    <t>Misc. Current and Accrued Liabilities</t>
  </si>
  <si>
    <t>A- Allocated based on revenues</t>
  </si>
  <si>
    <t>B-Allocated based on gross plant</t>
  </si>
  <si>
    <t>C- Allocated based on ERC</t>
  </si>
  <si>
    <t>A - 17</t>
  </si>
  <si>
    <t>WORKING CAPITAL</t>
  </si>
  <si>
    <t>Accounts Rec'b - trade (net)</t>
  </si>
  <si>
    <t>&lt;---- Not includable in revenue</t>
  </si>
  <si>
    <t>Amort</t>
  </si>
  <si>
    <t>Annualized Revenues from E2</t>
  </si>
  <si>
    <t>PER BOOKS</t>
  </si>
  <si>
    <t>Mid-County</t>
  </si>
  <si>
    <t>Summertree</t>
  </si>
  <si>
    <t>Reconciliation to Annual Report:  Allocations between systems:</t>
  </si>
  <si>
    <t>Total Per Annual Report</t>
  </si>
  <si>
    <t>Reconciliation to Annual Report: Allocations between Systems:</t>
  </si>
  <si>
    <t>304.5  Structures &amp; Improvements</t>
  </si>
  <si>
    <t>Tax</t>
  </si>
  <si>
    <t>BOOKS</t>
  </si>
  <si>
    <t>Allocate to w/s</t>
  </si>
  <si>
    <t>&lt;-- AFPI?</t>
  </si>
  <si>
    <t>536   Other Sewer Revenues - AFPI</t>
  </si>
  <si>
    <t>To remove AFPI</t>
  </si>
  <si>
    <t>Test Year Per Books</t>
  </si>
  <si>
    <t>ALLOCATIONS</t>
  </si>
  <si>
    <t>Gross Receipts Tax:</t>
  </si>
  <si>
    <t>Test Year Revenues (per B-1, B-2)</t>
  </si>
  <si>
    <t>Test Year Salaries (per B-5, B-6)</t>
  </si>
  <si>
    <t>Payroll Taxes:</t>
  </si>
  <si>
    <t>Test Year Net Plant (per A-1, A-2)</t>
  </si>
  <si>
    <t>1. Regulatory Assessment Fees</t>
  </si>
  <si>
    <t>Book RAFs</t>
  </si>
  <si>
    <t>Adjustment to RAFs based on Adjusted and Annualized Test Year Revenues per B-3</t>
  </si>
  <si>
    <t>3. Real Estate &amp; Personal Property</t>
  </si>
  <si>
    <t>Adjust for additional revenues requested</t>
  </si>
  <si>
    <t>6580,6820</t>
  </si>
  <si>
    <t>6590,6830</t>
  </si>
  <si>
    <t>6505,6560</t>
  </si>
  <si>
    <t>12/31/2015</t>
  </si>
  <si>
    <t>To reclassify amortization of early retirements from depreciation expense</t>
  </si>
  <si>
    <t>354.4  Structures &amp; Improvements-Treatment Plant</t>
  </si>
  <si>
    <t>389.1 Intangible Plant</t>
  </si>
  <si>
    <t xml:space="preserve">Sandalhaven - to reclass EWD </t>
  </si>
  <si>
    <t>12/31/2016</t>
  </si>
  <si>
    <t>12/31/2017</t>
  </si>
  <si>
    <t>PER PAA</t>
  </si>
  <si>
    <t>DE</t>
  </si>
  <si>
    <t>13 mo avg</t>
  </si>
  <si>
    <t>Dec</t>
  </si>
  <si>
    <t>Jan</t>
  </si>
  <si>
    <t>Feb</t>
  </si>
  <si>
    <t>Mar</t>
  </si>
  <si>
    <t>Apr</t>
  </si>
  <si>
    <t>Jun</t>
  </si>
  <si>
    <t>Jul</t>
  </si>
  <si>
    <t>Aug</t>
  </si>
  <si>
    <t>Sep</t>
  </si>
  <si>
    <t>Oct</t>
  </si>
  <si>
    <t>Nov</t>
  </si>
  <si>
    <t>Corrected amt</t>
  </si>
  <si>
    <t>Per books</t>
  </si>
  <si>
    <t>13 month avg balance, 40 year amortization rate</t>
  </si>
  <si>
    <t>Separate for each county</t>
  </si>
  <si>
    <t>If millage is &lt; 1, do not divide by 1000</t>
  </si>
  <si>
    <t>CELL TOWER LEASE REVENUES</t>
  </si>
  <si>
    <t>included in AR, but not utlity revenue</t>
  </si>
  <si>
    <t>Docket No.: 20200139-WS</t>
  </si>
  <si>
    <t>Detail of Operation &amp; Maintenance Expenses Wastewater</t>
  </si>
  <si>
    <t>610 Purchased Water</t>
  </si>
  <si>
    <t>Total EUW Adjustments</t>
  </si>
  <si>
    <t>710 Purchased Wastewater</t>
  </si>
  <si>
    <t>Total I&amp;I Adjustments</t>
  </si>
  <si>
    <t>B3 - Test Year</t>
  </si>
  <si>
    <t>B3 - Proforma</t>
  </si>
  <si>
    <t>sewer</t>
  </si>
  <si>
    <t>water</t>
  </si>
  <si>
    <t>To reclassify amortization of early retirements to amortization expense</t>
  </si>
  <si>
    <t>Balance 389.1</t>
  </si>
  <si>
    <t>Amortization Rate</t>
  </si>
  <si>
    <t>Amortization Life Yrs</t>
  </si>
  <si>
    <t>Annual DE</t>
  </si>
  <si>
    <t>AD Balance</t>
  </si>
  <si>
    <t>ties to books</t>
  </si>
  <si>
    <t>MFRs</t>
  </si>
  <si>
    <t>Year End</t>
  </si>
  <si>
    <t>monthly</t>
  </si>
  <si>
    <t>13 m avg</t>
  </si>
  <si>
    <t>Payment to EWD</t>
  </si>
  <si>
    <t>Depreciation over 18 years</t>
  </si>
  <si>
    <t>Average Accumulated Depreciation</t>
  </si>
  <si>
    <t>AVERAGE</t>
  </si>
  <si>
    <t>Amortization over 40 years</t>
  </si>
  <si>
    <t>Depreciation Exp</t>
  </si>
  <si>
    <t>Adjustment to Avg accumulated depreciation</t>
  </si>
  <si>
    <t>Reclass Average Bal from 380.4</t>
  </si>
  <si>
    <t>reflect the correct asset life</t>
  </si>
  <si>
    <t>Avg.  Adjustment to Accumulated Depr</t>
  </si>
  <si>
    <t>To correct over-amortization of Sandalhaven intangible plant (EWD)</t>
  </si>
  <si>
    <t>Depreciation</t>
  </si>
  <si>
    <t>Year End 2015</t>
  </si>
  <si>
    <t>Calculated Balance 2019</t>
  </si>
  <si>
    <t>Actual Balance</t>
  </si>
  <si>
    <t>Test Year Average</t>
  </si>
  <si>
    <t>2015 RATE CASE</t>
  </si>
  <si>
    <t>2019 RATE CASE</t>
  </si>
  <si>
    <t>389.1 Per Books (10 year life)</t>
  </si>
  <si>
    <t>389.1 Per PSC-2017-0361-FOF-WS (40 year life)</t>
  </si>
  <si>
    <t>Weathersfield</t>
  </si>
  <si>
    <t>Orangewood</t>
  </si>
  <si>
    <t>Crescent Heights</t>
  </si>
  <si>
    <t>Davis Shores</t>
  </si>
  <si>
    <t>Englewood Water District Increase 10/1/2019</t>
  </si>
  <si>
    <t>City of St. Petersburg Increase 10/1/2019</t>
  </si>
  <si>
    <t>City of Sanford Increase 10/1/2019</t>
  </si>
  <si>
    <t>Base Facility Chg ($740.13-$725.61) x 9 months</t>
  </si>
  <si>
    <t>Altamonte Springs Increase 10/31/2019</t>
  </si>
  <si>
    <t xml:space="preserve">Pasco County Increase 10/1/2019 </t>
  </si>
  <si>
    <t>Orlando Utility Commission Increase 10/1/2019</t>
  </si>
  <si>
    <t>Orange County Utilities Increase 10/1/2019</t>
  </si>
  <si>
    <t>Base Facility Chg ($246.97-$232.74) x 9 months</t>
  </si>
  <si>
    <t>Base Facility Chg ($159.49-$154.84) x 9 months</t>
  </si>
  <si>
    <t>Jan - Sep gls 30,505 x ($7.48-$7.19))</t>
  </si>
  <si>
    <t>Jan - Sep gls 17,609 x ($7.54-$7.39)</t>
  </si>
  <si>
    <t>Jan - Sep gls W: 36,857 x ($3.75-$3.69), S: 26,646 x ($5.31-$5.13)</t>
  </si>
  <si>
    <t>Jan - Sep gls 16,247 x ($1.764-$1.70)</t>
  </si>
  <si>
    <t>Jan - Sep gls 2995 x ($1.68-$1.61)</t>
  </si>
  <si>
    <t>Jan - Sep gls 4,177 x ($5.31-$5.13)</t>
  </si>
  <si>
    <t>Jan - Oct gls 29,668 x ($3.76-$3.67)</t>
  </si>
  <si>
    <t>Tierre Verde</t>
  </si>
  <si>
    <t>Ravenna Park</t>
  </si>
  <si>
    <t>Amortization of rate case expense per Schedule B-10</t>
  </si>
  <si>
    <t>Adjustment to Salaries and Benefits</t>
  </si>
  <si>
    <t>615 Purchased Power</t>
  </si>
  <si>
    <t>618 Chemicals</t>
  </si>
  <si>
    <t>715 Purchased Power</t>
  </si>
  <si>
    <t>718 Chemicals</t>
  </si>
  <si>
    <t>Excess Infiltration &amp; Inflow (Lincoln Heights 11.25%, Orangewood 5.72%)</t>
  </si>
  <si>
    <t>GOLDEN HILLS/CROWNWOOD</t>
  </si>
  <si>
    <t>SANDAHAVEN</t>
  </si>
  <si>
    <t>SANDALHAVEN</t>
  </si>
  <si>
    <t>Cash Contributions</t>
  </si>
  <si>
    <t>Wastewater Treatment Plant</t>
  </si>
  <si>
    <t>Other Contrbuted Plant</t>
  </si>
  <si>
    <t>Contributed Property</t>
  </si>
  <si>
    <t>Other Fees</t>
  </si>
  <si>
    <t>(See page 2)</t>
  </si>
  <si>
    <t>Property Taxes</t>
  </si>
  <si>
    <t>Overall % Nonused and Useful</t>
  </si>
  <si>
    <t>Total property taxes (B-15) x % Nonused and useful</t>
  </si>
  <si>
    <t>Nonused and useful (Wastewater only)</t>
  </si>
  <si>
    <t>Total Nonused and Useful Net Plant (A-7)</t>
  </si>
  <si>
    <t>Total Net Tangible Plant (A-2)</t>
  </si>
  <si>
    <t>3. Personal Property</t>
  </si>
  <si>
    <t>SEWER PREL ALLOC/ERC</t>
  </si>
  <si>
    <t>Nonused and Useful (personal property tax only)</t>
  </si>
  <si>
    <t>340.5 / 390.7 Office Furn &amp; Eqpt</t>
  </si>
  <si>
    <t>341.5 / 391.7 Transportation Eqpt Wtr</t>
  </si>
  <si>
    <t>Total Allocations of common Plant between systems</t>
  </si>
  <si>
    <t>Allocations of Common Plant between Systems</t>
  </si>
  <si>
    <t>LAKE PLACID</t>
  </si>
  <si>
    <t>Total Reclass of EWD</t>
  </si>
  <si>
    <t>MIDCOUNTY</t>
  </si>
  <si>
    <t>Total Nonused and Useful Adjustment to Depreciation Expense</t>
  </si>
  <si>
    <t>Non-Used &amp; Useful Plant (A-7)</t>
  </si>
  <si>
    <t>Income Tax</t>
  </si>
  <si>
    <t>TOTI</t>
  </si>
  <si>
    <t>Mid County - General Plant</t>
  </si>
  <si>
    <t>Lake Placid - Tap Fees</t>
  </si>
  <si>
    <t>CIAC-STRUCT/IMPRV TREAT PLT</t>
  </si>
  <si>
    <t>ACC AMORTSTRUCT/IMPRV PUMP PLT</t>
  </si>
  <si>
    <t>ACC AMORTSTRUCT/IMPRV TREAT PL</t>
  </si>
  <si>
    <t>Amort Exp</t>
  </si>
  <si>
    <t>Month</t>
  </si>
  <si>
    <t>Over amort</t>
  </si>
  <si>
    <t>YE</t>
  </si>
  <si>
    <t>13-mo avg</t>
  </si>
  <si>
    <t>Sanlando - Treatment Structure</t>
  </si>
  <si>
    <t>S</t>
  </si>
  <si>
    <t>Sanlando - Pump Structure</t>
  </si>
  <si>
    <t>Sanlando - Gravity Mains</t>
  </si>
  <si>
    <t>Adjustment to AD account 389.1 for over-amortization</t>
  </si>
  <si>
    <t>(a) Allocations of Common Plant between Systems</t>
  </si>
  <si>
    <t>(b) To correct over-amortization of Sandalhaven intangible plant (EWD) 389.1</t>
  </si>
  <si>
    <t>Sanlando - Gravity Lines, Pumping Plant, Treatment Plant</t>
  </si>
  <si>
    <t>Less Sewer B-6</t>
  </si>
  <si>
    <t>Less Water B-5</t>
  </si>
  <si>
    <t>&lt;--- based on final dosage schedule</t>
  </si>
  <si>
    <t>Chemical Adjustments</t>
  </si>
  <si>
    <t>Non-Dosage</t>
  </si>
  <si>
    <t>DOSAGE - W</t>
  </si>
  <si>
    <t>DOSAGE - S</t>
  </si>
  <si>
    <t>Dosage Adj</t>
  </si>
  <si>
    <t>Chlorine</t>
  </si>
  <si>
    <t>Odor</t>
  </si>
  <si>
    <t>UIF Marion</t>
  </si>
  <si>
    <t>Golden Hills - W</t>
  </si>
  <si>
    <t>Golden Hills - S</t>
  </si>
  <si>
    <t>UIF Seminole</t>
  </si>
  <si>
    <t>Bear Lake</t>
  </si>
  <si>
    <t>Jansen</t>
  </si>
  <si>
    <t>Little Wekiva</t>
  </si>
  <si>
    <t>Oakland Shores</t>
  </si>
  <si>
    <t>Park Ridge</t>
  </si>
  <si>
    <t>Phillips</t>
  </si>
  <si>
    <t>Crystal Lake</t>
  </si>
  <si>
    <t>UIF Pinellas</t>
  </si>
  <si>
    <t>Lake Tarpon</t>
  </si>
  <si>
    <t>UIF Pasco</t>
  </si>
  <si>
    <t>UIF Orange</t>
  </si>
  <si>
    <t>N/A purchased</t>
  </si>
  <si>
    <t>TOTALS</t>
  </si>
  <si>
    <t>Dosage</t>
  </si>
  <si>
    <t>='ChemicalsAdj'!B61 and C61</t>
  </si>
  <si>
    <t>Adjust overamortization of CIAC -  ORDER NO. PSC-2017-0361-FOF-WS</t>
  </si>
  <si>
    <t>Retirement</t>
  </si>
  <si>
    <t>Page 1 of 5</t>
  </si>
  <si>
    <t>Page 2 of 5</t>
  </si>
  <si>
    <t>Page 3 of 5</t>
  </si>
  <si>
    <t>Page 4 of 5</t>
  </si>
  <si>
    <t>Page 5 of 5</t>
  </si>
  <si>
    <t>Test Year Adjusted Revenues net of Adjustments above</t>
  </si>
  <si>
    <t>&lt;---should not be negatives</t>
  </si>
  <si>
    <t>642/742 Equipment Rental allocated to water, should all be sewer</t>
  </si>
  <si>
    <t>Net Plant</t>
  </si>
  <si>
    <t>AD</t>
  </si>
  <si>
    <t>(c) To annualize accumulated depreciation for test year additions</t>
  </si>
  <si>
    <t>Months to annualize</t>
  </si>
  <si>
    <t>Addition</t>
  </si>
  <si>
    <t>360.2 Force Mains</t>
  </si>
  <si>
    <t>354.2 Structures &amp; Improvements</t>
  </si>
  <si>
    <t>304.2 Structures &amp; Improvements</t>
  </si>
  <si>
    <t>304.4 Structures &amp; Improvements</t>
  </si>
  <si>
    <t>354.3 Structures &amp; Improvements</t>
  </si>
  <si>
    <t>DO NOT DELETE THESE ROWS</t>
  </si>
  <si>
    <t>Based on the above, we grant UIF recovery of appellate and remand rate case expense in</t>
  </si>
  <si>
    <t>the amount of $39,727. Further, rate case expense shall be allocated between the consolidated</t>
  </si>
  <si>
    <t>water and wastewater systems based on equivalent residential connections (ERCs). We authorize</t>
  </si>
  <si>
    <t>the establishment of a regulatory asset to recover the expense in the Utility’s next rate</t>
  </si>
  <si>
    <t>proceeding.</t>
  </si>
  <si>
    <r>
      <t>(1)</t>
    </r>
    <r>
      <rPr>
        <sz val="9"/>
        <rFont val="Calibri"/>
        <family val="2"/>
        <scheme val="minor"/>
      </rPr>
      <t xml:space="preserve"> ORDER NO. PSC-2019-0363-PAA-WS </t>
    </r>
  </si>
  <si>
    <t>Estimate Through Final Order</t>
  </si>
  <si>
    <t>Remove revenues from RC surcharge</t>
  </si>
  <si>
    <t>666/766  Reg. Comm. Exp. - Rate Case Amortzation</t>
  </si>
  <si>
    <t>To remove rate case expense associated with recovery through surcharges and to balance to amount allowed in prior rate case</t>
  </si>
  <si>
    <t>Allowed amount</t>
  </si>
  <si>
    <t>To removed revenues from rate case expense surcharges</t>
  </si>
  <si>
    <t>Rate Case Expense Surcharge</t>
  </si>
  <si>
    <t>Accounts Receivable - Associated Cos.</t>
  </si>
  <si>
    <t>Accounts Payable - Associated Cos.</t>
  </si>
  <si>
    <t>Unamortized Rate Case Expense (prior)</t>
  </si>
  <si>
    <t>354.3  Structures &amp; Improvements - Pumping</t>
  </si>
  <si>
    <t>361.2  Collection Sewers - Manholes</t>
  </si>
  <si>
    <t>398.3  Other Tangible Plant - Pumping</t>
  </si>
  <si>
    <t>Total Pro Forma Retirements Adjustments</t>
  </si>
  <si>
    <t>Total Proforma Adjustments to Utility Plant in Service</t>
  </si>
  <si>
    <t>Total Annualized Accumulated Depreciation Adjustment</t>
  </si>
  <si>
    <t>Total Accumulated Depreciation for Pro Forma Additions</t>
  </si>
  <si>
    <t>Total Accumulated Depreciation for Pro Forma Retirements</t>
  </si>
  <si>
    <t>Total Proforma Adjustments to Accumulted Depreciation</t>
  </si>
  <si>
    <t>Retirement of Proforma Contributed Plant</t>
  </si>
  <si>
    <t>Total Retirement of Contributed Plant</t>
  </si>
  <si>
    <t>Amortization on Retirement of Proforma Contributed Plant</t>
  </si>
  <si>
    <t>Total Amortization on Retirement of Proforma Contributed Plant</t>
  </si>
  <si>
    <t>Proforma Studies and Preliminary Investigation</t>
  </si>
  <si>
    <t>Chlorine Dioxide Pilot Study - Summertree</t>
  </si>
  <si>
    <t>Total Working Capital</t>
  </si>
  <si>
    <t xml:space="preserve">Additional Depreciation Expense for Pro Forma Plant Additions </t>
  </si>
  <si>
    <t>Total  Depreciation Expense for Pro Forma Additions</t>
  </si>
  <si>
    <t>Reduction to Depreciation Expense for Plant Retirements</t>
  </si>
  <si>
    <t>Total  Depreciation Expense for Pro Forma Retirements</t>
  </si>
  <si>
    <t>Total Proforma Adjustments to  Depreciation Expense</t>
  </si>
  <si>
    <t xml:space="preserve">Total Eligible Net Proforma Plant Additions </t>
  </si>
  <si>
    <t>Less discount for early payment (4%)</t>
  </si>
  <si>
    <t>Net of discount for early payment (4%)</t>
  </si>
  <si>
    <t>IDC</t>
  </si>
  <si>
    <t>Captime</t>
  </si>
  <si>
    <t>UIF CIP Analysis/Modeling</t>
  </si>
  <si>
    <t>LS #4 / #7 Gensets</t>
  </si>
  <si>
    <t>Engineering WWTP Master Plan</t>
  </si>
  <si>
    <t>Smoke Testing/I&amp;I Investigation</t>
  </si>
  <si>
    <t>ENG - ST Chlorine Dioxide Pilot Study</t>
  </si>
  <si>
    <t>ST PW - Smoke Testing/I&amp;I Investigation</t>
  </si>
  <si>
    <t>Lift Station RTU Improvements</t>
  </si>
  <si>
    <t>Chlorine Dioxide Pilot Study</t>
  </si>
  <si>
    <t>I&amp;I Project</t>
  </si>
  <si>
    <t>TV Redzone &amp; I&amp;I Investigation</t>
  </si>
  <si>
    <t>Yes</t>
  </si>
  <si>
    <t xml:space="preserve">Tierra Verde </t>
  </si>
  <si>
    <t>FM / GSM Relocation</t>
  </si>
  <si>
    <t>E.E. Williamson Utility Relocations</t>
  </si>
  <si>
    <t>Const - Powerline 16" FM &amp; WM</t>
  </si>
  <si>
    <t>Pennbroke</t>
  </si>
  <si>
    <t>Lake</t>
  </si>
  <si>
    <t>WWTP Diffuser Replacement</t>
  </si>
  <si>
    <t>LG RAS Pump Replacement</t>
  </si>
  <si>
    <t xml:space="preserve">Mid-County </t>
  </si>
  <si>
    <t>MC Headworks Improvements</t>
  </si>
  <si>
    <t>Const - Wekiva WWTF Headworks</t>
  </si>
  <si>
    <t>Eng Relocate LS 10 FM</t>
  </si>
  <si>
    <t>Wekiva WWTF Improvements</t>
  </si>
  <si>
    <t>Lee</t>
  </si>
  <si>
    <t>L/S ER 3 &amp; 8 Rehab</t>
  </si>
  <si>
    <t>Lift Station Mechanical Rehab</t>
  </si>
  <si>
    <t>WWTP Tree Removal / Fencing</t>
  </si>
  <si>
    <t>Liftstation #4 Replacement</t>
  </si>
  <si>
    <t>PDR &amp; Master Lift Station</t>
  </si>
  <si>
    <t>UIF - Wekiva?</t>
  </si>
  <si>
    <t>Eng Northwestern Bridge WM Replacement</t>
  </si>
  <si>
    <t>UIF - Golden Hills</t>
  </si>
  <si>
    <t>GH Galvanized WM Replacement</t>
  </si>
  <si>
    <t>GH WM Relocation</t>
  </si>
  <si>
    <t>LG Sulfuric Acid Tank &amp; Pipe Replacement</t>
  </si>
  <si>
    <t>UIF - OW</t>
  </si>
  <si>
    <t>OW Well 1 Hydrotank Genset- Hydro tank</t>
  </si>
  <si>
    <t>OW Well 1 Hydrotank Genset- Well</t>
  </si>
  <si>
    <t>UIF - BuenaVista</t>
  </si>
  <si>
    <t>BV Wells 2 &amp; 3 Improvements</t>
  </si>
  <si>
    <t>Well Panel Replacements</t>
  </si>
  <si>
    <t>Project Cost</t>
  </si>
  <si>
    <t>System</t>
  </si>
  <si>
    <t>Forecast (000's)</t>
  </si>
  <si>
    <t>CIAC?</t>
  </si>
  <si>
    <t>Retirement?</t>
  </si>
  <si>
    <t>Co</t>
  </si>
  <si>
    <t>Job Description</t>
  </si>
  <si>
    <t>CP#</t>
  </si>
  <si>
    <t xml:space="preserve">Service </t>
  </si>
  <si>
    <t>WASTEWATER PROFORMA PROJECTS WITH CIAC RETIREMENTS</t>
  </si>
  <si>
    <t>WATER PROFORMA PROJECTS WITH CIAC RETIREMENTS</t>
  </si>
  <si>
    <t>Accum</t>
  </si>
  <si>
    <t>TOTAL UIF PROFORMA CAPITAL PROJECTS</t>
  </si>
  <si>
    <t>UIF - Summertree</t>
  </si>
  <si>
    <t>This will be D&amp;A but the construction portion will not be receovered in this rate filing (add to studies?)</t>
  </si>
  <si>
    <t>361.2 MH</t>
  </si>
  <si>
    <t>ENG Powerline 16" FM &amp; WM</t>
  </si>
  <si>
    <t>NEED ALLOCATION BETWEEN WATER / SEWER</t>
  </si>
  <si>
    <t xml:space="preserve">TOTAL STUDIES / MODELING </t>
  </si>
  <si>
    <t>I&amp;I Investigation</t>
  </si>
  <si>
    <t>Polk</t>
  </si>
  <si>
    <t>Charlotte</t>
  </si>
  <si>
    <t>STUDIES</t>
  </si>
  <si>
    <t>TOTAL WASTEWATER PROFORMA CAPITAL PROJECTS</t>
  </si>
  <si>
    <t xml:space="preserve">UIF </t>
  </si>
  <si>
    <t>Seminole Cty Lift Station RTU's</t>
  </si>
  <si>
    <t>Longwood RTU's</t>
  </si>
  <si>
    <t>L/S RTU Installation</t>
  </si>
  <si>
    <t>ENG WWTP Variance &amp; LDO</t>
  </si>
  <si>
    <t>ENG - Wekiva WWTF Headworks</t>
  </si>
  <si>
    <t>Barrington WWTP Cap Improvements</t>
  </si>
  <si>
    <t>Eng Wekiva WWTF Improvements</t>
  </si>
  <si>
    <t>ST - I&amp;I Corrections</t>
  </si>
  <si>
    <t>UIF - Ravenna</t>
  </si>
  <si>
    <t>Ravenna Park I&amp;I Corrections</t>
  </si>
  <si>
    <t>Curlew Creek I&amp;I Improvements</t>
  </si>
  <si>
    <t>I&amp;I Corrections Ph 4</t>
  </si>
  <si>
    <t>ENG F5/C1/L2 FM</t>
  </si>
  <si>
    <t>receiving well only</t>
  </si>
  <si>
    <t>% of project</t>
  </si>
  <si>
    <t>WASTEWATER PROFORMA CAPITAL PROJECTS</t>
  </si>
  <si>
    <t>TOTAL WATER PROFORMA CAPITAL PROJECTS</t>
  </si>
  <si>
    <t>17 - this project has 3 accounts</t>
  </si>
  <si>
    <t>GST (ground storage tanks)  Deficiency Corrections</t>
  </si>
  <si>
    <t>LG HCl Acid Storage tank relocate</t>
  </si>
  <si>
    <t xml:space="preserve">OW Well 1 Hydrotank Genset- Generator </t>
  </si>
  <si>
    <t>UIF - Park Ridge</t>
  </si>
  <si>
    <t>Park Ridge Generator</t>
  </si>
  <si>
    <t>UIF - LittleWekiva</t>
  </si>
  <si>
    <t>Little Wekiva Generator</t>
  </si>
  <si>
    <t>Eng - Crescent Bay Raw WM</t>
  </si>
  <si>
    <t>Const - Crescent Bay Raw WM</t>
  </si>
  <si>
    <t>Eng - 2nd Lower Floridan Well</t>
  </si>
  <si>
    <t>WATER PROFORMA CAPITAL PROJECTS</t>
  </si>
  <si>
    <t>Retirement #</t>
  </si>
  <si>
    <t>Past Index</t>
  </si>
  <si>
    <t>2020 Index</t>
  </si>
  <si>
    <t>Obj</t>
  </si>
  <si>
    <t>Book</t>
  </si>
  <si>
    <t>Cost w cap &amp; IDC</t>
  </si>
  <si>
    <t>Base Project Cost</t>
  </si>
  <si>
    <t>Deferred Tax</t>
  </si>
  <si>
    <t>Accumulated</t>
  </si>
  <si>
    <t>Service Life</t>
  </si>
  <si>
    <t>Docket# 20200139-WS</t>
  </si>
  <si>
    <t>FLORIDA REGION PROFORMA CAPITAL PROJECTS</t>
  </si>
  <si>
    <t>CIAC Retirements</t>
  </si>
  <si>
    <t>County</t>
  </si>
  <si>
    <t>Increase</t>
  </si>
  <si>
    <t>Net of Discount</t>
  </si>
  <si>
    <t>Property Tax</t>
  </si>
  <si>
    <t xml:space="preserve">348.5 / 398.7 Other Plant </t>
  </si>
  <si>
    <t>ProForma</t>
  </si>
  <si>
    <t>Nonused and Useful Depreciation (B-14)</t>
  </si>
  <si>
    <t>Nonused and Useful Amortization of CIAC (B-14)</t>
  </si>
  <si>
    <t>Millage rate (composite based on county)</t>
  </si>
  <si>
    <t>(continued next page)</t>
  </si>
  <si>
    <t>(c) To annualize accumulated depreciation for test year additions (continued)</t>
  </si>
  <si>
    <t>GOLDEN HILLS-CROWNWOOD</t>
  </si>
  <si>
    <t>Schedule: A-12 (Interim)</t>
  </si>
  <si>
    <t>Schedule: A-14 (Interim)</t>
  </si>
  <si>
    <t xml:space="preserve">Explanation: Provide the average amortization of CIAC balance by account. </t>
  </si>
  <si>
    <t>Explanation: Provide the average CIAC balance by account.</t>
  </si>
  <si>
    <t>(continued to next page)</t>
  </si>
  <si>
    <t xml:space="preserve"> To annualize depreciation expense for assets placed in service during the test year</t>
  </si>
  <si>
    <t xml:space="preserve"> To annualize depreciation expense for assets placed in service during the test year (continued)</t>
  </si>
  <si>
    <t>Total annualize depreciation expense</t>
  </si>
  <si>
    <t>ScottMadden</t>
  </si>
  <si>
    <t>Dylan D'Ascendis</t>
  </si>
  <si>
    <t>ROE Analysis, Assist w/ MFRs, Data Requests, Hearing</t>
  </si>
  <si>
    <t>Notices - postage, printing, publication</t>
  </si>
  <si>
    <r>
      <t>Appellate and remand rate case expense</t>
    </r>
    <r>
      <rPr>
        <vertAlign val="superscript"/>
        <sz val="9"/>
        <rFont val="Calibri"/>
        <family val="2"/>
        <scheme val="minor"/>
      </rPr>
      <t xml:space="preserve"> (1)</t>
    </r>
  </si>
  <si>
    <t>NET DEPRECIATION EXPENSE - SEWER (B-2)</t>
  </si>
  <si>
    <t>LESS: NON USED AND USEFUL (NET)</t>
  </si>
  <si>
    <t>(See pgs 2-3)</t>
  </si>
  <si>
    <t>Other Pro-Forma Adjustments</t>
  </si>
  <si>
    <t>Summertree PFAS Testing, to include TY expense</t>
  </si>
  <si>
    <t>Wekiva - Emergency Power Plan annual fee increase</t>
  </si>
  <si>
    <t>Grounds maintenance after completing capital improvement project</t>
  </si>
  <si>
    <t>Summertree - Annualized chlorine dioxide chemical cost</t>
  </si>
  <si>
    <t xml:space="preserve">L Groves-Annualized 6 mos of sulfuric acid, hydrochloric acid deliveries </t>
  </si>
  <si>
    <t>Income Tax Per Books</t>
  </si>
  <si>
    <t>Test Year Current Income Tax per C-2</t>
  </si>
  <si>
    <t>Adjustment to reflect current income tax</t>
  </si>
  <si>
    <t>Adjustment to reflect current income taxes expense for test year</t>
  </si>
  <si>
    <t>610/710 Purchased Water/Sewer Adjustment to Annualize Rate Increases</t>
  </si>
  <si>
    <t>Total Adjustment to 610/710</t>
  </si>
  <si>
    <t>Total overamortization of CIAC</t>
  </si>
  <si>
    <t>642 / 742  Rental of Equipment</t>
  </si>
  <si>
    <t>Per email P Drennan 6/4/2020</t>
  </si>
  <si>
    <t>641 / 741 Annualize rent for  office lease</t>
  </si>
  <si>
    <t>(b) To annualize 2019 Salary &amp; Benefits and reflect 2020 increase</t>
  </si>
  <si>
    <t>Confirmed per email P Drennan 6/5/2020</t>
  </si>
  <si>
    <t>Excess Unaccounted for Water: Golden Hills 8.8%,  Lake Placid 10%, Little Wekiva 5.5%, Sanlando 2.1%, Four Lakes 1.9%</t>
  </si>
  <si>
    <t>Analysis of KWRU</t>
  </si>
  <si>
    <t>Actual Cash balance</t>
  </si>
  <si>
    <t>Cash allowed</t>
  </si>
  <si>
    <t>WC allowed</t>
  </si>
  <si>
    <t>Rate base (excluding WC) allowed</t>
  </si>
  <si>
    <t>Gross Plant allowed</t>
  </si>
  <si>
    <t>Rate base (including WC) allowed</t>
  </si>
  <si>
    <t>% of RB</t>
  </si>
  <si>
    <t>% of GP</t>
  </si>
  <si>
    <t>% of RB (no wc)</t>
  </si>
  <si>
    <t>Cash to request</t>
  </si>
  <si>
    <t>UIF Analysis</t>
  </si>
  <si>
    <t>WC to request</t>
  </si>
  <si>
    <t>Gross Plant requested</t>
  </si>
  <si>
    <t>Rate base (excluding WC) requested</t>
  </si>
  <si>
    <t>Rate base (including WC) requested</t>
  </si>
  <si>
    <t>Adjustment for cash</t>
  </si>
  <si>
    <t>Cash on BS</t>
  </si>
  <si>
    <t>Cash presumption calculated</t>
  </si>
  <si>
    <t>Sewer (Gross Plant)</t>
  </si>
  <si>
    <t>Water (Gross Plant)</t>
  </si>
  <si>
    <t>ERCs 2015</t>
  </si>
  <si>
    <t>City of St. Petersburg Increase 10/1/2020</t>
  </si>
  <si>
    <t>Jan - Sep gls 87,809 x ($4,196-$3,801 x 25% surcharge)</t>
  </si>
  <si>
    <t>Jan - Dec gls 116,681 x ($4,693-$4,196 x 25% surcharge)</t>
  </si>
  <si>
    <t>116,681 per F2</t>
  </si>
  <si>
    <t>(a) To adjust Salary &amp; Benefits for additional employees</t>
  </si>
  <si>
    <t>Position</t>
  </si>
  <si>
    <t>Hourly</t>
  </si>
  <si>
    <t>Working Days</t>
  </si>
  <si>
    <t>Salary</t>
  </si>
  <si>
    <t>Health Insurance</t>
  </si>
  <si>
    <t>Life Insurance</t>
  </si>
  <si>
    <t>Phone</t>
  </si>
  <si>
    <t>Social Security</t>
  </si>
  <si>
    <t>Medicare</t>
  </si>
  <si>
    <t>SUI/FUI</t>
  </si>
  <si>
    <t>Meter Tech</t>
  </si>
  <si>
    <t>Operator II</t>
  </si>
  <si>
    <t>Meter Reader</t>
  </si>
  <si>
    <t>Adjust Payroll Taxes for new employees</t>
  </si>
  <si>
    <t>Total payroll tax adjustment</t>
  </si>
  <si>
    <t>Adjust Payroll Taxes for salary increases (annualized)</t>
  </si>
  <si>
    <t>Adjust payroll taxes for salary increase and new employees</t>
  </si>
  <si>
    <t>Adjustment to include presumed cash balance (2% gross plant)</t>
  </si>
  <si>
    <t>675 / 775 Increase Telephone Expense for additional employees</t>
  </si>
  <si>
    <t>To reduce income tax expense for amortization the Excess Deferred Tax Liability</t>
  </si>
  <si>
    <t>Protected</t>
  </si>
  <si>
    <t>Unprotected</t>
  </si>
  <si>
    <t>(10 year)</t>
  </si>
  <si>
    <t>(20.51 yrs)</t>
  </si>
  <si>
    <t>Rate Base W</t>
  </si>
  <si>
    <t>Rate Base WW</t>
  </si>
  <si>
    <t>13 mo average (allocate based on 12/31/2018 blc)</t>
  </si>
  <si>
    <t>Unprotected Balance (360,233 / 10 years, allocated by rate base)</t>
  </si>
  <si>
    <t>Protected Balance (5,287,412 / 21.51 yrs, allocated by rate base)</t>
  </si>
  <si>
    <t>Amortization of Excess Deferred Tax Liability</t>
  </si>
  <si>
    <t>retirements</t>
  </si>
  <si>
    <t>650 / 750 Increase in exp to reflect increase of assigned truck fleet (3.8%)</t>
  </si>
  <si>
    <t>Additional Adjustment for Amortization of Excess Deferred Tax Liability</t>
  </si>
  <si>
    <t>Proforma Adjustments to Provision for Income Taxes</t>
  </si>
  <si>
    <t>Additional Adjustment for Amortization of Excess Deferred Income Tax</t>
  </si>
  <si>
    <t>Reduction of Income Tax Expense</t>
  </si>
  <si>
    <t>Reduction of RAFs</t>
  </si>
  <si>
    <t>Total Additional Adjustment for Amort of Excess Deferred Income Tax</t>
  </si>
  <si>
    <t>Total Provision for Income Taxes</t>
  </si>
  <si>
    <t>TOTAL OTHER WATER REVENUES</t>
  </si>
  <si>
    <t>UIF Marion Order No. PSC-16-0296-PAA-WS</t>
  </si>
  <si>
    <t>UIF Seminole Order No. PSC-16-0296-PAA-WS</t>
  </si>
  <si>
    <t>UIF Pasco Order No. PSC-16-0505-PAA-WS</t>
  </si>
  <si>
    <t>Allowed Order No. PSC-2017-0361-FOF-WS (2015 Rate Case)</t>
  </si>
  <si>
    <t>Allowed Order No. PSC-2017-0361-FOF-WS (Generic Docket)</t>
  </si>
  <si>
    <t>Generic</t>
  </si>
  <si>
    <t>Less: Per Books</t>
  </si>
  <si>
    <t>Generic Docket</t>
  </si>
  <si>
    <t>Start Amortization</t>
  </si>
  <si>
    <t>9/2017</t>
  </si>
  <si>
    <t>End Amortization</t>
  </si>
  <si>
    <t>9/2021</t>
  </si>
  <si>
    <t>Annual Amort</t>
  </si>
  <si>
    <t>Montly Amort</t>
  </si>
  <si>
    <t>Balance 8/31/2017</t>
  </si>
  <si>
    <t>Balance 12/31/2017</t>
  </si>
  <si>
    <t>Balance 12/31/2018</t>
  </si>
  <si>
    <t>Balance 12/31/2019</t>
  </si>
  <si>
    <t>Balance per 2015 RC</t>
  </si>
  <si>
    <t>Working Cap Adjustment per order</t>
  </si>
  <si>
    <t>Beginning BLC</t>
  </si>
  <si>
    <t>UIF Counties</t>
  </si>
  <si>
    <t>TY Annual Avg</t>
  </si>
  <si>
    <t>TY Amortization Allowed</t>
  </si>
  <si>
    <t>Prior Rate Cases</t>
  </si>
  <si>
    <t>6/23/15</t>
  </si>
  <si>
    <t>6/30/15</t>
  </si>
  <si>
    <t>2/9/16</t>
  </si>
  <si>
    <t>8/18/16</t>
  </si>
  <si>
    <t>2/17/17</t>
  </si>
  <si>
    <t>6/23/19</t>
  </si>
  <si>
    <t>6/30/19</t>
  </si>
  <si>
    <t>2/9/20</t>
  </si>
  <si>
    <t>8/18/20</t>
  </si>
  <si>
    <t>2/17/21</t>
  </si>
  <si>
    <t>TY AVG</t>
  </si>
  <si>
    <t>J</t>
  </si>
  <si>
    <t>F</t>
  </si>
  <si>
    <t>M</t>
  </si>
  <si>
    <t>O</t>
  </si>
  <si>
    <t>N</t>
  </si>
  <si>
    <t>D</t>
  </si>
  <si>
    <t>TY 13 mo avg</t>
  </si>
  <si>
    <t>BLC 12/31/2018</t>
  </si>
  <si>
    <t>BLC 12/31/2019</t>
  </si>
  <si>
    <t>Monthly Amort</t>
  </si>
  <si>
    <t>% ERCs 2015</t>
  </si>
  <si>
    <t>Test Year Adjustments for Unamorized Rate Case Expense</t>
  </si>
  <si>
    <t>(a) Unamortized prior rate case expense - TY 13 month balance</t>
  </si>
  <si>
    <t xml:space="preserve">  Currently recovered through surcharges</t>
  </si>
  <si>
    <t>(b) Unamortized Generic Docket - 13 TY month balance</t>
  </si>
  <si>
    <t>Regulatory Asset/Liab</t>
  </si>
  <si>
    <t>WC Balance Allowed (reduced blc by one year amort)</t>
  </si>
  <si>
    <t>TY 13 mo Avg</t>
  </si>
  <si>
    <t>Project Phoenix Regulatory Asset</t>
  </si>
  <si>
    <t>TY 13-MO AVG BLC</t>
  </si>
  <si>
    <t>% by system for allocation</t>
  </si>
  <si>
    <t>Total test year amortization of Project Phoenix regulatory asset</t>
  </si>
  <si>
    <t>To include test year amortization of Project Phoenix regulatory asset</t>
  </si>
  <si>
    <t>Cypress Lakes ((w $7,173 + s $6,587) / 4)</t>
  </si>
  <si>
    <t>Eagle Ridge ( $3,421 / 4)</t>
  </si>
  <si>
    <t>Lake Placid ((w $689 + s $769) / 4)</t>
  </si>
  <si>
    <t>UIF Counties (w $368+$3401+$510+$3214 + s $1,476+$1748)/4)</t>
  </si>
  <si>
    <t>Pennbrooke ((-w $1,113 - s $892) / 4)</t>
  </si>
  <si>
    <t>Total Adjustment to Amortization Expense</t>
  </si>
  <si>
    <t>Proforma Adjustments</t>
  </si>
  <si>
    <t>To include unamortized average balance of Project Phoenix regulatory asset</t>
  </si>
  <si>
    <t>Total Test Year Adjustment to Working Capital</t>
  </si>
  <si>
    <t>Total Proforma Adjustments to Working Capital</t>
  </si>
  <si>
    <t xml:space="preserve">Lake Placid </t>
  </si>
  <si>
    <t>Total unamortized average balance of Project Phoenix regulatory asset</t>
  </si>
  <si>
    <t>AD retired</t>
  </si>
  <si>
    <t>Proforma adds</t>
  </si>
  <si>
    <t>Trucks not included</t>
  </si>
  <si>
    <t>L/S RTU Installation - 2020091</t>
  </si>
  <si>
    <t>Truck 1508 replacement (accident)</t>
  </si>
  <si>
    <t>341.5/391.7  Transportation Equipment</t>
  </si>
  <si>
    <t>Ties to PF Adds</t>
  </si>
  <si>
    <t>341/391</t>
  </si>
  <si>
    <t>Accum Depr</t>
  </si>
  <si>
    <t>Smoke Testing/I&amp;I Investigation - Cypress Lakes</t>
  </si>
  <si>
    <t>Proforma Adjustment</t>
  </si>
  <si>
    <t>Page 6 of 6</t>
  </si>
  <si>
    <t>Page 5 of 6</t>
  </si>
  <si>
    <t>Page 4 of 6</t>
  </si>
  <si>
    <t>Page 3 of 6</t>
  </si>
  <si>
    <t>Page 2 of 6</t>
  </si>
  <si>
    <t>Page 1 of 6</t>
  </si>
  <si>
    <t>Tierra Verde I&amp;I Remediation</t>
  </si>
  <si>
    <t>Eagle Ridge Eng. Site Improvements</t>
  </si>
  <si>
    <t>Eagle Ridge Site Improvements</t>
  </si>
  <si>
    <t>I&amp;I Investigation - Cypress Lakes, deferred and amortized ($50,000 - 1 yr amort)</t>
  </si>
  <si>
    <t>I&amp;I Invetigation - Cypress Lakes, defer and amortize ($50,000 over 10 years)</t>
  </si>
  <si>
    <t xml:space="preserve">LUSI </t>
  </si>
  <si>
    <t>341.5 / 391.7  Transportation Equipment (Orig cost $22,529 - salvage $14,000)</t>
  </si>
  <si>
    <t>(d) To adjust accumulated depreciation for pro forma additions</t>
  </si>
  <si>
    <t>(e) Plant Retirements</t>
  </si>
  <si>
    <t xml:space="preserve"> Mid-County Master Lift Station</t>
  </si>
  <si>
    <t>Sanlando Ground Storage Tanks Remediation</t>
  </si>
  <si>
    <t>Note:  Source responses to OPC ROGS 81, 82, 84, 85, 86, 97, 102,103, 105, 107 and Staff POD 1.</t>
  </si>
  <si>
    <t>Docket No.20200139-WS</t>
  </si>
  <si>
    <t>Exhibit FWR-2</t>
  </si>
  <si>
    <t>PCF Exhibit #</t>
  </si>
  <si>
    <t>Utilites Inc.of Florida</t>
  </si>
  <si>
    <t>List of Pro-Forma Projects that Lack Sufficent Support Information</t>
  </si>
  <si>
    <t>System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</si>
</sst>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hh:mm:ss\ AM/PM_)"/>
    <numFmt numFmtId="165" formatCode="hh:mm:ss_)"/>
    <numFmt numFmtId="166" formatCode="_(* #,##0.0_);_(* \(#,##0.0\);_(* &quot;-&quot;??_);_(@_)"/>
    <numFmt numFmtId="167" formatCode="_(* #,##0_);_(* \(#,##0\);_(* &quot;-&quot;??_);_(@_)"/>
    <numFmt numFmtId="168" formatCode="_(&quot;$&quot;* #,##0_);_(&quot;$&quot;* \(#,##0\);_(&quot;$&quot;* &quot;-&quot;??_);_(@_)"/>
    <numFmt numFmtId="169" formatCode="mm/dd/yy"/>
    <numFmt numFmtId="170" formatCode="_(* #,##0.0_);_(* \(#,##0.0\);_(* &quot;-&quot;_);_(@_)"/>
    <numFmt numFmtId="171" formatCode="_(* #,##0.00_);_(* \(#,##0.00\);_(* &quot;-&quot;_);_(@_)"/>
    <numFmt numFmtId="172" formatCode="_(* #,##0.0000_);_(* \(#,##0.0000\);_(* &quot;-&quot;_);_(@_)"/>
    <numFmt numFmtId="173" formatCode="mmmmm\-yy"/>
    <numFmt numFmtId="174" formatCode="0_);\(0\)"/>
    <numFmt numFmtId="175" formatCode="0.0%"/>
    <numFmt numFmtId="176" formatCode="#########"/>
    <numFmt numFmtId="177" formatCode="0.0000%"/>
    <numFmt numFmtId="178" formatCode="[$-409]mmm\-yy;@"/>
    <numFmt numFmtId="179" formatCode="0.0"/>
    <numFmt numFmtId="180" formatCode="##"/>
    <numFmt numFmtId="181" formatCode="mm/yy"/>
    <numFmt numFmtId="182" formatCode="_([$€-2]* #,##0.00_);_([$€-2]* \(#,##0.00\);_([$€-2]* &quot;-&quot;??_)"/>
    <numFmt numFmtId="183" formatCode="0.00000%"/>
    <numFmt numFmtId="184" formatCode="0.000%"/>
    <numFmt numFmtId="185" formatCode="[$-409]mmmm\ d\,\ yyyy;@"/>
    <numFmt numFmtId="186" formatCode="_(* #,##0.0000_);_(* \(#,##0.0000\);_(* &quot;-&quot;????_);_(@_)"/>
    <numFmt numFmtId="187" formatCode="_(* #,##0.000_);_(* \(#,##0.000\);_(* &quot;-&quot;??_);_(@_)"/>
    <numFmt numFmtId="188" formatCode="_(* #,##0.0000000_);_(* \(#,##0.0000000\);_(* &quot;-&quot;??_);_(@_)"/>
    <numFmt numFmtId="189" formatCode="&quot;$&quot;#,##0.000_);[Red]\(&quot;$&quot;#,##0.000\)"/>
    <numFmt numFmtId="190" formatCode="_(* #,##0.0000000000_);_(* \(#,##0.0000000000\);_(* &quot;-&quot;????_);_(@_)"/>
    <numFmt numFmtId="191" formatCode="_(* #,##0.00000000_);_(* \(#,##0.00000000\);_(* &quot;-&quot;??_);_(@_)"/>
  </numFmts>
  <fonts count="121">
    <font>
      <sz val="10"/>
      <name val="Garmond (W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0"/>
      <color indexed="8"/>
      <name val="Arial"/>
      <family val="2"/>
    </font>
    <font>
      <sz val="10"/>
      <name val="Arial"/>
      <family val="2"/>
    </font>
    <font>
      <sz val="10"/>
      <name val="Arial"/>
      <family val="2"/>
    </font>
    <font>
      <b/>
      <sz val="10"/>
      <name val="Garmond (W1)"/>
      <family val="1"/>
    </font>
    <font>
      <u/>
      <sz val="10"/>
      <name val="Garmond (W1)"/>
    </font>
    <font>
      <sz val="10"/>
      <name val="Arial"/>
      <family val="2"/>
    </font>
    <font>
      <sz val="9"/>
      <name val="Arial"/>
      <family val="2"/>
    </font>
    <font>
      <b/>
      <sz val="8"/>
      <name val="Arial"/>
      <family val="2"/>
    </font>
    <font>
      <sz val="8"/>
      <name val="Arial"/>
      <family val="2"/>
    </font>
    <font>
      <sz val="10"/>
      <name val="Garmond (W1)"/>
    </font>
    <font>
      <sz val="12"/>
      <name val="Arial"/>
      <family val="2"/>
    </font>
    <font>
      <sz val="8"/>
      <name val="Garmond (W1)"/>
    </font>
    <font>
      <sz val="10"/>
      <color indexed="8"/>
      <name val="Arial"/>
      <family val="2"/>
    </font>
    <font>
      <sz val="10"/>
      <name val="Bookman Old Style"/>
      <family val="1"/>
    </font>
    <font>
      <sz val="10"/>
      <name val="Geneva"/>
    </font>
    <font>
      <sz val="10"/>
      <name val="Courier"/>
      <family val="3"/>
    </font>
    <font>
      <sz val="10"/>
      <color indexed="8"/>
      <name val="Arial"/>
      <family val="2"/>
    </font>
    <font>
      <sz val="8"/>
      <name val="Times New Roman"/>
      <family val="1"/>
    </font>
    <font>
      <sz val="9"/>
      <name val="Calibri"/>
      <family val="2"/>
    </font>
    <font>
      <sz val="11"/>
      <color indexed="8"/>
      <name val="Calibri"/>
      <family val="2"/>
    </font>
    <font>
      <sz val="11"/>
      <color theme="1"/>
      <name val="Calibri"/>
      <family val="2"/>
      <scheme val="minor"/>
    </font>
    <font>
      <sz val="10"/>
      <color theme="1"/>
      <name val="Arial"/>
      <family val="2"/>
    </font>
    <font>
      <sz val="10"/>
      <name val="Bookman Old Style"/>
      <family val="1"/>
    </font>
    <font>
      <sz val="11"/>
      <color theme="1"/>
      <name val="Georgia"/>
      <family val="2"/>
    </font>
    <font>
      <sz val="9"/>
      <color theme="1"/>
      <name val="Georgia"/>
      <family val="2"/>
    </font>
    <font>
      <sz val="7.5"/>
      <name val="Arial"/>
      <family val="2"/>
    </font>
    <font>
      <sz val="10"/>
      <name val="Calibri"/>
      <family val="2"/>
      <scheme val="minor"/>
    </font>
    <font>
      <sz val="10"/>
      <name val="Geneva"/>
      <family val="2"/>
    </font>
    <font>
      <b/>
      <sz val="9"/>
      <color theme="1"/>
      <name val="Calibri"/>
      <family val="2"/>
    </font>
    <font>
      <b/>
      <strike/>
      <sz val="8"/>
      <color theme="1"/>
      <name val="Calibri"/>
      <family val="2"/>
      <scheme val="minor"/>
    </font>
    <font>
      <sz val="8"/>
      <color theme="1"/>
      <name val="Calibri"/>
      <family val="2"/>
      <scheme val="minor"/>
    </font>
    <font>
      <b/>
      <u/>
      <sz val="8"/>
      <color theme="1"/>
      <name val="Calibri"/>
      <family val="2"/>
      <scheme val="minor"/>
    </font>
    <font>
      <b/>
      <sz val="9"/>
      <color theme="1"/>
      <name val="Calibri"/>
      <family val="2"/>
      <scheme val="minor"/>
    </font>
    <font>
      <b/>
      <sz val="8"/>
      <name val="Calibri"/>
      <family val="2"/>
      <scheme val="minor"/>
    </font>
    <font>
      <sz val="8"/>
      <name val="Calibri"/>
      <family val="2"/>
      <scheme val="minor"/>
    </font>
    <font>
      <b/>
      <sz val="8"/>
      <name val="Times New Roman"/>
      <family val="1"/>
    </font>
    <font>
      <sz val="10"/>
      <name val="Arial"/>
      <family val="2"/>
    </font>
    <font>
      <sz val="9"/>
      <name val="Calibri"/>
      <family val="2"/>
      <scheme val="minor"/>
    </font>
    <font>
      <b/>
      <sz val="9"/>
      <name val="Calibri"/>
      <family val="2"/>
      <scheme val="minor"/>
    </font>
    <font>
      <u val="singleAccounting"/>
      <sz val="9"/>
      <name val="Calibri"/>
      <family val="2"/>
      <scheme val="minor"/>
    </font>
    <font>
      <b/>
      <sz val="9"/>
      <color rgb="FFFF0000"/>
      <name val="Calibri"/>
      <family val="2"/>
      <scheme val="minor"/>
    </font>
    <font>
      <b/>
      <u val="singleAccounting"/>
      <sz val="9"/>
      <name val="Calibri"/>
      <family val="2"/>
      <scheme val="minor"/>
    </font>
    <font>
      <sz val="9"/>
      <color indexed="12"/>
      <name val="Calibri"/>
      <family val="2"/>
      <scheme val="minor"/>
    </font>
    <font>
      <sz val="9"/>
      <color rgb="FFFF0000"/>
      <name val="Calibri"/>
      <family val="2"/>
      <scheme val="minor"/>
    </font>
    <font>
      <b/>
      <sz val="9"/>
      <color indexed="12"/>
      <name val="Calibri"/>
      <family val="2"/>
      <scheme val="minor"/>
    </font>
    <font>
      <sz val="10"/>
      <name val="Courier"/>
      <family val="3"/>
    </font>
    <font>
      <u/>
      <sz val="9"/>
      <name val="Calibri"/>
      <family val="2"/>
      <scheme val="minor"/>
    </font>
    <font>
      <b/>
      <u/>
      <sz val="9"/>
      <name val="Calibri"/>
      <family val="2"/>
      <scheme val="minor"/>
    </font>
    <font>
      <sz val="9"/>
      <color rgb="FFFFFF66"/>
      <name val="Calibri"/>
      <family val="2"/>
      <scheme val="minor"/>
    </font>
    <font>
      <u val="doubleAccounting"/>
      <sz val="9"/>
      <name val="Calibri"/>
      <family val="2"/>
      <scheme val="minor"/>
    </font>
    <font>
      <sz val="9"/>
      <color indexed="8"/>
      <name val="Calibri"/>
      <family val="2"/>
      <scheme val="minor"/>
    </font>
    <font>
      <b/>
      <sz val="9"/>
      <color indexed="8"/>
      <name val="Calibri"/>
      <family val="2"/>
      <scheme val="minor"/>
    </font>
    <font>
      <vertAlign val="superscript"/>
      <sz val="9"/>
      <name val="Calibri"/>
      <family val="2"/>
      <scheme val="minor"/>
    </font>
    <font>
      <b/>
      <sz val="11"/>
      <color theme="1"/>
      <name val="Calibri"/>
      <family val="2"/>
      <scheme val="minor"/>
    </font>
    <font>
      <b/>
      <sz val="9"/>
      <name val="Calibri"/>
      <family val="2"/>
    </font>
    <font>
      <sz val="9"/>
      <name val="Garmond (W1)"/>
    </font>
    <font>
      <b/>
      <sz val="10"/>
      <name val="Garmond (W1)"/>
    </font>
    <font>
      <sz val="10"/>
      <color rgb="FFFF0000"/>
      <name val="Calibri"/>
      <family val="2"/>
    </font>
    <font>
      <b/>
      <sz val="10"/>
      <name val="Calibri"/>
      <family val="2"/>
    </font>
    <font>
      <sz val="10"/>
      <name val="Calibri"/>
      <family val="2"/>
    </font>
    <font>
      <b/>
      <u val="singleAccounting"/>
      <sz val="10"/>
      <name val="Calibri"/>
      <family val="2"/>
    </font>
    <font>
      <b/>
      <u/>
      <sz val="10"/>
      <name val="Calibri"/>
      <family val="2"/>
    </font>
    <font>
      <u/>
      <sz val="8"/>
      <name val="Calibri"/>
      <family val="2"/>
    </font>
    <font>
      <sz val="8"/>
      <name val="Calibri"/>
      <family val="2"/>
    </font>
    <font>
      <sz val="11"/>
      <color rgb="FFFF0000"/>
      <name val="Calibri"/>
      <family val="2"/>
      <scheme val="minor"/>
    </font>
    <font>
      <b/>
      <u val="doubleAccounting"/>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sz val="11"/>
      <name val="Cambria"/>
      <family val="2"/>
      <scheme val="major"/>
    </font>
    <font>
      <u/>
      <sz val="10"/>
      <name val="Calibri"/>
      <family val="2"/>
    </font>
    <font>
      <u/>
      <sz val="9"/>
      <color theme="1"/>
      <name val="Calibri"/>
      <family val="2"/>
      <scheme val="minor"/>
    </font>
    <font>
      <u val="singleAccounting"/>
      <sz val="9"/>
      <color theme="1"/>
      <name val="Calibri"/>
      <family val="2"/>
      <scheme val="minor"/>
    </font>
    <font>
      <sz val="12"/>
      <name val="Calibri"/>
      <family val="2"/>
    </font>
    <font>
      <b/>
      <sz val="16"/>
      <color theme="1"/>
      <name val="Times New Roman"/>
      <family val="1"/>
    </font>
    <font>
      <sz val="12"/>
      <color theme="1"/>
      <name val="Times New Roman"/>
      <family val="1"/>
    </font>
    <font>
      <b/>
      <sz val="12"/>
      <color theme="1"/>
      <name val="Times New Roman"/>
      <family val="1"/>
    </font>
    <font>
      <sz val="12"/>
      <name val="Times New Roman"/>
      <family val="1"/>
    </font>
  </fonts>
  <fills count="5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66FFFF"/>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FFFFCC"/>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8A4B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s>
  <borders count="71">
    <border>
      <left/>
      <right/>
      <top/>
      <bottom/>
      <diagonal/>
    </border>
    <border>
      <left/>
      <right/>
      <top/>
      <bottom style="medium">
        <color indexed="8"/>
      </bottom>
      <diagonal/>
    </border>
    <border>
      <left/>
      <right/>
      <top/>
      <bottom style="thin">
        <color indexed="8"/>
      </bottom>
      <diagonal/>
    </border>
    <border>
      <left/>
      <right/>
      <top/>
      <bottom style="double">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8"/>
      </top>
      <bottom style="thin">
        <color indexed="8"/>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right/>
      <top style="medium">
        <color auto="1"/>
      </top>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theme="1"/>
      </top>
      <bottom style="thin">
        <color theme="1"/>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medium">
        <color indexed="64"/>
      </top>
      <bottom/>
      <diagonal/>
    </border>
    <border>
      <left/>
      <right/>
      <top style="thin">
        <color indexed="64"/>
      </top>
      <bottom style="thin">
        <color indexed="64"/>
      </bottom>
      <diagonal/>
    </border>
    <border>
      <left/>
      <right/>
      <top style="thin">
        <color indexed="8"/>
      </top>
      <bottom style="thin">
        <color indexed="8"/>
      </bottom>
      <diagonal/>
    </border>
    <border>
      <left/>
      <right/>
      <top/>
      <bottom style="thin">
        <color indexed="64"/>
      </bottom>
      <diagonal/>
    </border>
    <border>
      <left style="medium">
        <color indexed="64"/>
      </left>
      <right style="medium">
        <color indexed="64"/>
      </right>
      <top/>
      <bottom style="double">
        <color indexed="64"/>
      </bottom>
      <diagonal/>
    </border>
    <border>
      <left/>
      <right/>
      <top style="thin">
        <color theme="1"/>
      </top>
      <bottom/>
      <diagonal/>
    </border>
    <border>
      <left/>
      <right/>
      <top/>
      <bottom style="double">
        <color theme="1"/>
      </bottom>
      <diagonal/>
    </border>
    <border>
      <left style="medium">
        <color indexed="64"/>
      </left>
      <right style="medium">
        <color indexed="64"/>
      </right>
      <top/>
      <bottom style="double">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double">
        <color indexed="64"/>
      </bottom>
      <diagonal/>
    </border>
  </borders>
  <cellStyleXfs count="792">
    <xf numFmtId="0" fontId="0" fillId="0" borderId="0"/>
    <xf numFmtId="176" fontId="43" fillId="0" borderId="0"/>
    <xf numFmtId="41" fontId="33" fillId="0" borderId="0" applyFont="0" applyAlignment="0">
      <alignment horizontal="centerContinuous"/>
    </xf>
    <xf numFmtId="43" fontId="46"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1" fontId="33" fillId="0" borderId="0" applyFont="0" applyAlignment="0">
      <alignment horizontal="centerContinuous"/>
    </xf>
    <xf numFmtId="43" fontId="32"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1" fontId="33" fillId="0" borderId="0" applyFont="0" applyAlignment="0">
      <alignment horizontal="centerContinuous"/>
    </xf>
    <xf numFmtId="40" fontId="44" fillId="0" borderId="0" applyFont="0" applyFill="0" applyBorder="0" applyAlignment="0" applyProtection="0"/>
    <xf numFmtId="43" fontId="31"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2" fontId="33" fillId="0" borderId="0" applyFont="0" applyAlignment="0">
      <alignment horizontal="centerContinuous"/>
    </xf>
    <xf numFmtId="8" fontId="4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42" fillId="0" borderId="0" applyFont="0" applyFill="0" applyBorder="0" applyAlignment="0" applyProtection="0"/>
    <xf numFmtId="44" fontId="32" fillId="0" borderId="0" applyFont="0" applyFill="0" applyBorder="0" applyAlignment="0" applyProtection="0"/>
    <xf numFmtId="8" fontId="44" fillId="0" borderId="0" applyFont="0" applyFill="0" applyBorder="0" applyAlignment="0" applyProtection="0"/>
    <xf numFmtId="42" fontId="33" fillId="0" borderId="0" applyFont="0" applyAlignment="0">
      <alignment horizontal="centerContinuous"/>
    </xf>
    <xf numFmtId="44" fontId="31" fillId="0" borderId="0" applyFont="0" applyFill="0" applyBorder="0" applyAlignment="0" applyProtection="0"/>
    <xf numFmtId="8" fontId="44" fillId="0" borderId="0" applyFont="0" applyFill="0" applyBorder="0" applyAlignment="0" applyProtection="0"/>
    <xf numFmtId="14" fontId="44" fillId="0" borderId="0"/>
    <xf numFmtId="0" fontId="50" fillId="0" borderId="0"/>
    <xf numFmtId="0" fontId="50" fillId="0" borderId="0"/>
    <xf numFmtId="0" fontId="44" fillId="0" borderId="0"/>
    <xf numFmtId="0" fontId="44" fillId="0" borderId="0"/>
    <xf numFmtId="0" fontId="32" fillId="0" borderId="0"/>
    <xf numFmtId="0" fontId="32" fillId="0" borderId="0"/>
    <xf numFmtId="0" fontId="32" fillId="0" borderId="0"/>
    <xf numFmtId="0" fontId="32" fillId="0" borderId="0"/>
    <xf numFmtId="0" fontId="32" fillId="0" borderId="0"/>
    <xf numFmtId="0" fontId="51" fillId="0" borderId="0"/>
    <xf numFmtId="0" fontId="32" fillId="0" borderId="0"/>
    <xf numFmtId="0" fontId="44" fillId="0" borderId="0"/>
    <xf numFmtId="0" fontId="39" fillId="0" borderId="0"/>
    <xf numFmtId="0" fontId="31" fillId="0" borderId="0"/>
    <xf numFmtId="0" fontId="32" fillId="0" borderId="0"/>
    <xf numFmtId="0" fontId="31" fillId="0" borderId="0"/>
    <xf numFmtId="0" fontId="31" fillId="0" borderId="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9" fontId="42" fillId="0" borderId="0" applyFont="0" applyFill="0" applyBorder="0" applyAlignment="0" applyProtection="0"/>
    <xf numFmtId="9" fontId="44" fillId="0" borderId="0" applyFont="0" applyFill="0" applyBorder="0" applyAlignment="0" applyProtection="0"/>
    <xf numFmtId="0" fontId="31" fillId="0" borderId="0"/>
    <xf numFmtId="0" fontId="31" fillId="0" borderId="0"/>
    <xf numFmtId="9"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0" fillId="0" borderId="0" applyFont="0" applyFill="0" applyBorder="0" applyAlignment="0" applyProtection="0"/>
    <xf numFmtId="0" fontId="31" fillId="0" borderId="0"/>
    <xf numFmtId="44" fontId="31" fillId="0" borderId="0" applyFont="0" applyFill="0" applyBorder="0" applyAlignment="0" applyProtection="0"/>
    <xf numFmtId="44" fontId="31" fillId="0" borderId="0" applyFont="0" applyFill="0" applyBorder="0" applyAlignment="0" applyProtection="0"/>
    <xf numFmtId="44" fontId="30" fillId="0" borderId="0" applyFont="0" applyFill="0" applyBorder="0" applyAlignment="0" applyProtection="0"/>
    <xf numFmtId="44"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44" fontId="31" fillId="0" borderId="0" applyFont="0" applyFill="0" applyBorder="0" applyAlignment="0" applyProtection="0"/>
    <xf numFmtId="0" fontId="31" fillId="0" borderId="0"/>
    <xf numFmtId="0" fontId="31" fillId="0" borderId="0"/>
    <xf numFmtId="43" fontId="30" fillId="0" borderId="0" applyFont="0" applyFill="0" applyBorder="0" applyAlignment="0" applyProtection="0"/>
    <xf numFmtId="43" fontId="31"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0" fillId="0" borderId="0" applyFont="0" applyFill="0" applyBorder="0" applyAlignment="0" applyProtection="0"/>
    <xf numFmtId="0" fontId="51" fillId="0" borderId="0"/>
    <xf numFmtId="0" fontId="51" fillId="0" borderId="0"/>
    <xf numFmtId="43" fontId="29" fillId="0" borderId="0" applyFont="0" applyFill="0" applyBorder="0" applyAlignment="0" applyProtection="0"/>
    <xf numFmtId="0" fontId="29" fillId="0" borderId="0"/>
    <xf numFmtId="9" fontId="31" fillId="0" borderId="0" applyFont="0" applyFill="0" applyBorder="0" applyAlignment="0" applyProtection="0"/>
    <xf numFmtId="9" fontId="31" fillId="0" borderId="0" applyFont="0" applyFill="0" applyBorder="0" applyAlignment="0" applyProtection="0"/>
    <xf numFmtId="44" fontId="30" fillId="0" borderId="0" applyFont="0" applyFill="0" applyBorder="0" applyAlignment="0" applyProtection="0"/>
    <xf numFmtId="0" fontId="51" fillId="0" borderId="0"/>
    <xf numFmtId="0" fontId="31" fillId="0" borderId="0"/>
    <xf numFmtId="43" fontId="49"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1" fillId="0" borderId="0"/>
    <xf numFmtId="0" fontId="31" fillId="0" borderId="0"/>
    <xf numFmtId="0" fontId="31" fillId="0" borderId="0"/>
    <xf numFmtId="0" fontId="29" fillId="0" borderId="0"/>
    <xf numFmtId="0" fontId="29" fillId="0" borderId="0"/>
    <xf numFmtId="0" fontId="31" fillId="0" borderId="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xf numFmtId="0" fontId="31" fillId="0" borderId="0"/>
    <xf numFmtId="44" fontId="31" fillId="0" borderId="0" applyFont="0" applyFill="0" applyBorder="0" applyAlignment="0" applyProtection="0"/>
    <xf numFmtId="44" fontId="31" fillId="0" borderId="0" applyFont="0" applyFill="0" applyBorder="0" applyAlignment="0" applyProtection="0"/>
    <xf numFmtId="0" fontId="5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176" fontId="52"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9" fillId="0" borderId="0" applyProtection="0"/>
    <xf numFmtId="0" fontId="51" fillId="0" borderId="0"/>
    <xf numFmtId="43" fontId="29" fillId="0" borderId="0" applyFont="0" applyFill="0" applyBorder="0" applyAlignment="0" applyProtection="0"/>
    <xf numFmtId="0" fontId="29" fillId="0" borderId="0"/>
    <xf numFmtId="43" fontId="49" fillId="0" borderId="0" applyFont="0" applyFill="0" applyBorder="0" applyAlignment="0" applyProtection="0"/>
    <xf numFmtId="0" fontId="29" fillId="0" borderId="0"/>
    <xf numFmtId="9" fontId="39" fillId="0" borderId="0" applyFont="0" applyFill="0" applyBorder="0" applyAlignment="0" applyProtection="0"/>
    <xf numFmtId="0" fontId="53" fillId="0" borderId="0"/>
    <xf numFmtId="43" fontId="53" fillId="0" borderId="0" applyFont="0" applyFill="0" applyBorder="0" applyAlignment="0" applyProtection="0"/>
    <xf numFmtId="0" fontId="54" fillId="0" borderId="0"/>
    <xf numFmtId="43" fontId="54"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xf numFmtId="180" fontId="57" fillId="0" borderId="0" applyFont="0"/>
    <xf numFmtId="181" fontId="43" fillId="0" borderId="0" applyFont="0" applyAlignment="0"/>
    <xf numFmtId="182" fontId="45" fillId="0" borderId="0" applyFont="0" applyFill="0" applyBorder="0" applyAlignment="0" applyProtection="0"/>
    <xf numFmtId="43" fontId="44" fillId="0" borderId="0" applyFont="0" applyFill="0" applyBorder="0" applyAlignment="0" applyProtection="0"/>
    <xf numFmtId="43" fontId="29" fillId="0" borderId="0" applyFont="0" applyFill="0" applyBorder="0" applyAlignment="0" applyProtection="0"/>
    <xf numFmtId="44" fontId="28" fillId="0" borderId="0" applyFont="0" applyFill="0" applyBorder="0" applyAlignment="0" applyProtection="0"/>
    <xf numFmtId="0" fontId="31" fillId="0" borderId="0"/>
    <xf numFmtId="0" fontId="29" fillId="0" borderId="0"/>
    <xf numFmtId="0" fontId="27" fillId="0" borderId="0"/>
    <xf numFmtId="0" fontId="39" fillId="0" borderId="0"/>
    <xf numFmtId="42" fontId="33" fillId="0" borderId="0" applyFont="0" applyAlignment="0">
      <alignment horizontal="centerContinuous"/>
    </xf>
    <xf numFmtId="0" fontId="31" fillId="0" borderId="0"/>
    <xf numFmtId="0" fontId="26" fillId="0" borderId="0"/>
    <xf numFmtId="0" fontId="25" fillId="0" borderId="0"/>
    <xf numFmtId="0" fontId="31" fillId="0" borderId="0"/>
    <xf numFmtId="0" fontId="26" fillId="0" borderId="0"/>
    <xf numFmtId="0" fontId="26" fillId="0" borderId="0"/>
    <xf numFmtId="0" fontId="26" fillId="0" borderId="0"/>
    <xf numFmtId="9" fontId="26" fillId="0" borderId="0" applyFont="0" applyFill="0" applyBorder="0" applyAlignment="0" applyProtection="0"/>
    <xf numFmtId="0" fontId="24" fillId="0" borderId="0"/>
    <xf numFmtId="43" fontId="24" fillId="0" borderId="0" applyFont="0" applyFill="0" applyBorder="0" applyAlignment="0" applyProtection="0"/>
    <xf numFmtId="0" fontId="23" fillId="0" borderId="0"/>
    <xf numFmtId="43" fontId="23" fillId="0" borderId="0" applyFont="0" applyFill="0" applyBorder="0" applyAlignment="0" applyProtection="0"/>
    <xf numFmtId="0" fontId="44" fillId="0" borderId="0"/>
    <xf numFmtId="0" fontId="44" fillId="0" borderId="0"/>
    <xf numFmtId="0" fontId="22" fillId="0" borderId="0"/>
    <xf numFmtId="43" fontId="22" fillId="0" borderId="0" applyFont="0" applyFill="0" applyBorder="0" applyAlignment="0" applyProtection="0"/>
    <xf numFmtId="9"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1" fillId="0" borderId="0"/>
    <xf numFmtId="9" fontId="21" fillId="0" borderId="0" applyFont="0" applyFill="0" applyBorder="0" applyAlignment="0" applyProtection="0"/>
    <xf numFmtId="0" fontId="66" fillId="0" borderId="0"/>
    <xf numFmtId="0" fontId="20"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4" fillId="0" borderId="0"/>
    <xf numFmtId="0" fontId="26" fillId="0" borderId="0"/>
    <xf numFmtId="0" fontId="26"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49" fillId="0" borderId="0"/>
    <xf numFmtId="43" fontId="49" fillId="0" borderId="0" applyFont="0" applyFill="0" applyBorder="0" applyAlignment="0" applyProtection="0"/>
    <xf numFmtId="43" fontId="45" fillId="0" borderId="0" applyFont="0" applyFill="0" applyBorder="0" applyAlignment="0" applyProtection="0"/>
    <xf numFmtId="185" fontId="75" fillId="0" borderId="0"/>
    <xf numFmtId="0" fontId="18" fillId="0" borderId="0"/>
    <xf numFmtId="0" fontId="18" fillId="0" borderId="0"/>
    <xf numFmtId="0" fontId="18" fillId="0" borderId="0"/>
    <xf numFmtId="0" fontId="26" fillId="0" borderId="0"/>
    <xf numFmtId="0" fontId="26" fillId="0" borderId="0"/>
    <xf numFmtId="43" fontId="18" fillId="0" borderId="0" applyFont="0" applyFill="0" applyBorder="0" applyAlignment="0" applyProtection="0"/>
    <xf numFmtId="0" fontId="18" fillId="0" borderId="0"/>
    <xf numFmtId="0" fontId="26" fillId="0" borderId="0"/>
    <xf numFmtId="0" fontId="18" fillId="0" borderId="0"/>
    <xf numFmtId="0" fontId="18" fillId="0" borderId="0"/>
    <xf numFmtId="0" fontId="18" fillId="0" borderId="0"/>
    <xf numFmtId="0" fontId="26" fillId="0" borderId="0"/>
    <xf numFmtId="176" fontId="43" fillId="0" borderId="0"/>
    <xf numFmtId="0" fontId="26" fillId="0" borderId="0"/>
    <xf numFmtId="43"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44" fontId="26" fillId="0" borderId="0" applyFont="0" applyFill="0" applyBorder="0" applyAlignment="0" applyProtection="0"/>
    <xf numFmtId="0" fontId="18" fillId="0" borderId="0"/>
    <xf numFmtId="0" fontId="26" fillId="0" borderId="0"/>
    <xf numFmtId="0" fontId="18" fillId="0" borderId="0"/>
    <xf numFmtId="0" fontId="2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0" fontId="31" fillId="0" borderId="0"/>
    <xf numFmtId="0" fontId="31"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45" fillId="0" borderId="0"/>
    <xf numFmtId="41" fontId="33" fillId="0" borderId="0" applyFont="0" applyAlignment="0">
      <alignment horizontal="centerContinuous"/>
    </xf>
    <xf numFmtId="41" fontId="33" fillId="0" borderId="0" applyFont="0" applyAlignment="0">
      <alignment horizontal="centerContinuous"/>
    </xf>
    <xf numFmtId="41" fontId="33" fillId="0" borderId="0" applyFont="0" applyAlignment="0">
      <alignment horizontal="centerContinuous"/>
    </xf>
    <xf numFmtId="43" fontId="31" fillId="0" borderId="0" applyFont="0" applyFill="0" applyBorder="0" applyAlignment="0" applyProtection="0"/>
    <xf numFmtId="43" fontId="31" fillId="0" borderId="0" applyFont="0" applyFill="0" applyBorder="0" applyAlignment="0" applyProtection="0"/>
    <xf numFmtId="41" fontId="33" fillId="0" borderId="0" applyFont="0" applyAlignment="0">
      <alignment horizontal="centerContinuous"/>
    </xf>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2" fontId="33" fillId="0" borderId="0" applyFont="0" applyAlignment="0">
      <alignment horizontal="centerContinuous"/>
    </xf>
    <xf numFmtId="0" fontId="31" fillId="0" borderId="0"/>
    <xf numFmtId="0" fontId="31" fillId="0" borderId="0"/>
    <xf numFmtId="0" fontId="31" fillId="0" borderId="0"/>
    <xf numFmtId="0" fontId="31" fillId="0" borderId="0"/>
    <xf numFmtId="0" fontId="31" fillId="0" borderId="0"/>
    <xf numFmtId="0" fontId="39" fillId="0" borderId="0"/>
    <xf numFmtId="0" fontId="39" fillId="0" borderId="0"/>
    <xf numFmtId="0" fontId="39" fillId="0" borderId="0"/>
    <xf numFmtId="0" fontId="31" fillId="0" borderId="0"/>
    <xf numFmtId="0" fontId="40" fillId="0" borderId="0"/>
    <xf numFmtId="0" fontId="39" fillId="0" borderId="0"/>
    <xf numFmtId="0" fontId="44" fillId="0" borderId="0"/>
    <xf numFmtId="0" fontId="39" fillId="0" borderId="0"/>
    <xf numFmtId="9" fontId="31" fillId="0" borderId="0" applyFont="0" applyFill="0" applyBorder="0" applyAlignment="0" applyProtection="0"/>
    <xf numFmtId="9" fontId="3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31" fillId="0" borderId="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185" fontId="45" fillId="0" borderId="0"/>
    <xf numFmtId="0" fontId="17" fillId="0" borderId="0"/>
    <xf numFmtId="0" fontId="17" fillId="0" borderId="0"/>
    <xf numFmtId="0" fontId="31" fillId="0" borderId="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17" fillId="0" borderId="0"/>
    <xf numFmtId="0" fontId="17" fillId="0" borderId="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49" fillId="7" borderId="32" applyNumberFormat="0" applyFont="0" applyAlignment="0" applyProtection="0"/>
    <xf numFmtId="0" fontId="16" fillId="0" borderId="0"/>
    <xf numFmtId="0" fontId="16" fillId="0" borderId="0"/>
    <xf numFmtId="0" fontId="16" fillId="0" borderId="0"/>
    <xf numFmtId="0" fontId="15" fillId="0" borderId="0"/>
    <xf numFmtId="43" fontId="15" fillId="0" borderId="0" applyFont="0" applyFill="0" applyBorder="0" applyAlignment="0" applyProtection="0"/>
    <xf numFmtId="0" fontId="40" fillId="0" borderId="0"/>
    <xf numFmtId="43" fontId="57" fillId="0" borderId="0" applyFont="0" applyFill="0" applyBorder="0" applyAlignment="0" applyProtection="0"/>
    <xf numFmtId="44" fontId="57" fillId="0" borderId="0" applyFont="0" applyFill="0" applyBorder="0" applyAlignment="0" applyProtection="0"/>
    <xf numFmtId="14" fontId="57" fillId="0" borderId="0"/>
    <xf numFmtId="9" fontId="57"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0" fontId="31" fillId="0" borderId="0"/>
    <xf numFmtId="0" fontId="40" fillId="0" borderId="0"/>
    <xf numFmtId="0" fontId="40" fillId="0" borderId="0"/>
    <xf numFmtId="0" fontId="40" fillId="0" borderId="0"/>
    <xf numFmtId="0" fontId="31" fillId="0" borderId="0"/>
    <xf numFmtId="0" fontId="31" fillId="0" borderId="0"/>
    <xf numFmtId="0" fontId="31" fillId="0" borderId="0"/>
    <xf numFmtId="0" fontId="40" fillId="0" borderId="0"/>
    <xf numFmtId="0" fontId="31" fillId="0" borderId="0"/>
    <xf numFmtId="0" fontId="31" fillId="0" borderId="0"/>
    <xf numFmtId="0" fontId="40" fillId="0" borderId="0"/>
    <xf numFmtId="0" fontId="14" fillId="0" borderId="0"/>
    <xf numFmtId="43" fontId="14" fillId="0" borderId="0" applyFont="0" applyFill="0" applyBorder="0" applyAlignment="0" applyProtection="0"/>
    <xf numFmtId="0" fontId="14" fillId="0" borderId="0"/>
    <xf numFmtId="0" fontId="14" fillId="0" borderId="0"/>
    <xf numFmtId="0" fontId="40" fillId="0" borderId="0"/>
    <xf numFmtId="0" fontId="96" fillId="0" borderId="0" applyNumberFormat="0" applyFill="0" applyBorder="0" applyAlignment="0" applyProtection="0"/>
    <xf numFmtId="0" fontId="97" fillId="0" borderId="59" applyNumberFormat="0" applyFill="0" applyAlignment="0" applyProtection="0"/>
    <xf numFmtId="0" fontId="98" fillId="0" borderId="60" applyNumberFormat="0" applyFill="0" applyAlignment="0" applyProtection="0"/>
    <xf numFmtId="0" fontId="99" fillId="0" borderId="61" applyNumberFormat="0" applyFill="0" applyAlignment="0" applyProtection="0"/>
    <xf numFmtId="0" fontId="99" fillId="0" borderId="0" applyNumberFormat="0" applyFill="0" applyBorder="0" applyAlignment="0" applyProtection="0"/>
    <xf numFmtId="0" fontId="100" fillId="16" borderId="0" applyNumberFormat="0" applyBorder="0" applyAlignment="0" applyProtection="0"/>
    <xf numFmtId="0" fontId="101" fillId="17" borderId="0" applyNumberFormat="0" applyBorder="0" applyAlignment="0" applyProtection="0"/>
    <xf numFmtId="0" fontId="102" fillId="18" borderId="0" applyNumberFormat="0" applyBorder="0" applyAlignment="0" applyProtection="0"/>
    <xf numFmtId="0" fontId="103" fillId="19" borderId="62" applyNumberFormat="0" applyAlignment="0" applyProtection="0"/>
    <xf numFmtId="0" fontId="104" fillId="20" borderId="63" applyNumberFormat="0" applyAlignment="0" applyProtection="0"/>
    <xf numFmtId="0" fontId="105" fillId="20" borderId="62" applyNumberFormat="0" applyAlignment="0" applyProtection="0"/>
    <xf numFmtId="0" fontId="106" fillId="0" borderId="64" applyNumberFormat="0" applyFill="0" applyAlignment="0" applyProtection="0"/>
    <xf numFmtId="0" fontId="107" fillId="21" borderId="65" applyNumberFormat="0" applyAlignment="0" applyProtection="0"/>
    <xf numFmtId="0" fontId="94" fillId="0" borderId="0" applyNumberFormat="0" applyFill="0" applyBorder="0" applyAlignment="0" applyProtection="0"/>
    <xf numFmtId="0" fontId="108" fillId="0" borderId="0" applyNumberFormat="0" applyFill="0" applyBorder="0" applyAlignment="0" applyProtection="0"/>
    <xf numFmtId="0" fontId="83" fillId="0" borderId="66" applyNumberFormat="0" applyFill="0" applyAlignment="0" applyProtection="0"/>
    <xf numFmtId="0" fontId="109"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09"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09"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09"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09"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09"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40" fillId="0" borderId="0"/>
    <xf numFmtId="0" fontId="13" fillId="0" borderId="0"/>
    <xf numFmtId="0" fontId="13" fillId="0" borderId="0"/>
    <xf numFmtId="0" fontId="13" fillId="0" borderId="0"/>
    <xf numFmtId="0" fontId="13" fillId="7" borderId="32" applyNumberFormat="0" applyFon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26" fillId="0" borderId="0"/>
    <xf numFmtId="0" fontId="11" fillId="0" borderId="0"/>
    <xf numFmtId="0" fontId="11" fillId="0" borderId="0"/>
    <xf numFmtId="0" fontId="11" fillId="0" borderId="0"/>
    <xf numFmtId="0" fontId="11"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185" fontId="45"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7" borderId="3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7" borderId="3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024">
    <xf numFmtId="0" fontId="0" fillId="0" borderId="0" xfId="0"/>
    <xf numFmtId="0" fontId="0" fillId="0" borderId="0" xfId="0" applyFill="1"/>
    <xf numFmtId="178" fontId="63" fillId="0" borderId="4" xfId="43" applyNumberFormat="1" applyFont="1" applyFill="1" applyBorder="1" applyAlignment="1">
      <alignment horizontal="center" wrapText="1"/>
    </xf>
    <xf numFmtId="167" fontId="64" fillId="0" borderId="0" xfId="5" applyNumberFormat="1" applyFont="1" applyFill="1"/>
    <xf numFmtId="0" fontId="64" fillId="3" borderId="0" xfId="41" applyFont="1" applyFill="1"/>
    <xf numFmtId="43" fontId="64" fillId="3" borderId="0" xfId="5" applyFont="1" applyFill="1"/>
    <xf numFmtId="0" fontId="64" fillId="3" borderId="0" xfId="31" applyFont="1" applyFill="1" applyBorder="1" applyAlignment="1">
      <alignment horizontal="center" wrapText="1"/>
    </xf>
    <xf numFmtId="14" fontId="64" fillId="3" borderId="0" xfId="41" applyNumberFormat="1" applyFont="1" applyFill="1"/>
    <xf numFmtId="43" fontId="64" fillId="3" borderId="0" xfId="5" applyNumberFormat="1" applyFont="1" applyFill="1"/>
    <xf numFmtId="166" fontId="64" fillId="3" borderId="0" xfId="5" applyNumberFormat="1" applyFont="1" applyFill="1" applyBorder="1"/>
    <xf numFmtId="177" fontId="64" fillId="3" borderId="0" xfId="44" applyNumberFormat="1" applyFont="1" applyFill="1" applyBorder="1"/>
    <xf numFmtId="0" fontId="64" fillId="3" borderId="0" xfId="41" applyFont="1" applyFill="1" applyBorder="1"/>
    <xf numFmtId="3" fontId="63" fillId="3" borderId="0" xfId="15" applyNumberFormat="1" applyFont="1" applyFill="1" applyBorder="1" applyAlignment="1">
      <alignment horizontal="center" wrapText="1"/>
    </xf>
    <xf numFmtId="43" fontId="63" fillId="3" borderId="13" xfId="5" applyFont="1" applyFill="1" applyBorder="1"/>
    <xf numFmtId="43" fontId="64" fillId="3" borderId="0" xfId="5" applyNumberFormat="1" applyFont="1" applyFill="1" applyBorder="1"/>
    <xf numFmtId="43" fontId="64" fillId="0" borderId="0" xfId="5" applyFont="1" applyFill="1" applyAlignment="1"/>
    <xf numFmtId="0" fontId="64" fillId="0" borderId="0" xfId="41" applyFont="1" applyFill="1"/>
    <xf numFmtId="43" fontId="64" fillId="0" borderId="0" xfId="5" applyFont="1" applyFill="1"/>
    <xf numFmtId="0" fontId="64" fillId="0" borderId="16" xfId="31" applyFont="1" applyFill="1" applyBorder="1" applyAlignment="1">
      <alignment horizontal="center" wrapText="1"/>
    </xf>
    <xf numFmtId="43" fontId="64" fillId="0" borderId="8" xfId="5" applyNumberFormat="1" applyFont="1" applyFill="1" applyBorder="1" applyAlignment="1">
      <alignment horizontal="center" wrapText="1"/>
    </xf>
    <xf numFmtId="0" fontId="64" fillId="0" borderId="17" xfId="31" applyFont="1" applyFill="1" applyBorder="1" applyAlignment="1">
      <alignment horizontal="center" wrapText="1"/>
    </xf>
    <xf numFmtId="166" fontId="64" fillId="0" borderId="5" xfId="31" applyNumberFormat="1" applyFont="1" applyFill="1" applyBorder="1"/>
    <xf numFmtId="166" fontId="64" fillId="0" borderId="0" xfId="5" applyNumberFormat="1" applyFont="1" applyFill="1" applyBorder="1"/>
    <xf numFmtId="0" fontId="64" fillId="0" borderId="0" xfId="41" applyFont="1" applyFill="1" applyAlignment="1">
      <alignment wrapText="1"/>
    </xf>
    <xf numFmtId="177" fontId="64" fillId="0" borderId="6" xfId="44" applyNumberFormat="1" applyFont="1" applyFill="1" applyBorder="1"/>
    <xf numFmtId="177" fontId="64" fillId="0" borderId="7" xfId="44" applyNumberFormat="1" applyFont="1" applyFill="1" applyBorder="1"/>
    <xf numFmtId="177" fontId="64" fillId="0" borderId="15" xfId="44" applyNumberFormat="1" applyFont="1" applyFill="1" applyBorder="1"/>
    <xf numFmtId="0" fontId="64" fillId="0" borderId="0" xfId="41" applyFont="1" applyFill="1" applyBorder="1"/>
    <xf numFmtId="0" fontId="64" fillId="0" borderId="0" xfId="41" applyFont="1" applyFill="1" applyAlignment="1">
      <alignment horizontal="center" wrapText="1"/>
    </xf>
    <xf numFmtId="0" fontId="64" fillId="0" borderId="0" xfId="41" applyFont="1" applyFill="1" applyAlignment="1">
      <alignment horizontal="center"/>
    </xf>
    <xf numFmtId="17" fontId="61" fillId="0" borderId="4" xfId="134" applyNumberFormat="1" applyFont="1" applyFill="1" applyBorder="1" applyAlignment="1">
      <alignment horizontal="center"/>
    </xf>
    <xf numFmtId="0" fontId="63" fillId="0" borderId="0" xfId="41" applyFont="1" applyFill="1" applyAlignment="1">
      <alignment wrapText="1"/>
    </xf>
    <xf numFmtId="0" fontId="63" fillId="0" borderId="0" xfId="41" applyFont="1" applyFill="1" applyAlignment="1">
      <alignment horizontal="right"/>
    </xf>
    <xf numFmtId="0" fontId="63" fillId="0" borderId="0" xfId="41" applyFont="1" applyFill="1"/>
    <xf numFmtId="43" fontId="63" fillId="0" borderId="13" xfId="5" applyFont="1" applyFill="1" applyBorder="1"/>
    <xf numFmtId="0" fontId="64" fillId="0" borderId="0" xfId="41" applyFont="1" applyFill="1" applyAlignment="1">
      <alignment horizontal="right"/>
    </xf>
    <xf numFmtId="43" fontId="64" fillId="0" borderId="0" xfId="5" applyFont="1" applyFill="1" applyBorder="1"/>
    <xf numFmtId="43" fontId="63" fillId="0" borderId="11" xfId="5" applyFont="1" applyFill="1" applyBorder="1"/>
    <xf numFmtId="49" fontId="63" fillId="0" borderId="0" xfId="0" applyNumberFormat="1" applyFont="1" applyFill="1"/>
    <xf numFmtId="43" fontId="63" fillId="0" borderId="13" xfId="41" applyNumberFormat="1" applyFont="1" applyFill="1" applyBorder="1"/>
    <xf numFmtId="3" fontId="63" fillId="0" borderId="0" xfId="15" applyNumberFormat="1" applyFont="1" applyFill="1" applyBorder="1" applyAlignment="1">
      <alignment wrapText="1"/>
    </xf>
    <xf numFmtId="0" fontId="63" fillId="0" borderId="0" xfId="41" applyFont="1" applyFill="1" applyAlignment="1">
      <alignment horizontal="center"/>
    </xf>
    <xf numFmtId="43" fontId="64" fillId="0" borderId="0" xfId="5" applyNumberFormat="1" applyFont="1" applyFill="1"/>
    <xf numFmtId="41" fontId="64" fillId="0" borderId="0" xfId="2" applyFont="1" applyAlignment="1"/>
    <xf numFmtId="166" fontId="64" fillId="0" borderId="14" xfId="5" applyNumberFormat="1" applyFont="1" applyFill="1" applyBorder="1"/>
    <xf numFmtId="0" fontId="38" fillId="3" borderId="0" xfId="76" applyFont="1" applyFill="1"/>
    <xf numFmtId="43" fontId="47" fillId="3" borderId="0" xfId="56" applyFont="1" applyFill="1"/>
    <xf numFmtId="43" fontId="65" fillId="3" borderId="13" xfId="56" applyFont="1" applyFill="1" applyBorder="1"/>
    <xf numFmtId="43" fontId="47" fillId="3" borderId="0" xfId="56" applyFont="1" applyFill="1" applyBorder="1"/>
    <xf numFmtId="0" fontId="47" fillId="3" borderId="4" xfId="76" applyFont="1" applyFill="1" applyBorder="1" applyAlignment="1">
      <alignment horizontal="center"/>
    </xf>
    <xf numFmtId="0" fontId="38" fillId="0" borderId="0" xfId="76" applyFont="1" applyFill="1"/>
    <xf numFmtId="0" fontId="72" fillId="0" borderId="0" xfId="0" applyFont="1" applyProtection="1">
      <protection locked="0"/>
    </xf>
    <xf numFmtId="41" fontId="67" fillId="0" borderId="0" xfId="0" applyNumberFormat="1" applyFont="1" applyFill="1"/>
    <xf numFmtId="0" fontId="74" fillId="0" borderId="0" xfId="0" applyFont="1" applyProtection="1">
      <protection locked="0"/>
    </xf>
    <xf numFmtId="0" fontId="74" fillId="0" borderId="0" xfId="0" applyFont="1" applyFill="1" applyProtection="1">
      <protection locked="0"/>
    </xf>
    <xf numFmtId="0" fontId="72" fillId="0" borderId="0" xfId="0" applyFont="1" applyFill="1" applyProtection="1">
      <protection locked="0"/>
    </xf>
    <xf numFmtId="0" fontId="81" fillId="0" borderId="0" xfId="0" applyFont="1" applyFill="1" applyAlignment="1" applyProtection="1">
      <alignment horizontal="center"/>
      <protection locked="0"/>
    </xf>
    <xf numFmtId="49" fontId="74" fillId="0" borderId="0" xfId="0" applyNumberFormat="1" applyFont="1" applyFill="1" applyProtection="1">
      <protection locked="0"/>
    </xf>
    <xf numFmtId="43" fontId="0" fillId="0" borderId="0" xfId="0" applyNumberFormat="1"/>
    <xf numFmtId="0" fontId="0" fillId="0" borderId="0" xfId="0" applyBorder="1"/>
    <xf numFmtId="167" fontId="0" fillId="0" borderId="0" xfId="2" applyNumberFormat="1" applyFont="1" applyAlignment="1"/>
    <xf numFmtId="167" fontId="64" fillId="3" borderId="39" xfId="5" applyNumberFormat="1" applyFont="1" applyFill="1" applyBorder="1"/>
    <xf numFmtId="171" fontId="64" fillId="0" borderId="0" xfId="2" applyNumberFormat="1" applyFont="1" applyFill="1" applyAlignment="1"/>
    <xf numFmtId="171" fontId="64" fillId="0" borderId="37" xfId="2" applyNumberFormat="1" applyFont="1" applyFill="1" applyBorder="1" applyAlignment="1"/>
    <xf numFmtId="43" fontId="64" fillId="0" borderId="37" xfId="5" applyFont="1" applyFill="1" applyBorder="1"/>
    <xf numFmtId="43" fontId="47" fillId="3" borderId="37" xfId="56" applyFont="1" applyFill="1" applyBorder="1"/>
    <xf numFmtId="171" fontId="63" fillId="0" borderId="37" xfId="2" applyNumberFormat="1" applyFont="1" applyFill="1" applyBorder="1" applyAlignment="1"/>
    <xf numFmtId="43" fontId="63" fillId="0" borderId="37" xfId="5" applyFont="1" applyFill="1" applyBorder="1"/>
    <xf numFmtId="10" fontId="0" fillId="0" borderId="0" xfId="44" applyNumberFormat="1" applyFont="1"/>
    <xf numFmtId="41" fontId="0" fillId="0" borderId="0" xfId="2" applyFont="1" applyAlignment="1"/>
    <xf numFmtId="41" fontId="63" fillId="0" borderId="0" xfId="2" applyFont="1" applyAlignment="1"/>
    <xf numFmtId="41" fontId="63" fillId="0" borderId="0" xfId="2" applyFont="1" applyAlignment="1">
      <alignment horizontal="center"/>
    </xf>
    <xf numFmtId="41" fontId="64" fillId="0" borderId="0" xfId="41" applyNumberFormat="1" applyFont="1" applyFill="1"/>
    <xf numFmtId="10" fontId="63" fillId="0" borderId="0" xfId="44" applyNumberFormat="1" applyFont="1" applyFill="1"/>
    <xf numFmtId="10" fontId="63" fillId="0" borderId="0" xfId="41" applyNumberFormat="1" applyFont="1" applyFill="1"/>
    <xf numFmtId="41" fontId="63" fillId="13" borderId="0" xfId="2" applyFont="1" applyFill="1" applyAlignment="1"/>
    <xf numFmtId="14" fontId="0" fillId="0" borderId="0" xfId="0" applyNumberFormat="1"/>
    <xf numFmtId="0" fontId="83" fillId="0" borderId="0" xfId="0" applyFont="1"/>
    <xf numFmtId="41" fontId="0" fillId="0" borderId="0" xfId="0" applyNumberFormat="1"/>
    <xf numFmtId="187" fontId="0" fillId="0" borderId="0" xfId="0" applyNumberFormat="1"/>
    <xf numFmtId="42" fontId="0" fillId="0" borderId="0" xfId="0" applyNumberFormat="1"/>
    <xf numFmtId="0" fontId="0" fillId="15" borderId="0" xfId="0" applyFill="1"/>
    <xf numFmtId="0" fontId="0" fillId="0" borderId="24" xfId="0" applyBorder="1" applyAlignment="1">
      <alignment horizontal="center"/>
    </xf>
    <xf numFmtId="0" fontId="0" fillId="0" borderId="27" xfId="0" applyBorder="1" applyAlignment="1">
      <alignment horizontal="center"/>
    </xf>
    <xf numFmtId="14" fontId="0" fillId="15" borderId="0" xfId="0" applyNumberFormat="1" applyFill="1"/>
    <xf numFmtId="42" fontId="0" fillId="15" borderId="0" xfId="16" applyFont="1" applyFill="1" applyAlignment="1"/>
    <xf numFmtId="42" fontId="0" fillId="15" borderId="0" xfId="0" applyNumberFormat="1" applyFill="1"/>
    <xf numFmtId="42" fontId="0" fillId="0" borderId="9" xfId="0" applyNumberFormat="1" applyBorder="1"/>
    <xf numFmtId="42" fontId="0" fillId="0" borderId="55" xfId="0" applyNumberFormat="1" applyBorder="1" applyAlignment="1">
      <alignment horizontal="center"/>
    </xf>
    <xf numFmtId="0" fontId="34" fillId="15" borderId="0" xfId="0" applyFont="1" applyFill="1"/>
    <xf numFmtId="41" fontId="0" fillId="15" borderId="0" xfId="2" applyFont="1" applyFill="1" applyAlignment="1"/>
    <xf numFmtId="41" fontId="0" fillId="15" borderId="56" xfId="2" applyFont="1" applyFill="1" applyBorder="1" applyAlignment="1"/>
    <xf numFmtId="41" fontId="0" fillId="15" borderId="0" xfId="0" applyNumberFormat="1" applyFill="1"/>
    <xf numFmtId="41" fontId="0" fillId="0" borderId="57" xfId="2" applyFont="1" applyBorder="1" applyAlignment="1"/>
    <xf numFmtId="41" fontId="0" fillId="0" borderId="58" xfId="2" applyFont="1" applyBorder="1" applyAlignment="1">
      <alignment horizontal="center"/>
    </xf>
    <xf numFmtId="0" fontId="86" fillId="15" borderId="0" xfId="0" applyFont="1" applyFill="1"/>
    <xf numFmtId="41" fontId="86" fillId="15" borderId="56" xfId="2" applyFont="1" applyFill="1" applyBorder="1" applyAlignment="1"/>
    <xf numFmtId="0" fontId="0" fillId="15" borderId="0" xfId="0" applyFill="1" applyAlignment="1">
      <alignment horizontal="centerContinuous"/>
    </xf>
    <xf numFmtId="41" fontId="86" fillId="15" borderId="0" xfId="2" applyFont="1" applyFill="1" applyAlignment="1"/>
    <xf numFmtId="41" fontId="0" fillId="0" borderId="30" xfId="2" applyFont="1" applyBorder="1" applyAlignment="1">
      <alignment horizontal="center"/>
    </xf>
    <xf numFmtId="0" fontId="0" fillId="15" borderId="0" xfId="0" applyFill="1" applyAlignment="1">
      <alignment wrapText="1"/>
    </xf>
    <xf numFmtId="41" fontId="0" fillId="15" borderId="57" xfId="2" applyFont="1" applyFill="1" applyBorder="1" applyAlignment="1"/>
    <xf numFmtId="0" fontId="0" fillId="15" borderId="57" xfId="0" applyFill="1" applyBorder="1"/>
    <xf numFmtId="41" fontId="0" fillId="15" borderId="57" xfId="0" applyNumberFormat="1" applyFill="1" applyBorder="1"/>
    <xf numFmtId="0" fontId="0" fillId="8" borderId="0" xfId="0" applyFill="1" applyAlignment="1">
      <alignment wrapText="1"/>
    </xf>
    <xf numFmtId="0" fontId="0" fillId="8" borderId="0" xfId="0" applyFill="1"/>
    <xf numFmtId="41" fontId="0" fillId="8" borderId="0" xfId="2" applyFont="1" applyFill="1" applyAlignment="1"/>
    <xf numFmtId="167" fontId="0" fillId="8" borderId="0" xfId="2" applyNumberFormat="1" applyFont="1" applyFill="1" applyAlignment="1"/>
    <xf numFmtId="167" fontId="0" fillId="8" borderId="0" xfId="0" applyNumberFormat="1" applyFill="1"/>
    <xf numFmtId="167" fontId="95" fillId="8" borderId="0" xfId="0" applyNumberFormat="1" applyFont="1" applyFill="1"/>
    <xf numFmtId="167" fontId="94" fillId="0" borderId="0" xfId="2" applyNumberFormat="1" applyFont="1" applyAlignment="1"/>
    <xf numFmtId="0" fontId="83" fillId="8" borderId="0" xfId="0" applyFont="1" applyFill="1"/>
    <xf numFmtId="167" fontId="83" fillId="8" borderId="0" xfId="0" applyNumberFormat="1" applyFont="1" applyFill="1"/>
    <xf numFmtId="167" fontId="0" fillId="0" borderId="0" xfId="0" applyNumberFormat="1"/>
    <xf numFmtId="0" fontId="83" fillId="12" borderId="0" xfId="0" applyFont="1" applyFill="1"/>
    <xf numFmtId="0" fontId="0" fillId="12" borderId="0" xfId="0" applyFill="1"/>
    <xf numFmtId="167" fontId="0" fillId="12" borderId="0" xfId="2" applyNumberFormat="1" applyFont="1" applyFill="1" applyAlignment="1"/>
    <xf numFmtId="42" fontId="0" fillId="12" borderId="0" xfId="0" applyNumberFormat="1" applyFill="1"/>
    <xf numFmtId="41" fontId="0" fillId="12" borderId="0" xfId="0" applyNumberFormat="1" applyFill="1"/>
    <xf numFmtId="187" fontId="0" fillId="12" borderId="0" xfId="0" applyNumberFormat="1" applyFill="1"/>
    <xf numFmtId="41" fontId="0" fillId="12" borderId="0" xfId="2" applyFont="1" applyFill="1" applyAlignment="1"/>
    <xf numFmtId="10" fontId="0" fillId="12" borderId="0" xfId="44" applyNumberFormat="1" applyFont="1" applyFill="1"/>
    <xf numFmtId="188" fontId="0" fillId="12" borderId="0" xfId="0" applyNumberFormat="1" applyFill="1"/>
    <xf numFmtId="0" fontId="110" fillId="0" borderId="0" xfId="0" applyFont="1" applyAlignment="1">
      <alignment horizontal="center"/>
    </xf>
    <xf numFmtId="0" fontId="83" fillId="0" borderId="0" xfId="0" applyFont="1" applyAlignment="1">
      <alignment horizontal="center"/>
    </xf>
    <xf numFmtId="0" fontId="111" fillId="0" borderId="0" xfId="0" applyFont="1"/>
    <xf numFmtId="0" fontId="111" fillId="0" borderId="0" xfId="0" applyFont="1" applyAlignment="1">
      <alignment horizontal="center"/>
    </xf>
    <xf numFmtId="167" fontId="83" fillId="0" borderId="0" xfId="2" applyNumberFormat="1" applyFont="1" applyAlignment="1"/>
    <xf numFmtId="167" fontId="0" fillId="6" borderId="0" xfId="2" applyNumberFormat="1" applyFont="1" applyFill="1" applyAlignment="1"/>
    <xf numFmtId="167" fontId="83" fillId="0" borderId="0" xfId="0" applyNumberFormat="1" applyFont="1"/>
    <xf numFmtId="167" fontId="83" fillId="0" borderId="0" xfId="44" applyNumberFormat="1" applyFont="1"/>
    <xf numFmtId="167" fontId="83" fillId="6" borderId="0" xfId="44" applyNumberFormat="1" applyFont="1" applyFill="1"/>
    <xf numFmtId="43" fontId="0" fillId="6" borderId="0" xfId="0" applyNumberFormat="1" applyFill="1"/>
    <xf numFmtId="41" fontId="0" fillId="6" borderId="0" xfId="2" applyFont="1" applyFill="1" applyAlignment="1"/>
    <xf numFmtId="167" fontId="0" fillId="9" borderId="0" xfId="2" applyNumberFormat="1" applyFont="1" applyFill="1" applyAlignment="1"/>
    <xf numFmtId="167" fontId="83" fillId="9" borderId="0" xfId="44" applyNumberFormat="1" applyFont="1" applyFill="1"/>
    <xf numFmtId="10" fontId="0" fillId="0" borderId="0" xfId="44" applyNumberFormat="1" applyFont="1" applyFill="1"/>
    <xf numFmtId="49" fontId="112" fillId="0" borderId="0" xfId="34" applyNumberFormat="1" applyFont="1"/>
    <xf numFmtId="167" fontId="83" fillId="6" borderId="0" xfId="0" applyNumberFormat="1" applyFont="1" applyFill="1"/>
    <xf numFmtId="167" fontId="83" fillId="5" borderId="0" xfId="0" applyNumberFormat="1" applyFont="1" applyFill="1"/>
    <xf numFmtId="167" fontId="83" fillId="14" borderId="0" xfId="0" applyNumberFormat="1" applyFont="1" applyFill="1"/>
    <xf numFmtId="167" fontId="83" fillId="0" borderId="11" xfId="0" applyNumberFormat="1" applyFont="1" applyBorder="1"/>
    <xf numFmtId="0" fontId="83" fillId="0" borderId="22" xfId="0" applyFont="1" applyBorder="1"/>
    <xf numFmtId="0" fontId="83" fillId="0" borderId="51" xfId="0" applyFont="1" applyBorder="1" applyAlignment="1">
      <alignment horizontal="center"/>
    </xf>
    <xf numFmtId="0" fontId="83" fillId="0" borderId="23" xfId="0" applyFont="1" applyBorder="1" applyAlignment="1">
      <alignment horizontal="center"/>
    </xf>
    <xf numFmtId="0" fontId="0" fillId="0" borderId="25" xfId="0" applyBorder="1"/>
    <xf numFmtId="167" fontId="0" fillId="0" borderId="0" xfId="0" applyNumberFormat="1" applyBorder="1"/>
    <xf numFmtId="167" fontId="0" fillId="0" borderId="26" xfId="0" applyNumberFormat="1" applyBorder="1"/>
    <xf numFmtId="0" fontId="0" fillId="0" borderId="26" xfId="0" applyBorder="1"/>
    <xf numFmtId="0" fontId="83" fillId="0" borderId="25" xfId="0" applyFont="1" applyBorder="1"/>
    <xf numFmtId="167" fontId="83" fillId="0" borderId="70" xfId="0" applyNumberFormat="1" applyFont="1" applyBorder="1"/>
    <xf numFmtId="0" fontId="0" fillId="0" borderId="28" xfId="0" applyBorder="1"/>
    <xf numFmtId="0" fontId="0" fillId="0" borderId="12" xfId="0" applyBorder="1"/>
    <xf numFmtId="0" fontId="0" fillId="0" borderId="29" xfId="0" applyBorder="1"/>
    <xf numFmtId="43" fontId="93" fillId="0" borderId="0" xfId="418" applyFont="1" applyFill="1" applyAlignment="1">
      <alignment horizontal="left" indent="1"/>
    </xf>
    <xf numFmtId="41" fontId="67" fillId="0" borderId="0" xfId="418" applyNumberFormat="1" applyFont="1" applyFill="1" applyAlignment="1">
      <alignment horizontal="right"/>
    </xf>
    <xf numFmtId="44" fontId="48" fillId="0" borderId="0" xfId="420" applyFont="1" applyFill="1" applyAlignment="1"/>
    <xf numFmtId="41" fontId="67" fillId="0" borderId="53" xfId="420" applyNumberFormat="1" applyFont="1" applyFill="1" applyBorder="1" applyAlignment="1"/>
    <xf numFmtId="41" fontId="67" fillId="0" borderId="0" xfId="418" applyNumberFormat="1" applyFont="1" applyFill="1" applyBorder="1" applyAlignment="1"/>
    <xf numFmtId="17" fontId="68" fillId="0" borderId="12" xfId="418" applyNumberFormat="1" applyFont="1" applyFill="1" applyBorder="1" applyAlignment="1">
      <alignment horizontal="center"/>
    </xf>
    <xf numFmtId="178" fontId="38" fillId="0" borderId="12" xfId="418" applyNumberFormat="1" applyFont="1" applyFill="1" applyBorder="1" applyAlignment="1">
      <alignment horizontal="center"/>
    </xf>
    <xf numFmtId="43" fontId="67" fillId="0" borderId="12" xfId="418" applyFont="1" applyFill="1" applyBorder="1" applyAlignment="1"/>
    <xf numFmtId="41" fontId="67" fillId="0" borderId="11" xfId="420" applyNumberFormat="1" applyFont="1" applyFill="1" applyBorder="1" applyAlignment="1"/>
    <xf numFmtId="41" fontId="68" fillId="0" borderId="12" xfId="418" applyNumberFormat="1" applyFont="1" applyFill="1" applyBorder="1" applyAlignment="1">
      <alignment horizontal="center"/>
    </xf>
    <xf numFmtId="0" fontId="8" fillId="0" borderId="0" xfId="427"/>
    <xf numFmtId="0" fontId="83" fillId="0" borderId="0" xfId="427" applyFont="1"/>
    <xf numFmtId="0" fontId="8" fillId="0" borderId="0" xfId="427" applyAlignment="1">
      <alignment horizontal="center"/>
    </xf>
    <xf numFmtId="43" fontId="8" fillId="0" borderId="0" xfId="427" applyNumberFormat="1"/>
    <xf numFmtId="41" fontId="8" fillId="0" borderId="0" xfId="427" applyNumberFormat="1" applyAlignment="1">
      <alignment horizontal="center"/>
    </xf>
    <xf numFmtId="41" fontId="8" fillId="0" borderId="67" xfId="427" applyNumberFormat="1" applyBorder="1"/>
    <xf numFmtId="41" fontId="8" fillId="0" borderId="0" xfId="427" applyNumberFormat="1"/>
    <xf numFmtId="10" fontId="8" fillId="0" borderId="0" xfId="427" applyNumberFormat="1"/>
    <xf numFmtId="0" fontId="8" fillId="3" borderId="0" xfId="427" applyFill="1" applyAlignment="1">
      <alignment horizontal="center"/>
    </xf>
    <xf numFmtId="43" fontId="8" fillId="0" borderId="0" xfId="427" applyNumberFormat="1" applyAlignment="1">
      <alignment horizontal="center"/>
    </xf>
    <xf numFmtId="41" fontId="8" fillId="3" borderId="0" xfId="427" applyNumberFormat="1" applyFill="1" applyAlignment="1">
      <alignment horizontal="center"/>
    </xf>
    <xf numFmtId="0" fontId="8" fillId="3" borderId="0" xfId="427" applyFill="1"/>
    <xf numFmtId="167" fontId="83" fillId="0" borderId="0" xfId="427" applyNumberFormat="1" applyFont="1"/>
    <xf numFmtId="1" fontId="8" fillId="0" borderId="0" xfId="427" applyNumberFormat="1"/>
    <xf numFmtId="167" fontId="83" fillId="3" borderId="0" xfId="427" applyNumberFormat="1" applyFont="1" applyFill="1"/>
    <xf numFmtId="41" fontId="83" fillId="0" borderId="67" xfId="427" applyNumberFormat="1" applyFont="1" applyBorder="1"/>
    <xf numFmtId="0" fontId="8" fillId="0" borderId="54" xfId="427" applyBorder="1" applyAlignment="1">
      <alignment horizontal="center"/>
    </xf>
    <xf numFmtId="0" fontId="8" fillId="0" borderId="54" xfId="427" applyBorder="1"/>
    <xf numFmtId="43" fontId="8" fillId="0" borderId="54" xfId="427" applyNumberFormat="1" applyBorder="1" applyAlignment="1">
      <alignment horizontal="center"/>
    </xf>
    <xf numFmtId="0" fontId="8" fillId="0" borderId="0" xfId="427" applyAlignment="1">
      <alignment horizontal="centerContinuous"/>
    </xf>
    <xf numFmtId="1" fontId="8" fillId="0" borderId="0" xfId="427" applyNumberFormat="1" applyAlignment="1">
      <alignment horizontal="center"/>
    </xf>
    <xf numFmtId="191" fontId="8" fillId="0" borderId="0" xfId="427" applyNumberFormat="1"/>
    <xf numFmtId="41" fontId="8" fillId="9" borderId="67" xfId="427" applyNumberFormat="1" applyFill="1" applyBorder="1"/>
    <xf numFmtId="167" fontId="8" fillId="0" borderId="0" xfId="427" applyNumberFormat="1"/>
    <xf numFmtId="41" fontId="8" fillId="6" borderId="67" xfId="427" applyNumberFormat="1" applyFill="1" applyBorder="1"/>
    <xf numFmtId="167" fontId="0" fillId="0" borderId="0" xfId="428" applyNumberFormat="1" applyFont="1"/>
    <xf numFmtId="41" fontId="67" fillId="0" borderId="0" xfId="2" applyFont="1" applyFill="1" applyAlignment="1">
      <alignment horizontal="right"/>
    </xf>
    <xf numFmtId="0" fontId="8" fillId="0" borderId="0" xfId="427" applyFill="1"/>
    <xf numFmtId="167" fontId="8" fillId="0" borderId="0" xfId="427" applyNumberFormat="1" applyFill="1"/>
    <xf numFmtId="41" fontId="83" fillId="0" borderId="67" xfId="427" applyNumberFormat="1" applyFont="1" applyFill="1" applyBorder="1"/>
    <xf numFmtId="41" fontId="8" fillId="0" borderId="0" xfId="427" applyNumberFormat="1" applyFill="1"/>
    <xf numFmtId="0" fontId="8" fillId="0" borderId="0" xfId="427" applyFill="1" applyAlignment="1">
      <alignment horizontal="center"/>
    </xf>
    <xf numFmtId="43" fontId="8" fillId="0" borderId="0" xfId="427" applyNumberFormat="1" applyFill="1"/>
    <xf numFmtId="0" fontId="83" fillId="0" borderId="0" xfId="427" applyFont="1" applyFill="1"/>
    <xf numFmtId="0" fontId="8" fillId="0" borderId="0" xfId="427" applyFill="1" applyAlignment="1">
      <alignment horizontal="centerContinuous"/>
    </xf>
    <xf numFmtId="0" fontId="8" fillId="0" borderId="54" xfId="427" applyFill="1" applyBorder="1"/>
    <xf numFmtId="0" fontId="8" fillId="0" borderId="54" xfId="427" applyFill="1" applyBorder="1" applyAlignment="1">
      <alignment horizontal="center"/>
    </xf>
    <xf numFmtId="43" fontId="8" fillId="0" borderId="54" xfId="427" applyNumberFormat="1" applyFill="1" applyBorder="1" applyAlignment="1">
      <alignment horizontal="center"/>
    </xf>
    <xf numFmtId="41" fontId="8" fillId="0" borderId="0" xfId="427" applyNumberFormat="1" applyFill="1" applyAlignment="1">
      <alignment horizontal="center"/>
    </xf>
    <xf numFmtId="10" fontId="8" fillId="0" borderId="0" xfId="427" applyNumberFormat="1" applyFill="1"/>
    <xf numFmtId="1" fontId="8" fillId="0" borderId="0" xfId="427" applyNumberFormat="1" applyFill="1"/>
    <xf numFmtId="167" fontId="83" fillId="0" borderId="0" xfId="427" applyNumberFormat="1" applyFont="1" applyFill="1"/>
    <xf numFmtId="38" fontId="8" fillId="0" borderId="0" xfId="427" applyNumberFormat="1" applyFill="1"/>
    <xf numFmtId="1" fontId="8" fillId="0" borderId="0" xfId="427" applyNumberFormat="1" applyFill="1" applyAlignment="1">
      <alignment horizontal="center"/>
    </xf>
    <xf numFmtId="41" fontId="8" fillId="0" borderId="67" xfId="427" applyNumberFormat="1" applyFill="1" applyBorder="1"/>
    <xf numFmtId="0" fontId="83" fillId="0" borderId="0" xfId="427" applyFont="1" applyFill="1" applyAlignment="1">
      <alignment horizontal="right"/>
    </xf>
    <xf numFmtId="42" fontId="8" fillId="0" borderId="0" xfId="427" applyNumberFormat="1" applyFill="1" applyAlignment="1">
      <alignment horizontal="center"/>
    </xf>
    <xf numFmtId="42" fontId="8" fillId="0" borderId="0" xfId="427" applyNumberFormat="1" applyFill="1"/>
    <xf numFmtId="0" fontId="83" fillId="0" borderId="0" xfId="427" applyFont="1" applyFill="1" applyAlignment="1">
      <alignment horizontal="center"/>
    </xf>
    <xf numFmtId="41" fontId="83" fillId="0" borderId="0" xfId="427" applyNumberFormat="1" applyFont="1" applyFill="1" applyAlignment="1">
      <alignment horizontal="center"/>
    </xf>
    <xf numFmtId="42" fontId="83" fillId="0" borderId="67" xfId="427" applyNumberFormat="1" applyFont="1" applyFill="1" applyBorder="1"/>
    <xf numFmtId="43" fontId="8" fillId="0" borderId="0" xfId="427" applyNumberFormat="1" applyFill="1" applyAlignment="1">
      <alignment horizontal="center"/>
    </xf>
    <xf numFmtId="41" fontId="83" fillId="0" borderId="0" xfId="427" applyNumberFormat="1" applyFont="1" applyFill="1"/>
    <xf numFmtId="41" fontId="8" fillId="0" borderId="11" xfId="427" applyNumberFormat="1" applyFill="1" applyBorder="1"/>
    <xf numFmtId="42" fontId="8" fillId="0" borderId="9" xfId="427" applyNumberFormat="1" applyFill="1" applyBorder="1"/>
    <xf numFmtId="0" fontId="8" fillId="11" borderId="0" xfId="427" applyFill="1"/>
    <xf numFmtId="0" fontId="5" fillId="0" borderId="0" xfId="427" applyFont="1" applyFill="1"/>
    <xf numFmtId="41" fontId="8" fillId="10" borderId="0" xfId="427" applyNumberFormat="1" applyFill="1"/>
    <xf numFmtId="0" fontId="8" fillId="4" borderId="0" xfId="427" applyFill="1"/>
    <xf numFmtId="41" fontId="8" fillId="4" borderId="67" xfId="427" applyNumberFormat="1" applyFill="1" applyBorder="1"/>
    <xf numFmtId="0" fontId="8" fillId="4" borderId="0" xfId="427" applyFill="1" applyAlignment="1">
      <alignment horizontal="center"/>
    </xf>
    <xf numFmtId="41" fontId="8" fillId="0" borderId="18" xfId="427" applyNumberFormat="1" applyFill="1" applyBorder="1"/>
    <xf numFmtId="42" fontId="8" fillId="0" borderId="67" xfId="427" applyNumberFormat="1" applyFill="1" applyBorder="1"/>
    <xf numFmtId="43" fontId="83" fillId="0" borderId="0" xfId="427" applyNumberFormat="1" applyFont="1" applyFill="1"/>
    <xf numFmtId="41" fontId="8" fillId="4" borderId="0" xfId="427" applyNumberFormat="1" applyFill="1" applyAlignment="1">
      <alignment horizontal="center"/>
    </xf>
    <xf numFmtId="41" fontId="8" fillId="4" borderId="0" xfId="427" applyNumberFormat="1" applyFill="1"/>
    <xf numFmtId="38" fontId="8" fillId="10" borderId="0" xfId="427" applyNumberFormat="1" applyFill="1"/>
    <xf numFmtId="10" fontId="8" fillId="4" borderId="0" xfId="427" applyNumberFormat="1" applyFill="1"/>
    <xf numFmtId="1" fontId="8" fillId="4" borderId="0" xfId="427" applyNumberFormat="1" applyFill="1"/>
    <xf numFmtId="167" fontId="83" fillId="4" borderId="0" xfId="427" applyNumberFormat="1" applyFont="1" applyFill="1"/>
    <xf numFmtId="167" fontId="8" fillId="4" borderId="0" xfId="427" applyNumberFormat="1" applyFill="1"/>
    <xf numFmtId="0" fontId="5" fillId="0" borderId="0" xfId="427" quotePrefix="1" applyFont="1" applyAlignment="1">
      <alignment horizontal="center"/>
    </xf>
    <xf numFmtId="167" fontId="83" fillId="10" borderId="0" xfId="427" applyNumberFormat="1" applyFont="1" applyFill="1"/>
    <xf numFmtId="0" fontId="4" fillId="0" borderId="0" xfId="427" applyFont="1" applyFill="1"/>
    <xf numFmtId="0" fontId="116" fillId="0" borderId="0" xfId="0" applyFont="1" applyFill="1"/>
    <xf numFmtId="0" fontId="3" fillId="0" borderId="0" xfId="427" applyFont="1" applyFill="1"/>
    <xf numFmtId="1" fontId="94" fillId="0" borderId="0" xfId="427" applyNumberFormat="1" applyFont="1" applyFill="1"/>
    <xf numFmtId="0" fontId="0" fillId="0" borderId="0" xfId="0" applyProtection="1">
      <protection locked="0"/>
    </xf>
    <xf numFmtId="0" fontId="67" fillId="0" borderId="0" xfId="0" applyFont="1" applyFill="1" applyProtection="1">
      <protection locked="0"/>
    </xf>
    <xf numFmtId="0" fontId="67" fillId="0" borderId="0" xfId="0" applyFont="1" applyProtection="1">
      <protection locked="0"/>
    </xf>
    <xf numFmtId="41" fontId="67" fillId="0" borderId="0" xfId="0" applyNumberFormat="1" applyFont="1" applyFill="1" applyProtection="1">
      <protection locked="0"/>
    </xf>
    <xf numFmtId="10" fontId="67" fillId="0" borderId="0" xfId="0" applyNumberFormat="1" applyFont="1" applyFill="1" applyProtection="1">
      <protection locked="0"/>
    </xf>
    <xf numFmtId="0" fontId="68" fillId="0" borderId="0" xfId="0" applyFont="1" applyFill="1" applyProtection="1">
      <protection locked="0"/>
    </xf>
    <xf numFmtId="41" fontId="68" fillId="0" borderId="0" xfId="0" applyNumberFormat="1" applyFont="1" applyFill="1" applyProtection="1">
      <protection locked="0"/>
    </xf>
    <xf numFmtId="41" fontId="67" fillId="0" borderId="0" xfId="0" applyNumberFormat="1" applyFont="1" applyFill="1" applyBorder="1" applyProtection="1">
      <protection locked="0"/>
    </xf>
    <xf numFmtId="0" fontId="38" fillId="0" borderId="0" xfId="0" applyFont="1" applyFill="1" applyProtection="1">
      <protection locked="0"/>
    </xf>
    <xf numFmtId="0" fontId="68" fillId="0" borderId="0" xfId="0" applyFont="1" applyProtection="1">
      <protection locked="0"/>
    </xf>
    <xf numFmtId="41" fontId="38" fillId="0" borderId="0" xfId="2" applyFont="1" applyAlignment="1" applyProtection="1">
      <protection locked="0"/>
    </xf>
    <xf numFmtId="0" fontId="38" fillId="0" borderId="0" xfId="0" applyFont="1" applyProtection="1">
      <protection locked="0"/>
    </xf>
    <xf numFmtId="0" fontId="67" fillId="0" borderId="0" xfId="0" applyFont="1" applyFill="1" applyAlignment="1" applyProtection="1">
      <alignment wrapText="1"/>
      <protection locked="0"/>
    </xf>
    <xf numFmtId="0" fontId="68" fillId="0" borderId="0" xfId="0" applyFont="1" applyAlignment="1" applyProtection="1">
      <alignment horizontal="center"/>
      <protection locked="0"/>
    </xf>
    <xf numFmtId="0" fontId="67" fillId="0" borderId="0" xfId="0" applyFont="1" applyFill="1" applyAlignment="1" applyProtection="1">
      <alignment horizontal="left"/>
      <protection locked="0"/>
    </xf>
    <xf numFmtId="0" fontId="67" fillId="0" borderId="0" xfId="0" applyFont="1" applyAlignment="1" applyProtection="1">
      <alignment horizontal="centerContinuous"/>
      <protection locked="0"/>
    </xf>
    <xf numFmtId="37" fontId="67" fillId="0" borderId="0" xfId="0" applyNumberFormat="1" applyFont="1" applyFill="1" applyProtection="1">
      <protection locked="0"/>
    </xf>
    <xf numFmtId="0" fontId="68" fillId="0" borderId="0" xfId="0" applyFont="1" applyAlignment="1" applyProtection="1">
      <alignment horizontal="centerContinuous"/>
      <protection locked="0"/>
    </xf>
    <xf numFmtId="0" fontId="68" fillId="0" borderId="0" xfId="0" applyFont="1" applyAlignment="1" applyProtection="1">
      <alignment horizontal="right"/>
      <protection locked="0"/>
    </xf>
    <xf numFmtId="0" fontId="68" fillId="0" borderId="0" xfId="0" applyFont="1" applyFill="1" applyAlignment="1" applyProtection="1">
      <alignment horizontal="right"/>
      <protection locked="0"/>
    </xf>
    <xf numFmtId="0" fontId="68" fillId="0" borderId="1" xfId="0" applyFont="1" applyBorder="1" applyProtection="1">
      <protection locked="0"/>
    </xf>
    <xf numFmtId="174" fontId="68" fillId="0" borderId="0" xfId="0" applyNumberFormat="1" applyFont="1" applyAlignment="1" applyProtection="1">
      <alignment horizontal="center"/>
      <protection locked="0"/>
    </xf>
    <xf numFmtId="0" fontId="67" fillId="0" borderId="0" xfId="0" applyFont="1" applyAlignment="1" applyProtection="1">
      <alignment horizontal="center"/>
      <protection locked="0"/>
    </xf>
    <xf numFmtId="0" fontId="68" fillId="0" borderId="0" xfId="0" quotePrefix="1" applyFont="1" applyFill="1" applyAlignment="1" applyProtection="1">
      <alignment horizontal="center"/>
      <protection locked="0"/>
    </xf>
    <xf numFmtId="37" fontId="67" fillId="0" borderId="0" xfId="0" applyNumberFormat="1" applyFont="1" applyProtection="1">
      <protection locked="0"/>
    </xf>
    <xf numFmtId="0" fontId="67" fillId="0" borderId="0" xfId="0" applyFont="1" applyBorder="1" applyProtection="1">
      <protection locked="0"/>
    </xf>
    <xf numFmtId="41" fontId="67" fillId="0" borderId="0" xfId="0" applyNumberFormat="1" applyFont="1" applyBorder="1" applyProtection="1">
      <protection locked="0"/>
    </xf>
    <xf numFmtId="37" fontId="67" fillId="0" borderId="0" xfId="0" applyNumberFormat="1" applyFont="1" applyFill="1" applyBorder="1" applyProtection="1">
      <protection locked="0"/>
    </xf>
    <xf numFmtId="37" fontId="68" fillId="0" borderId="0" xfId="0" applyNumberFormat="1" applyFont="1" applyProtection="1">
      <protection locked="0"/>
    </xf>
    <xf numFmtId="0" fontId="68" fillId="0" borderId="0" xfId="0" quotePrefix="1" applyFont="1" applyFill="1" applyProtection="1">
      <protection locked="0"/>
    </xf>
    <xf numFmtId="0" fontId="67" fillId="0" borderId="0" xfId="0" applyFont="1" applyFill="1" applyAlignment="1" applyProtection="1">
      <alignment horizontal="right"/>
      <protection locked="0"/>
    </xf>
    <xf numFmtId="0" fontId="68" fillId="0" borderId="0" xfId="0" quotePrefix="1" applyFont="1" applyFill="1" applyAlignment="1" applyProtection="1">
      <alignment horizontal="left"/>
      <protection locked="0"/>
    </xf>
    <xf numFmtId="0" fontId="68" fillId="0" borderId="1" xfId="0" applyFont="1" applyFill="1" applyBorder="1" applyProtection="1">
      <protection locked="0"/>
    </xf>
    <xf numFmtId="0" fontId="68" fillId="0" borderId="0" xfId="0" applyFont="1" applyFill="1" applyAlignment="1" applyProtection="1">
      <alignment horizontal="center"/>
      <protection locked="0"/>
    </xf>
    <xf numFmtId="0" fontId="67" fillId="0" borderId="0" xfId="0" applyFont="1" applyFill="1" applyAlignment="1" applyProtection="1">
      <alignment horizontal="center"/>
      <protection locked="0"/>
    </xf>
    <xf numFmtId="0" fontId="67" fillId="0" borderId="0" xfId="0" applyFont="1" applyFill="1" applyBorder="1" applyProtection="1">
      <protection locked="0"/>
    </xf>
    <xf numFmtId="37" fontId="67" fillId="0" borderId="2" xfId="0" applyNumberFormat="1" applyFont="1" applyFill="1" applyBorder="1" applyProtection="1">
      <protection locked="0"/>
    </xf>
    <xf numFmtId="0" fontId="67" fillId="0" borderId="0" xfId="0" quotePrefix="1" applyFont="1" applyFill="1" applyAlignment="1" applyProtection="1">
      <alignment horizontal="left"/>
      <protection locked="0"/>
    </xf>
    <xf numFmtId="37" fontId="68" fillId="0" borderId="0" xfId="0" applyNumberFormat="1" applyFont="1" applyFill="1" applyProtection="1">
      <protection locked="0"/>
    </xf>
    <xf numFmtId="37" fontId="67" fillId="0" borderId="0" xfId="2" applyNumberFormat="1" applyFont="1" applyFill="1" applyAlignment="1" applyProtection="1">
      <protection locked="0"/>
    </xf>
    <xf numFmtId="41" fontId="67" fillId="0" borderId="0" xfId="2" applyNumberFormat="1" applyFont="1" applyAlignment="1" applyProtection="1">
      <protection locked="0"/>
    </xf>
    <xf numFmtId="0" fontId="68" fillId="0" borderId="0" xfId="0" quotePrefix="1" applyFont="1" applyAlignment="1" applyProtection="1">
      <alignment horizontal="left"/>
      <protection locked="0"/>
    </xf>
    <xf numFmtId="41" fontId="67" fillId="0" borderId="0" xfId="2" applyFont="1" applyAlignment="1" applyProtection="1">
      <protection locked="0"/>
    </xf>
    <xf numFmtId="0" fontId="67" fillId="0" borderId="0" xfId="0" applyFont="1" applyAlignment="1" applyProtection="1">
      <alignment wrapText="1"/>
      <protection locked="0"/>
    </xf>
    <xf numFmtId="0" fontId="68" fillId="0" borderId="0" xfId="0" applyFont="1" applyAlignment="1" applyProtection="1">
      <protection locked="0"/>
    </xf>
    <xf numFmtId="0" fontId="68" fillId="0" borderId="0" xfId="0" applyFont="1" applyAlignment="1" applyProtection="1">
      <alignment horizontal="left"/>
      <protection locked="0"/>
    </xf>
    <xf numFmtId="41" fontId="67" fillId="0" borderId="0" xfId="0" applyNumberFormat="1" applyFont="1" applyProtection="1">
      <protection locked="0"/>
    </xf>
    <xf numFmtId="0" fontId="67" fillId="0" borderId="0" xfId="0" quotePrefix="1" applyFont="1" applyFill="1" applyProtection="1">
      <protection locked="0"/>
    </xf>
    <xf numFmtId="164" fontId="68" fillId="0" borderId="0" xfId="0" applyNumberFormat="1" applyFont="1" applyFill="1" applyAlignment="1" applyProtection="1">
      <alignment horizontal="right"/>
      <protection locked="0"/>
    </xf>
    <xf numFmtId="0" fontId="70" fillId="0" borderId="0" xfId="0" applyFont="1" applyFill="1" applyProtection="1">
      <protection locked="0"/>
    </xf>
    <xf numFmtId="164" fontId="68" fillId="0" borderId="0" xfId="0" quotePrefix="1" applyNumberFormat="1" applyFont="1" applyFill="1" applyAlignment="1" applyProtection="1">
      <alignment horizontal="left"/>
      <protection locked="0"/>
    </xf>
    <xf numFmtId="0" fontId="68" fillId="2" borderId="0" xfId="0" applyFont="1" applyFill="1" applyProtection="1">
      <protection locked="0"/>
    </xf>
    <xf numFmtId="0" fontId="68" fillId="2" borderId="0" xfId="0" applyFont="1" applyFill="1" applyAlignment="1" applyProtection="1">
      <alignment horizontal="center"/>
      <protection locked="0"/>
    </xf>
    <xf numFmtId="37" fontId="68" fillId="0" borderId="0" xfId="0" applyNumberFormat="1" applyFont="1" applyFill="1" applyAlignment="1" applyProtection="1">
      <alignment horizontal="center"/>
      <protection locked="0"/>
    </xf>
    <xf numFmtId="37" fontId="68" fillId="0" borderId="0" xfId="0" quotePrefix="1" applyNumberFormat="1" applyFont="1" applyFill="1" applyAlignment="1" applyProtection="1">
      <alignment horizontal="center"/>
      <protection locked="0"/>
    </xf>
    <xf numFmtId="0" fontId="68" fillId="2" borderId="0" xfId="0" applyFont="1" applyFill="1" applyAlignment="1" applyProtection="1">
      <alignment horizontal="centerContinuous"/>
      <protection locked="0"/>
    </xf>
    <xf numFmtId="41" fontId="68" fillId="0" borderId="12" xfId="2" applyFont="1" applyBorder="1" applyAlignment="1" applyProtection="1">
      <alignment horizontal="center"/>
      <protection locked="0"/>
    </xf>
    <xf numFmtId="41" fontId="68" fillId="0" borderId="12" xfId="2" applyFont="1" applyBorder="1" applyAlignment="1" applyProtection="1">
      <alignment horizontal="centerContinuous"/>
      <protection locked="0"/>
    </xf>
    <xf numFmtId="0" fontId="67" fillId="2" borderId="0" xfId="0" applyFont="1" applyFill="1" applyProtection="1">
      <protection locked="0"/>
    </xf>
    <xf numFmtId="41" fontId="67" fillId="0" borderId="13" xfId="0" applyNumberFormat="1" applyFont="1" applyFill="1" applyBorder="1" applyProtection="1">
      <protection locked="0"/>
    </xf>
    <xf numFmtId="41" fontId="67" fillId="0" borderId="0" xfId="2" applyNumberFormat="1" applyFont="1" applyFill="1" applyBorder="1" applyAlignment="1" applyProtection="1">
      <protection locked="0"/>
    </xf>
    <xf numFmtId="41" fontId="67" fillId="0" borderId="0" xfId="16" applyNumberFormat="1" applyFont="1" applyFill="1" applyBorder="1" applyAlignment="1" applyProtection="1">
      <protection locked="0"/>
    </xf>
    <xf numFmtId="41" fontId="67" fillId="0" borderId="11" xfId="16" applyNumberFormat="1" applyFont="1" applyFill="1" applyBorder="1" applyAlignment="1" applyProtection="1">
      <protection locked="0"/>
    </xf>
    <xf numFmtId="41" fontId="68" fillId="0" borderId="0" xfId="0" applyNumberFormat="1" applyFont="1" applyFill="1" applyBorder="1" applyProtection="1">
      <protection locked="0"/>
    </xf>
    <xf numFmtId="41" fontId="67" fillId="0" borderId="0" xfId="2" applyNumberFormat="1" applyFont="1" applyFill="1" applyAlignment="1" applyProtection="1">
      <protection locked="0"/>
    </xf>
    <xf numFmtId="164" fontId="68" fillId="0" borderId="0" xfId="0" applyNumberFormat="1" applyFont="1" applyFill="1" applyProtection="1">
      <protection locked="0"/>
    </xf>
    <xf numFmtId="164" fontId="68" fillId="0" borderId="0" xfId="0" applyNumberFormat="1" applyFont="1" applyAlignment="1" applyProtection="1">
      <alignment horizontal="right"/>
      <protection locked="0"/>
    </xf>
    <xf numFmtId="0" fontId="37" fillId="0" borderId="0" xfId="0" applyFont="1" applyAlignment="1" applyProtection="1">
      <alignment horizontal="right"/>
      <protection locked="0"/>
    </xf>
    <xf numFmtId="164" fontId="68" fillId="0" borderId="0" xfId="0" applyNumberFormat="1" applyFont="1" applyProtection="1">
      <protection locked="0"/>
    </xf>
    <xf numFmtId="10" fontId="37" fillId="0" borderId="0" xfId="0" applyNumberFormat="1" applyFont="1" applyAlignment="1" applyProtection="1">
      <alignment horizontal="right"/>
      <protection locked="0"/>
    </xf>
    <xf numFmtId="164" fontId="68" fillId="0" borderId="0" xfId="0" quotePrefix="1" applyNumberFormat="1" applyFont="1" applyAlignment="1" applyProtection="1">
      <alignment horizontal="right"/>
      <protection locked="0"/>
    </xf>
    <xf numFmtId="0" fontId="37" fillId="0" borderId="0" xfId="0" quotePrefix="1" applyFont="1" applyAlignment="1" applyProtection="1">
      <alignment horizontal="right"/>
      <protection locked="0"/>
    </xf>
    <xf numFmtId="0" fontId="68" fillId="0" borderId="0" xfId="0" quotePrefix="1" applyFont="1" applyAlignment="1" applyProtection="1">
      <alignment horizontal="right"/>
      <protection locked="0"/>
    </xf>
    <xf numFmtId="174" fontId="68" fillId="0" borderId="0" xfId="0" applyNumberFormat="1" applyFont="1" applyFill="1" applyAlignment="1" applyProtection="1">
      <alignment horizontal="center"/>
      <protection locked="0"/>
    </xf>
    <xf numFmtId="37" fontId="37" fillId="0" borderId="0" xfId="0" quotePrefix="1" applyNumberFormat="1" applyFont="1" applyFill="1" applyAlignment="1" applyProtection="1">
      <alignment horizontal="center"/>
      <protection locked="0"/>
    </xf>
    <xf numFmtId="174" fontId="37" fillId="0" borderId="0" xfId="0" quotePrefix="1" applyNumberFormat="1" applyFont="1" applyFill="1" applyAlignment="1" applyProtection="1">
      <alignment horizontal="center"/>
      <protection locked="0"/>
    </xf>
    <xf numFmtId="169" fontId="68" fillId="0" borderId="0" xfId="2" applyNumberFormat="1" applyFont="1" applyFill="1" applyAlignment="1" applyProtection="1">
      <alignment horizontal="center"/>
      <protection locked="0"/>
    </xf>
    <xf numFmtId="0" fontId="37" fillId="0" borderId="0" xfId="0" applyFont="1" applyAlignment="1" applyProtection="1">
      <alignment horizontal="center"/>
      <protection locked="0"/>
    </xf>
    <xf numFmtId="169" fontId="68" fillId="0" borderId="12" xfId="2" applyNumberFormat="1" applyFont="1" applyFill="1" applyBorder="1" applyAlignment="1" applyProtection="1">
      <alignment horizontal="center"/>
      <protection locked="0"/>
    </xf>
    <xf numFmtId="41" fontId="37" fillId="0" borderId="12" xfId="2" quotePrefix="1" applyFont="1" applyBorder="1" applyAlignment="1" applyProtection="1">
      <alignment horizontal="center"/>
      <protection locked="0"/>
    </xf>
    <xf numFmtId="9" fontId="67" fillId="0" borderId="0" xfId="44" applyFont="1" applyFill="1" applyAlignment="1" applyProtection="1">
      <alignment horizontal="center"/>
      <protection locked="0"/>
    </xf>
    <xf numFmtId="41" fontId="38" fillId="0" borderId="0" xfId="2" applyNumberFormat="1" applyFont="1" applyAlignment="1" applyProtection="1">
      <protection locked="0"/>
    </xf>
    <xf numFmtId="0" fontId="35" fillId="0" borderId="0" xfId="0" applyFont="1" applyAlignment="1" applyProtection="1">
      <alignment horizontal="centerContinuous"/>
      <protection locked="0"/>
    </xf>
    <xf numFmtId="0" fontId="37" fillId="0" borderId="0" xfId="0" applyFont="1" applyProtection="1">
      <protection locked="0"/>
    </xf>
    <xf numFmtId="9" fontId="67" fillId="0" borderId="0" xfId="44" applyFont="1" applyFill="1" applyProtection="1">
      <protection locked="0"/>
    </xf>
    <xf numFmtId="41" fontId="67" fillId="0" borderId="0" xfId="16" applyNumberFormat="1" applyFont="1" applyFill="1" applyAlignment="1" applyProtection="1">
      <protection locked="0"/>
    </xf>
    <xf numFmtId="9" fontId="67" fillId="0" borderId="0" xfId="44" applyFont="1" applyFill="1" applyAlignment="1" applyProtection="1">
      <protection locked="0"/>
    </xf>
    <xf numFmtId="0" fontId="36" fillId="0" borderId="0" xfId="0" applyFont="1" applyProtection="1">
      <protection locked="0"/>
    </xf>
    <xf numFmtId="0" fontId="38" fillId="0" borderId="0" xfId="0" quotePrefix="1" applyFont="1" applyProtection="1">
      <protection locked="0"/>
    </xf>
    <xf numFmtId="41" fontId="67" fillId="0" borderId="2" xfId="2" applyNumberFormat="1" applyFont="1" applyFill="1" applyBorder="1" applyAlignment="1" applyProtection="1">
      <protection locked="0"/>
    </xf>
    <xf numFmtId="9" fontId="67" fillId="0" borderId="0" xfId="44" applyFont="1" applyFill="1" applyBorder="1" applyAlignment="1" applyProtection="1">
      <protection locked="0"/>
    </xf>
    <xf numFmtId="9" fontId="67" fillId="0" borderId="0" xfId="44" applyFont="1" applyFill="1" applyBorder="1" applyProtection="1">
      <protection locked="0"/>
    </xf>
    <xf numFmtId="41" fontId="67" fillId="0" borderId="3" xfId="16" applyNumberFormat="1" applyFont="1" applyFill="1" applyBorder="1" applyAlignment="1" applyProtection="1">
      <protection locked="0"/>
    </xf>
    <xf numFmtId="9" fontId="67" fillId="0" borderId="0" xfId="44" applyFont="1" applyFill="1" applyBorder="1" applyAlignment="1" applyProtection="1">
      <alignment horizontal="center"/>
      <protection locked="0"/>
    </xf>
    <xf numFmtId="41" fontId="78" fillId="0" borderId="0" xfId="0" applyNumberFormat="1" applyFont="1" applyProtection="1">
      <protection locked="0"/>
    </xf>
    <xf numFmtId="0" fontId="67" fillId="0" borderId="0" xfId="0" applyFont="1" applyFill="1" applyAlignment="1" applyProtection="1">
      <alignment horizontal="left" indent="1"/>
      <protection locked="0"/>
    </xf>
    <xf numFmtId="10" fontId="48" fillId="0" borderId="0" xfId="0" applyNumberFormat="1" applyFont="1" applyProtection="1">
      <protection locked="0"/>
    </xf>
    <xf numFmtId="167" fontId="38" fillId="0" borderId="0" xfId="0" applyNumberFormat="1" applyFont="1" applyFill="1" applyProtection="1">
      <protection locked="0"/>
    </xf>
    <xf numFmtId="10" fontId="38" fillId="0" borderId="0" xfId="44" applyNumberFormat="1" applyFont="1" applyFill="1" applyProtection="1">
      <protection locked="0"/>
    </xf>
    <xf numFmtId="0" fontId="67" fillId="0" borderId="0" xfId="0" applyFont="1" applyAlignment="1" applyProtection="1">
      <alignment horizontal="left" indent="1"/>
      <protection locked="0"/>
    </xf>
    <xf numFmtId="0" fontId="84" fillId="0" borderId="0" xfId="0" applyFont="1" applyProtection="1">
      <protection locked="0"/>
    </xf>
    <xf numFmtId="9" fontId="67" fillId="0" borderId="0" xfId="44" applyFont="1" applyFill="1" applyAlignment="1" applyProtection="1">
      <alignment horizontal="center" wrapText="1"/>
      <protection locked="0"/>
    </xf>
    <xf numFmtId="0" fontId="48" fillId="0" borderId="0" xfId="0" applyFont="1" applyAlignment="1" applyProtection="1">
      <alignment horizontal="left" indent="1"/>
      <protection locked="0"/>
    </xf>
    <xf numFmtId="0" fontId="67" fillId="0" borderId="54" xfId="0" applyFont="1" applyBorder="1" applyProtection="1">
      <protection locked="0"/>
    </xf>
    <xf numFmtId="41" fontId="67" fillId="0" borderId="54" xfId="2" applyNumberFormat="1" applyFont="1" applyFill="1" applyBorder="1" applyAlignment="1" applyProtection="1">
      <protection locked="0"/>
    </xf>
    <xf numFmtId="41" fontId="38" fillId="0" borderId="54" xfId="2" applyFont="1" applyBorder="1" applyAlignment="1" applyProtection="1">
      <protection locked="0"/>
    </xf>
    <xf numFmtId="0" fontId="38" fillId="0" borderId="54" xfId="0" applyFont="1" applyFill="1" applyBorder="1" applyProtection="1">
      <protection locked="0"/>
    </xf>
    <xf numFmtId="0" fontId="68" fillId="0" borderId="0" xfId="0" applyFont="1" applyFill="1" applyAlignment="1" applyProtection="1">
      <alignment horizontal="left" indent="9"/>
      <protection locked="0"/>
    </xf>
    <xf numFmtId="0" fontId="48" fillId="0" borderId="0" xfId="0" applyFont="1" applyProtection="1">
      <protection locked="0"/>
    </xf>
    <xf numFmtId="41" fontId="38" fillId="0" borderId="0" xfId="0" applyNumberFormat="1" applyFont="1" applyProtection="1">
      <protection locked="0"/>
    </xf>
    <xf numFmtId="0" fontId="68" fillId="0" borderId="0" xfId="0" quotePrefix="1" applyFont="1" applyFill="1" applyAlignment="1" applyProtection="1">
      <alignment horizontal="right"/>
      <protection locked="0"/>
    </xf>
    <xf numFmtId="41" fontId="71" fillId="0" borderId="0" xfId="2" applyFont="1" applyFill="1" applyAlignment="1" applyProtection="1">
      <alignment horizontal="centerContinuous"/>
      <protection locked="0"/>
    </xf>
    <xf numFmtId="41" fontId="71" fillId="0" borderId="0" xfId="2" applyFont="1" applyFill="1" applyAlignment="1" applyProtection="1">
      <alignment horizontal="center"/>
      <protection locked="0"/>
    </xf>
    <xf numFmtId="49" fontId="67" fillId="0" borderId="0" xfId="0" applyNumberFormat="1" applyFont="1" applyFill="1" applyAlignment="1" applyProtection="1">
      <alignment horizontal="left"/>
      <protection locked="0"/>
    </xf>
    <xf numFmtId="41" fontId="67" fillId="0" borderId="7" xfId="16" applyNumberFormat="1" applyFont="1" applyFill="1" applyBorder="1" applyAlignment="1" applyProtection="1">
      <protection locked="0"/>
    </xf>
    <xf numFmtId="41" fontId="67" fillId="3" borderId="0" xfId="2" applyFont="1" applyFill="1" applyAlignment="1" applyProtection="1">
      <protection locked="0"/>
    </xf>
    <xf numFmtId="49" fontId="67" fillId="0" borderId="0" xfId="0" applyNumberFormat="1" applyFont="1" applyFill="1" applyProtection="1">
      <protection locked="0"/>
    </xf>
    <xf numFmtId="0" fontId="68" fillId="0" borderId="0" xfId="0" applyFont="1" applyFill="1" applyAlignment="1" applyProtection="1">
      <alignment horizontal="left"/>
      <protection locked="0"/>
    </xf>
    <xf numFmtId="0" fontId="68" fillId="0" borderId="0" xfId="0" applyFont="1" applyAlignment="1" applyProtection="1">
      <alignment horizontal="justify" wrapText="1"/>
      <protection locked="0"/>
    </xf>
    <xf numFmtId="37" fontId="68" fillId="0" borderId="0" xfId="0" applyNumberFormat="1" applyFont="1" applyAlignment="1" applyProtection="1">
      <alignment horizontal="center"/>
      <protection locked="0"/>
    </xf>
    <xf numFmtId="0" fontId="67" fillId="0" borderId="0" xfId="0" applyFont="1" applyAlignment="1" applyProtection="1">
      <alignment horizontal="centerContinuous" vertical="top"/>
      <protection locked="0"/>
    </xf>
    <xf numFmtId="0" fontId="67" fillId="0" borderId="0" xfId="0" quotePrefix="1" applyFont="1" applyProtection="1">
      <protection locked="0"/>
    </xf>
    <xf numFmtId="41" fontId="67" fillId="0" borderId="11" xfId="16" applyNumberFormat="1" applyFont="1" applyBorder="1" applyAlignment="1" applyProtection="1">
      <protection locked="0"/>
    </xf>
    <xf numFmtId="0" fontId="92" fillId="0" borderId="0" xfId="0" applyFont="1" applyProtection="1">
      <protection locked="0"/>
    </xf>
    <xf numFmtId="42" fontId="48" fillId="0" borderId="0" xfId="16" applyFont="1" applyAlignment="1" applyProtection="1">
      <protection locked="0"/>
    </xf>
    <xf numFmtId="41" fontId="48" fillId="0" borderId="0" xfId="2" applyFont="1" applyAlignment="1" applyProtection="1">
      <protection locked="0"/>
    </xf>
    <xf numFmtId="41" fontId="67" fillId="0" borderId="10" xfId="16" applyNumberFormat="1" applyFont="1" applyFill="1" applyBorder="1" applyAlignment="1" applyProtection="1">
      <protection locked="0"/>
    </xf>
    <xf numFmtId="0" fontId="68" fillId="0" borderId="0" xfId="0" applyFont="1" applyFill="1" applyAlignment="1" applyProtection="1">
      <alignment horizontal="centerContinuous"/>
      <protection locked="0"/>
    </xf>
    <xf numFmtId="41" fontId="71" fillId="0" borderId="0" xfId="2" applyNumberFormat="1" applyFont="1" applyFill="1" applyAlignment="1" applyProtection="1">
      <protection locked="0"/>
    </xf>
    <xf numFmtId="41" fontId="68" fillId="0" borderId="12" xfId="2" applyFont="1" applyFill="1" applyBorder="1" applyAlignment="1" applyProtection="1">
      <alignment horizontal="centerContinuous"/>
      <protection locked="0"/>
    </xf>
    <xf numFmtId="41" fontId="68" fillId="0" borderId="12" xfId="2" applyFont="1" applyFill="1" applyBorder="1" applyAlignment="1" applyProtection="1">
      <alignment horizontal="center"/>
      <protection locked="0"/>
    </xf>
    <xf numFmtId="41" fontId="68" fillId="0" borderId="12" xfId="2" applyNumberFormat="1" applyFont="1" applyFill="1" applyBorder="1" applyAlignment="1" applyProtection="1">
      <protection locked="0"/>
    </xf>
    <xf numFmtId="41" fontId="68" fillId="0" borderId="12" xfId="2" quotePrefix="1" applyFont="1" applyFill="1" applyBorder="1" applyAlignment="1" applyProtection="1">
      <alignment horizontal="center"/>
      <protection locked="0"/>
    </xf>
    <xf numFmtId="0" fontId="67" fillId="0" borderId="0" xfId="0" applyFont="1" applyFill="1" applyAlignment="1" applyProtection="1">
      <alignment horizontal="centerContinuous"/>
      <protection locked="0"/>
    </xf>
    <xf numFmtId="9" fontId="67" fillId="0" borderId="0" xfId="44" quotePrefix="1" applyFont="1" applyFill="1" applyAlignment="1" applyProtection="1">
      <alignment horizontal="center"/>
      <protection locked="0"/>
    </xf>
    <xf numFmtId="39" fontId="67" fillId="0" borderId="0" xfId="43" applyNumberFormat="1" applyFont="1" applyFill="1" applyBorder="1" applyProtection="1">
      <protection locked="0"/>
    </xf>
    <xf numFmtId="41" fontId="68" fillId="0" borderId="11" xfId="16" applyNumberFormat="1" applyFont="1" applyFill="1" applyBorder="1" applyAlignment="1" applyProtection="1">
      <protection locked="0"/>
    </xf>
    <xf numFmtId="41" fontId="78" fillId="0" borderId="0" xfId="0" applyNumberFormat="1" applyFont="1" applyFill="1" applyProtection="1">
      <protection locked="0"/>
    </xf>
    <xf numFmtId="0" fontId="48" fillId="0" borderId="0" xfId="0" applyFont="1" applyFill="1" applyProtection="1">
      <protection locked="0"/>
    </xf>
    <xf numFmtId="41" fontId="48" fillId="0" borderId="0" xfId="0" applyNumberFormat="1" applyFont="1" applyFill="1" applyProtection="1">
      <protection locked="0"/>
    </xf>
    <xf numFmtId="0" fontId="67" fillId="0" borderId="0" xfId="0" applyFont="1" applyFill="1" applyAlignment="1" applyProtection="1">
      <alignment horizontal="centerContinuous" vertical="top"/>
      <protection locked="0"/>
    </xf>
    <xf numFmtId="41" fontId="67" fillId="0" borderId="0" xfId="16" applyNumberFormat="1" applyFont="1" applyFill="1" applyAlignment="1" applyProtection="1">
      <alignment horizontal="right"/>
      <protection locked="0"/>
    </xf>
    <xf numFmtId="41" fontId="67" fillId="0" borderId="0" xfId="0" applyNumberFormat="1" applyFont="1" applyFill="1" applyAlignment="1" applyProtection="1">
      <alignment horizontal="right"/>
      <protection locked="0"/>
    </xf>
    <xf numFmtId="0" fontId="76" fillId="0" borderId="0" xfId="0" applyFont="1" applyFill="1" applyProtection="1">
      <protection locked="0"/>
    </xf>
    <xf numFmtId="43" fontId="67" fillId="0" borderId="0" xfId="0" applyNumberFormat="1" applyFont="1" applyFill="1" applyProtection="1">
      <protection locked="0"/>
    </xf>
    <xf numFmtId="41" fontId="67" fillId="0" borderId="52" xfId="0" applyNumberFormat="1" applyFont="1" applyFill="1" applyBorder="1" applyProtection="1">
      <protection locked="0"/>
    </xf>
    <xf numFmtId="167" fontId="67" fillId="0" borderId="0" xfId="2" applyNumberFormat="1" applyFont="1" applyFill="1" applyAlignment="1" applyProtection="1">
      <protection locked="0"/>
    </xf>
    <xf numFmtId="41" fontId="68" fillId="0" borderId="0" xfId="0" applyNumberFormat="1" applyFont="1" applyFill="1" applyAlignment="1" applyProtection="1">
      <alignment horizontal="left" indent="2"/>
      <protection locked="0"/>
    </xf>
    <xf numFmtId="41" fontId="68" fillId="0" borderId="0" xfId="0" quotePrefix="1" applyNumberFormat="1" applyFont="1" applyFill="1" applyAlignment="1" applyProtection="1">
      <alignment horizontal="left" indent="2"/>
      <protection locked="0"/>
    </xf>
    <xf numFmtId="41" fontId="68" fillId="0" borderId="1" xfId="0" applyNumberFormat="1" applyFont="1" applyFill="1" applyBorder="1" applyProtection="1">
      <protection locked="0"/>
    </xf>
    <xf numFmtId="41" fontId="68" fillId="0" borderId="0" xfId="0" quotePrefix="1" applyNumberFormat="1" applyFont="1" applyFill="1" applyAlignment="1" applyProtection="1">
      <alignment horizontal="center"/>
      <protection locked="0"/>
    </xf>
    <xf numFmtId="41" fontId="68" fillId="0" borderId="12" xfId="2" quotePrefix="1" applyFont="1" applyBorder="1" applyAlignment="1" applyProtection="1">
      <alignment horizontal="center"/>
      <protection locked="0"/>
    </xf>
    <xf numFmtId="9" fontId="67" fillId="0" borderId="0" xfId="48" applyFont="1" applyProtection="1">
      <protection locked="0"/>
    </xf>
    <xf numFmtId="41" fontId="67" fillId="0" borderId="0" xfId="2" applyNumberFormat="1" applyFont="1" applyBorder="1" applyAlignment="1" applyProtection="1">
      <protection locked="0"/>
    </xf>
    <xf numFmtId="9" fontId="67" fillId="0" borderId="0" xfId="48" applyFont="1" applyBorder="1" applyAlignment="1" applyProtection="1">
      <protection locked="0"/>
    </xf>
    <xf numFmtId="41" fontId="68" fillId="0" borderId="11" xfId="2" applyNumberFormat="1" applyFont="1" applyBorder="1" applyAlignment="1" applyProtection="1">
      <protection locked="0"/>
    </xf>
    <xf numFmtId="41" fontId="68" fillId="0" borderId="11" xfId="2" applyNumberFormat="1" applyFont="1" applyFill="1" applyBorder="1" applyAlignment="1" applyProtection="1">
      <protection locked="0"/>
    </xf>
    <xf numFmtId="9" fontId="68" fillId="0" borderId="0" xfId="48" applyFont="1" applyBorder="1" applyAlignment="1" applyProtection="1">
      <alignment horizontal="center"/>
      <protection locked="0"/>
    </xf>
    <xf numFmtId="41" fontId="68" fillId="0" borderId="11" xfId="2" applyNumberFormat="1" applyFont="1" applyBorder="1" applyAlignment="1" applyProtection="1">
      <alignment horizontal="center"/>
      <protection locked="0"/>
    </xf>
    <xf numFmtId="0" fontId="93" fillId="0" borderId="0" xfId="0" applyFont="1" applyAlignment="1" applyProtection="1">
      <alignment horizontal="left" indent="1"/>
      <protection locked="0"/>
    </xf>
    <xf numFmtId="41" fontId="93" fillId="0" borderId="0" xfId="0" applyNumberFormat="1" applyFont="1" applyProtection="1">
      <protection locked="0"/>
    </xf>
    <xf numFmtId="0" fontId="93" fillId="0" borderId="0" xfId="0" applyFont="1" applyAlignment="1" applyProtection="1">
      <alignment horizontal="right"/>
      <protection locked="0"/>
    </xf>
    <xf numFmtId="41" fontId="93" fillId="0" borderId="11" xfId="0" applyNumberFormat="1" applyFont="1" applyBorder="1" applyProtection="1">
      <protection locked="0"/>
    </xf>
    <xf numFmtId="0" fontId="48" fillId="0" borderId="0" xfId="0" applyFont="1" applyAlignment="1" applyProtection="1">
      <alignment horizontal="centerContinuous"/>
      <protection locked="0"/>
    </xf>
    <xf numFmtId="41" fontId="71" fillId="0" borderId="0" xfId="2" applyFont="1" applyAlignment="1" applyProtection="1">
      <alignment horizontal="centerContinuous"/>
      <protection locked="0"/>
    </xf>
    <xf numFmtId="49" fontId="67" fillId="0" borderId="0" xfId="0" applyNumberFormat="1" applyFont="1" applyAlignment="1" applyProtection="1">
      <alignment horizontal="left"/>
      <protection locked="0"/>
    </xf>
    <xf numFmtId="41" fontId="67" fillId="0" borderId="0" xfId="16" applyNumberFormat="1" applyFont="1" applyAlignment="1" applyProtection="1">
      <protection locked="0"/>
    </xf>
    <xf numFmtId="49" fontId="67" fillId="0" borderId="0" xfId="0" applyNumberFormat="1" applyFont="1" applyProtection="1">
      <protection locked="0"/>
    </xf>
    <xf numFmtId="43" fontId="67" fillId="0" borderId="0" xfId="0" applyNumberFormat="1" applyFont="1" applyProtection="1">
      <protection locked="0"/>
    </xf>
    <xf numFmtId="41" fontId="67" fillId="0" borderId="0" xfId="0" quotePrefix="1" applyNumberFormat="1" applyFont="1" applyProtection="1">
      <protection locked="0"/>
    </xf>
    <xf numFmtId="0" fontId="67" fillId="3" borderId="0" xfId="0" applyFont="1" applyFill="1" applyProtection="1">
      <protection locked="0"/>
    </xf>
    <xf numFmtId="37" fontId="68" fillId="0" borderId="0" xfId="0" applyNumberFormat="1" applyFont="1" applyAlignment="1" applyProtection="1">
      <alignment horizontal="right"/>
      <protection locked="0"/>
    </xf>
    <xf numFmtId="37" fontId="68" fillId="0" borderId="0" xfId="0" quotePrefix="1" applyNumberFormat="1" applyFont="1" applyAlignment="1" applyProtection="1">
      <alignment horizontal="right"/>
      <protection locked="0"/>
    </xf>
    <xf numFmtId="0" fontId="68" fillId="0" borderId="21" xfId="0" applyFont="1" applyBorder="1" applyAlignment="1" applyProtection="1">
      <alignment horizontal="center"/>
      <protection locked="0"/>
    </xf>
    <xf numFmtId="0" fontId="68" fillId="0" borderId="21" xfId="0" applyFont="1" applyBorder="1" applyAlignment="1" applyProtection="1">
      <alignment horizontal="center" wrapText="1"/>
      <protection locked="0"/>
    </xf>
    <xf numFmtId="41" fontId="67" fillId="0" borderId="0" xfId="0" applyNumberFormat="1" applyFont="1" applyAlignment="1" applyProtection="1">
      <alignment horizontal="center"/>
      <protection locked="0"/>
    </xf>
    <xf numFmtId="41" fontId="69" fillId="0" borderId="0" xfId="2" applyNumberFormat="1" applyFont="1" applyAlignment="1" applyProtection="1">
      <protection locked="0"/>
    </xf>
    <xf numFmtId="41" fontId="79" fillId="0" borderId="0" xfId="2" applyNumberFormat="1" applyFont="1" applyAlignment="1" applyProtection="1">
      <alignment horizontal="center"/>
      <protection locked="0"/>
    </xf>
    <xf numFmtId="41" fontId="79" fillId="0" borderId="0" xfId="16" applyNumberFormat="1" applyFont="1" applyAlignment="1" applyProtection="1">
      <alignment horizontal="center"/>
      <protection locked="0"/>
    </xf>
    <xf numFmtId="41" fontId="67" fillId="0" borderId="11" xfId="2" applyNumberFormat="1" applyFont="1" applyBorder="1" applyAlignment="1" applyProtection="1">
      <alignment horizontal="center"/>
      <protection locked="0"/>
    </xf>
    <xf numFmtId="41" fontId="69" fillId="0" borderId="0" xfId="2" applyNumberFormat="1" applyFont="1" applyFill="1" applyAlignment="1" applyProtection="1">
      <protection locked="0"/>
    </xf>
    <xf numFmtId="41" fontId="79" fillId="0" borderId="0" xfId="2" applyNumberFormat="1" applyFont="1" applyFill="1" applyAlignment="1" applyProtection="1">
      <alignment horizontal="center"/>
      <protection locked="0"/>
    </xf>
    <xf numFmtId="41" fontId="67" fillId="0" borderId="0" xfId="0" applyNumberFormat="1" applyFont="1" applyFill="1" applyAlignment="1" applyProtection="1">
      <alignment horizontal="center"/>
      <protection locked="0"/>
    </xf>
    <xf numFmtId="41" fontId="67" fillId="0" borderId="0" xfId="0" quotePrefix="1" applyNumberFormat="1" applyFont="1" applyFill="1" applyProtection="1">
      <protection locked="0"/>
    </xf>
    <xf numFmtId="167" fontId="67" fillId="0" borderId="0" xfId="0" applyNumberFormat="1" applyFont="1" applyFill="1" applyProtection="1">
      <protection locked="0"/>
    </xf>
    <xf numFmtId="41" fontId="67" fillId="0" borderId="0" xfId="0" quotePrefix="1" applyNumberFormat="1" applyFont="1" applyFill="1" applyAlignment="1" applyProtection="1">
      <alignment horizontal="left"/>
      <protection locked="0"/>
    </xf>
    <xf numFmtId="42" fontId="48" fillId="0" borderId="0" xfId="16" applyFont="1" applyFill="1" applyAlignment="1" applyProtection="1">
      <protection locked="0"/>
    </xf>
    <xf numFmtId="0" fontId="68" fillId="0" borderId="0" xfId="0" applyFont="1" applyFill="1" applyAlignment="1" applyProtection="1">
      <alignment horizontal="left" indent="2"/>
      <protection locked="0"/>
    </xf>
    <xf numFmtId="174" fontId="68" fillId="0" borderId="0" xfId="0" quotePrefix="1" applyNumberFormat="1" applyFont="1" applyFill="1" applyAlignment="1" applyProtection="1">
      <alignment horizontal="center"/>
      <protection locked="0"/>
    </xf>
    <xf numFmtId="9" fontId="67" fillId="0" borderId="0" xfId="44" applyFont="1" applyProtection="1">
      <protection locked="0"/>
    </xf>
    <xf numFmtId="10" fontId="67" fillId="0" borderId="0" xfId="44" applyNumberFormat="1" applyFont="1" applyFill="1" applyProtection="1">
      <protection locked="0"/>
    </xf>
    <xf numFmtId="10" fontId="67" fillId="0" borderId="0" xfId="44" applyNumberFormat="1" applyFont="1" applyProtection="1">
      <protection locked="0"/>
    </xf>
    <xf numFmtId="37" fontId="68" fillId="0" borderId="1" xfId="0" applyNumberFormat="1" applyFont="1" applyFill="1" applyBorder="1" applyProtection="1">
      <protection locked="0"/>
    </xf>
    <xf numFmtId="0" fontId="68" fillId="0" borderId="0" xfId="0" applyFont="1" applyFill="1" applyAlignment="1" applyProtection="1">
      <protection locked="0"/>
    </xf>
    <xf numFmtId="0" fontId="67" fillId="0" borderId="0" xfId="0" quotePrefix="1" applyFont="1" applyFill="1" applyAlignment="1" applyProtection="1">
      <alignment horizontal="center"/>
      <protection locked="0"/>
    </xf>
    <xf numFmtId="41" fontId="68" fillId="0" borderId="12" xfId="2" applyFont="1" applyFill="1" applyBorder="1" applyAlignment="1" applyProtection="1">
      <protection locked="0"/>
    </xf>
    <xf numFmtId="10" fontId="68" fillId="0" borderId="0" xfId="0" applyNumberFormat="1" applyFont="1" applyFill="1" applyAlignment="1" applyProtection="1">
      <alignment horizontal="right"/>
      <protection locked="0"/>
    </xf>
    <xf numFmtId="10" fontId="68" fillId="0" borderId="0" xfId="0" applyNumberFormat="1" applyFont="1" applyFill="1" applyProtection="1">
      <protection locked="0"/>
    </xf>
    <xf numFmtId="10" fontId="68" fillId="0" borderId="1" xfId="0" applyNumberFormat="1" applyFont="1" applyFill="1" applyBorder="1" applyProtection="1">
      <protection locked="0"/>
    </xf>
    <xf numFmtId="10" fontId="68" fillId="0" borderId="0" xfId="0" applyNumberFormat="1" applyFont="1" applyFill="1" applyAlignment="1" applyProtection="1">
      <alignment horizontal="centerContinuous"/>
      <protection locked="0"/>
    </xf>
    <xf numFmtId="10" fontId="68" fillId="0" borderId="12" xfId="2" quotePrefix="1" applyNumberFormat="1" applyFont="1" applyFill="1" applyBorder="1" applyAlignment="1" applyProtection="1">
      <alignment horizontal="centerContinuous"/>
      <protection locked="0"/>
    </xf>
    <xf numFmtId="9" fontId="67" fillId="0" borderId="0" xfId="48" applyFont="1" applyFill="1" applyProtection="1">
      <protection locked="0"/>
    </xf>
    <xf numFmtId="9" fontId="67" fillId="0" borderId="0" xfId="48" applyFont="1" applyFill="1" applyBorder="1" applyAlignment="1" applyProtection="1">
      <alignment horizontal="center"/>
      <protection locked="0"/>
    </xf>
    <xf numFmtId="0" fontId="48" fillId="0" borderId="0" xfId="0" quotePrefix="1" applyFont="1" applyProtection="1">
      <protection locked="0"/>
    </xf>
    <xf numFmtId="41" fontId="67" fillId="4" borderId="0" xfId="0" applyNumberFormat="1" applyFont="1" applyFill="1" applyProtection="1">
      <protection locked="0"/>
    </xf>
    <xf numFmtId="49" fontId="68" fillId="0" borderId="0" xfId="0" applyNumberFormat="1" applyFont="1" applyFill="1" applyProtection="1">
      <protection locked="0"/>
    </xf>
    <xf numFmtId="0" fontId="67" fillId="0" borderId="16" xfId="31" applyNumberFormat="1" applyFont="1" applyBorder="1" applyAlignment="1" applyProtection="1">
      <alignment horizontal="center" wrapText="1"/>
      <protection locked="0"/>
    </xf>
    <xf numFmtId="0" fontId="67" fillId="0" borderId="8" xfId="5" applyNumberFormat="1" applyFont="1" applyBorder="1" applyAlignment="1" applyProtection="1">
      <alignment horizontal="center" wrapText="1"/>
      <protection locked="0"/>
    </xf>
    <xf numFmtId="0" fontId="67" fillId="0" borderId="17" xfId="31" applyNumberFormat="1" applyFont="1" applyBorder="1" applyAlignment="1" applyProtection="1">
      <alignment horizontal="center" wrapText="1"/>
      <protection locked="0"/>
    </xf>
    <xf numFmtId="179" fontId="67" fillId="0" borderId="5" xfId="31" applyNumberFormat="1" applyFont="1" applyBorder="1" applyProtection="1">
      <protection locked="0"/>
    </xf>
    <xf numFmtId="0" fontId="67" fillId="0" borderId="0" xfId="5" applyNumberFormat="1" applyFont="1" applyBorder="1" applyProtection="1">
      <protection locked="0"/>
    </xf>
    <xf numFmtId="177" fontId="67" fillId="0" borderId="6" xfId="44" applyNumberFormat="1" applyFont="1" applyBorder="1" applyProtection="1">
      <protection locked="0"/>
    </xf>
    <xf numFmtId="10" fontId="67" fillId="0" borderId="7" xfId="44" applyNumberFormat="1" applyFont="1" applyBorder="1" applyProtection="1">
      <protection locked="0"/>
    </xf>
    <xf numFmtId="10" fontId="67" fillId="0" borderId="15" xfId="44" applyNumberFormat="1" applyFont="1" applyBorder="1" applyProtection="1">
      <protection locked="0"/>
    </xf>
    <xf numFmtId="49" fontId="68" fillId="0" borderId="1" xfId="0" applyNumberFormat="1" applyFont="1" applyFill="1" applyBorder="1" applyProtection="1">
      <protection locked="0"/>
    </xf>
    <xf numFmtId="37" fontId="68" fillId="0" borderId="0" xfId="0" applyNumberFormat="1" applyFont="1" applyFill="1" applyAlignment="1" applyProtection="1">
      <alignment horizontal="centerContinuous"/>
      <protection locked="0"/>
    </xf>
    <xf numFmtId="41" fontId="68" fillId="0" borderId="7" xfId="2" applyFont="1" applyFill="1" applyBorder="1" applyAlignment="1" applyProtection="1">
      <alignment horizontal="center"/>
      <protection locked="0"/>
    </xf>
    <xf numFmtId="49" fontId="68" fillId="0" borderId="7" xfId="2" applyNumberFormat="1" applyFont="1" applyFill="1" applyBorder="1" applyAlignment="1" applyProtection="1">
      <alignment horizontal="centerContinuous"/>
      <protection locked="0"/>
    </xf>
    <xf numFmtId="37" fontId="68" fillId="0" borderId="7" xfId="2" applyNumberFormat="1" applyFont="1" applyFill="1" applyBorder="1" applyAlignment="1" applyProtection="1">
      <alignment horizontal="centerContinuous"/>
      <protection locked="0"/>
    </xf>
    <xf numFmtId="49" fontId="68" fillId="0" borderId="0" xfId="0" applyNumberFormat="1" applyFont="1" applyFill="1" applyAlignment="1" applyProtection="1">
      <alignment horizontal="left"/>
      <protection locked="0"/>
    </xf>
    <xf numFmtId="49" fontId="68" fillId="0" borderId="0" xfId="0" quotePrefix="1" applyNumberFormat="1" applyFont="1" applyFill="1" applyAlignment="1" applyProtection="1">
      <alignment horizontal="left"/>
      <protection locked="0"/>
    </xf>
    <xf numFmtId="49" fontId="67" fillId="0" borderId="0" xfId="0" quotePrefix="1" applyNumberFormat="1" applyFont="1" applyFill="1" applyAlignment="1" applyProtection="1">
      <alignment horizontal="left"/>
      <protection locked="0"/>
    </xf>
    <xf numFmtId="49" fontId="67" fillId="0" borderId="0" xfId="0" quotePrefix="1" applyNumberFormat="1" applyFont="1" applyFill="1" applyAlignment="1" applyProtection="1">
      <alignment horizontal="left" wrapText="1" indent="1"/>
      <protection locked="0"/>
    </xf>
    <xf numFmtId="49" fontId="67" fillId="0" borderId="0" xfId="0" applyNumberFormat="1" applyFont="1" applyFill="1" applyAlignment="1" applyProtection="1">
      <alignment horizontal="left" vertical="top" wrapText="1" indent="1"/>
      <protection locked="0"/>
    </xf>
    <xf numFmtId="49" fontId="67" fillId="0" borderId="0" xfId="0" quotePrefix="1" applyNumberFormat="1" applyFont="1" applyFill="1" applyAlignment="1" applyProtection="1">
      <alignment horizontal="left" vertical="top" wrapText="1" indent="1"/>
      <protection locked="0"/>
    </xf>
    <xf numFmtId="49" fontId="67" fillId="0" borderId="0" xfId="0" applyNumberFormat="1" applyFont="1" applyFill="1" applyAlignment="1" applyProtection="1">
      <alignment horizontal="right" vertical="top" wrapText="1" indent="1"/>
      <protection locked="0"/>
    </xf>
    <xf numFmtId="41" fontId="67" fillId="0" borderId="67" xfId="2" applyFont="1" applyFill="1" applyBorder="1" applyAlignment="1" applyProtection="1">
      <protection locked="0"/>
    </xf>
    <xf numFmtId="41" fontId="67" fillId="0" borderId="0" xfId="2" applyFont="1" applyFill="1" applyAlignment="1" applyProtection="1">
      <protection locked="0"/>
    </xf>
    <xf numFmtId="49" fontId="76" fillId="0" borderId="0" xfId="0" quotePrefix="1" applyNumberFormat="1" applyFont="1" applyFill="1" applyAlignment="1" applyProtection="1">
      <alignment horizontal="left"/>
      <protection locked="0"/>
    </xf>
    <xf numFmtId="43" fontId="67" fillId="0" borderId="0" xfId="0" quotePrefix="1" applyNumberFormat="1" applyFont="1" applyFill="1" applyAlignment="1" applyProtection="1">
      <alignment horizontal="left" indent="2"/>
      <protection locked="0"/>
    </xf>
    <xf numFmtId="0" fontId="67" fillId="0" borderId="0" xfId="0" quotePrefix="1" applyFont="1" applyFill="1" applyAlignment="1" applyProtection="1">
      <alignment horizontal="center" vertical="top"/>
      <protection locked="0"/>
    </xf>
    <xf numFmtId="43" fontId="67" fillId="0" borderId="0" xfId="0" quotePrefix="1" applyNumberFormat="1" applyFont="1" applyFill="1" applyAlignment="1" applyProtection="1">
      <alignment horizontal="right" indent="2"/>
      <protection locked="0"/>
    </xf>
    <xf numFmtId="49" fontId="76" fillId="0" borderId="0" xfId="0" applyNumberFormat="1" applyFont="1" applyFill="1" applyProtection="1">
      <protection locked="0"/>
    </xf>
    <xf numFmtId="49" fontId="67" fillId="0" borderId="0" xfId="0" applyNumberFormat="1" applyFont="1" applyAlignment="1" applyProtection="1">
      <alignment horizontal="left" indent="1"/>
      <protection locked="0"/>
    </xf>
    <xf numFmtId="49" fontId="68" fillId="0" borderId="0" xfId="0" applyNumberFormat="1" applyFont="1" applyFill="1" applyAlignment="1" applyProtection="1">
      <alignment horizontal="left" indent="5"/>
      <protection locked="0"/>
    </xf>
    <xf numFmtId="41" fontId="68" fillId="0" borderId="67" xfId="0" applyNumberFormat="1" applyFont="1" applyFill="1" applyBorder="1" applyProtection="1">
      <protection locked="0"/>
    </xf>
    <xf numFmtId="0" fontId="68" fillId="0" borderId="0" xfId="0" quotePrefix="1" applyFont="1" applyFill="1" applyAlignment="1" applyProtection="1">
      <alignment horizontal="left" vertical="top"/>
      <protection locked="0"/>
    </xf>
    <xf numFmtId="49" fontId="68" fillId="0" borderId="0" xfId="0" applyNumberFormat="1" applyFont="1" applyFill="1" applyAlignment="1" applyProtection="1">
      <alignment horizontal="left" indent="4"/>
      <protection locked="0"/>
    </xf>
    <xf numFmtId="41" fontId="68" fillId="0" borderId="35" xfId="0" applyNumberFormat="1" applyFont="1" applyFill="1" applyBorder="1" applyProtection="1">
      <protection locked="0"/>
    </xf>
    <xf numFmtId="49" fontId="68" fillId="0" borderId="0" xfId="0" applyNumberFormat="1" applyFont="1" applyFill="1" applyAlignment="1" applyProtection="1">
      <protection locked="0"/>
    </xf>
    <xf numFmtId="41" fontId="68" fillId="0" borderId="9" xfId="0" applyNumberFormat="1" applyFont="1" applyFill="1" applyBorder="1" applyProtection="1">
      <protection locked="0"/>
    </xf>
    <xf numFmtId="49" fontId="67" fillId="0" borderId="0" xfId="0" applyNumberFormat="1" applyFont="1" applyFill="1" applyAlignment="1" applyProtection="1">
      <protection locked="0"/>
    </xf>
    <xf numFmtId="49" fontId="67" fillId="0" borderId="0" xfId="0" quotePrefix="1" applyNumberFormat="1" applyFont="1" applyFill="1" applyAlignment="1" applyProtection="1">
      <alignment horizontal="left" indent="3"/>
      <protection locked="0"/>
    </xf>
    <xf numFmtId="49" fontId="68" fillId="0" borderId="0" xfId="0" quotePrefix="1" applyNumberFormat="1" applyFont="1" applyFill="1" applyAlignment="1" applyProtection="1">
      <alignment horizontal="left" indent="7"/>
      <protection locked="0"/>
    </xf>
    <xf numFmtId="41" fontId="68" fillId="0" borderId="0" xfId="16" applyNumberFormat="1" applyFont="1" applyFill="1" applyBorder="1" applyAlignment="1" applyProtection="1">
      <protection locked="0"/>
    </xf>
    <xf numFmtId="0" fontId="68" fillId="0" borderId="0" xfId="0" applyFont="1" applyFill="1" applyAlignment="1" applyProtection="1">
      <alignment horizontal="left" vertical="top"/>
      <protection locked="0"/>
    </xf>
    <xf numFmtId="41" fontId="68" fillId="0" borderId="0" xfId="0" applyNumberFormat="1" applyFont="1" applyProtection="1">
      <protection locked="0"/>
    </xf>
    <xf numFmtId="0" fontId="67" fillId="0" borderId="0" xfId="0" quotePrefix="1" applyFont="1" applyFill="1" applyAlignment="1" applyProtection="1">
      <alignment horizontal="left" vertical="top"/>
      <protection locked="0"/>
    </xf>
    <xf numFmtId="49" fontId="67" fillId="0" borderId="0" xfId="0" quotePrefix="1" applyNumberFormat="1" applyFont="1" applyFill="1" applyAlignment="1" applyProtection="1">
      <alignment horizontal="right"/>
      <protection locked="0"/>
    </xf>
    <xf numFmtId="0" fontId="68" fillId="3" borderId="25" xfId="0" applyFont="1" applyFill="1" applyBorder="1" applyProtection="1">
      <protection locked="0"/>
    </xf>
    <xf numFmtId="0" fontId="68" fillId="3" borderId="0" xfId="0" applyFont="1" applyFill="1" applyBorder="1" applyProtection="1">
      <protection locked="0"/>
    </xf>
    <xf numFmtId="0" fontId="67" fillId="3" borderId="0" xfId="0" applyFont="1" applyFill="1" applyBorder="1" applyProtection="1">
      <protection locked="0"/>
    </xf>
    <xf numFmtId="0" fontId="67" fillId="3" borderId="26" xfId="0" applyFont="1" applyFill="1" applyBorder="1" applyProtection="1">
      <protection locked="0"/>
    </xf>
    <xf numFmtId="0" fontId="67" fillId="3" borderId="25" xfId="0" applyFont="1" applyFill="1" applyBorder="1" applyProtection="1">
      <protection locked="0"/>
    </xf>
    <xf numFmtId="0" fontId="67" fillId="3" borderId="0" xfId="0" quotePrefix="1" applyFont="1" applyFill="1" applyBorder="1" applyProtection="1">
      <protection locked="0"/>
    </xf>
    <xf numFmtId="41" fontId="67" fillId="0" borderId="0" xfId="2" applyFont="1" applyFill="1" applyBorder="1" applyAlignment="1" applyProtection="1">
      <protection locked="0"/>
    </xf>
    <xf numFmtId="41" fontId="67" fillId="3" borderId="0" xfId="2" applyNumberFormat="1" applyFont="1" applyFill="1" applyBorder="1" applyAlignment="1" applyProtection="1">
      <protection locked="0"/>
    </xf>
    <xf numFmtId="43" fontId="67" fillId="3" borderId="0" xfId="0" applyNumberFormat="1" applyFont="1" applyFill="1" applyBorder="1" applyProtection="1">
      <protection locked="0"/>
    </xf>
    <xf numFmtId="43" fontId="67" fillId="3" borderId="26" xfId="0" applyNumberFormat="1" applyFont="1" applyFill="1" applyBorder="1" applyProtection="1">
      <protection locked="0"/>
    </xf>
    <xf numFmtId="43" fontId="67" fillId="3" borderId="0" xfId="0" quotePrefix="1" applyNumberFormat="1" applyFont="1" applyFill="1" applyBorder="1" applyProtection="1">
      <protection locked="0"/>
    </xf>
    <xf numFmtId="43" fontId="67" fillId="0" borderId="0" xfId="0" quotePrefix="1" applyNumberFormat="1" applyFont="1" applyFill="1" applyAlignment="1" applyProtection="1">
      <alignment horizontal="left" indent="1"/>
      <protection locked="0"/>
    </xf>
    <xf numFmtId="41" fontId="67" fillId="0" borderId="0" xfId="0" applyNumberFormat="1" applyFont="1" applyFill="1" applyBorder="1" applyAlignment="1" applyProtection="1">
      <alignment horizontal="center"/>
      <protection locked="0"/>
    </xf>
    <xf numFmtId="41" fontId="68" fillId="0" borderId="68" xfId="0" applyNumberFormat="1" applyFont="1" applyFill="1" applyBorder="1" applyProtection="1">
      <protection locked="0"/>
    </xf>
    <xf numFmtId="49" fontId="67" fillId="0" borderId="0" xfId="0" applyNumberFormat="1" applyFont="1" applyFill="1" applyAlignment="1" applyProtection="1">
      <alignment horizontal="left" indent="1"/>
      <protection locked="0"/>
    </xf>
    <xf numFmtId="37" fontId="71" fillId="0" borderId="0" xfId="2" applyNumberFormat="1" applyFont="1" applyFill="1" applyAlignment="1" applyProtection="1">
      <alignment horizontal="centerContinuous"/>
      <protection locked="0"/>
    </xf>
    <xf numFmtId="41" fontId="67" fillId="0" borderId="0" xfId="2" applyFont="1" applyFill="1" applyAlignment="1" applyProtection="1">
      <alignment horizontal="center"/>
      <protection locked="0"/>
    </xf>
    <xf numFmtId="0" fontId="67" fillId="0" borderId="0" xfId="417" quotePrefix="1" applyFont="1" applyFill="1" applyAlignment="1" applyProtection="1">
      <alignment horizontal="left" indent="1"/>
      <protection locked="0"/>
    </xf>
    <xf numFmtId="0" fontId="67" fillId="3" borderId="28" xfId="0" applyFont="1" applyFill="1" applyBorder="1" applyProtection="1">
      <protection locked="0"/>
    </xf>
    <xf numFmtId="0" fontId="67" fillId="3" borderId="12" xfId="0" applyFont="1" applyFill="1" applyBorder="1" applyProtection="1">
      <protection locked="0"/>
    </xf>
    <xf numFmtId="43" fontId="67" fillId="3" borderId="12" xfId="0" applyNumberFormat="1" applyFont="1" applyFill="1" applyBorder="1" applyProtection="1">
      <protection locked="0"/>
    </xf>
    <xf numFmtId="0" fontId="67" fillId="3" borderId="12" xfId="0" quotePrefix="1" applyFont="1" applyFill="1" applyBorder="1" applyProtection="1">
      <protection locked="0"/>
    </xf>
    <xf numFmtId="43" fontId="67" fillId="3" borderId="29" xfId="0" applyNumberFormat="1" applyFont="1" applyFill="1" applyBorder="1" applyProtection="1">
      <protection locked="0"/>
    </xf>
    <xf numFmtId="41" fontId="68" fillId="0" borderId="13" xfId="0" applyNumberFormat="1" applyFont="1" applyFill="1" applyBorder="1" applyProtection="1">
      <protection locked="0"/>
    </xf>
    <xf numFmtId="0" fontId="67" fillId="0" borderId="0" xfId="0" quotePrefix="1" applyFont="1" applyFill="1" applyAlignment="1" applyProtection="1">
      <alignment horizontal="left" indent="1"/>
      <protection locked="0"/>
    </xf>
    <xf numFmtId="49" fontId="68" fillId="0" borderId="0" xfId="0" applyNumberFormat="1" applyFont="1" applyFill="1" applyAlignment="1" applyProtection="1">
      <alignment horizontal="left" indent="7"/>
      <protection locked="0"/>
    </xf>
    <xf numFmtId="0" fontId="67" fillId="3" borderId="22" xfId="0" applyFont="1" applyFill="1" applyBorder="1" applyProtection="1">
      <protection locked="0"/>
    </xf>
    <xf numFmtId="0" fontId="67" fillId="3" borderId="51" xfId="0" applyFont="1" applyFill="1" applyBorder="1" applyProtection="1">
      <protection locked="0"/>
    </xf>
    <xf numFmtId="43" fontId="67" fillId="3" borderId="51" xfId="0" applyNumberFormat="1" applyFont="1" applyFill="1" applyBorder="1" applyProtection="1">
      <protection locked="0"/>
    </xf>
    <xf numFmtId="0" fontId="67" fillId="3" borderId="51" xfId="0" quotePrefix="1" applyFont="1" applyFill="1" applyBorder="1" applyProtection="1">
      <protection locked="0"/>
    </xf>
    <xf numFmtId="0" fontId="67" fillId="3" borderId="51" xfId="0" applyFont="1" applyFill="1" applyBorder="1" applyAlignment="1" applyProtection="1">
      <alignment horizontal="center"/>
      <protection locked="0"/>
    </xf>
    <xf numFmtId="0" fontId="67" fillId="3" borderId="23" xfId="0" applyFont="1" applyFill="1" applyBorder="1" applyProtection="1">
      <protection locked="0"/>
    </xf>
    <xf numFmtId="49" fontId="67" fillId="0" borderId="0" xfId="0" quotePrefix="1" applyNumberFormat="1" applyFont="1" applyFill="1" applyAlignment="1" applyProtection="1">
      <alignment horizontal="left" indent="1"/>
      <protection locked="0"/>
    </xf>
    <xf numFmtId="167" fontId="67" fillId="3" borderId="0" xfId="0" applyNumberFormat="1" applyFont="1" applyFill="1" applyBorder="1" applyProtection="1">
      <protection locked="0"/>
    </xf>
    <xf numFmtId="0" fontId="67" fillId="3" borderId="25" xfId="0" applyFont="1" applyFill="1" applyBorder="1" applyAlignment="1" applyProtection="1">
      <alignment horizontal="center"/>
      <protection locked="0"/>
    </xf>
    <xf numFmtId="0" fontId="67" fillId="3" borderId="0" xfId="0" applyFont="1" applyFill="1" applyBorder="1" applyAlignment="1" applyProtection="1">
      <alignment horizontal="center"/>
      <protection locked="0"/>
    </xf>
    <xf numFmtId="41" fontId="67" fillId="0" borderId="11" xfId="2" applyNumberFormat="1" applyFont="1" applyFill="1" applyBorder="1" applyAlignment="1" applyProtection="1">
      <protection locked="0"/>
    </xf>
    <xf numFmtId="167" fontId="67" fillId="3" borderId="12" xfId="0" applyNumberFormat="1" applyFont="1" applyFill="1" applyBorder="1" applyProtection="1">
      <protection locked="0"/>
    </xf>
    <xf numFmtId="0" fontId="67" fillId="3" borderId="29" xfId="0" applyFont="1" applyFill="1" applyBorder="1" applyProtection="1">
      <protection locked="0"/>
    </xf>
    <xf numFmtId="167" fontId="67" fillId="0" borderId="0" xfId="0" applyNumberFormat="1" applyFont="1" applyProtection="1">
      <protection locked="0"/>
    </xf>
    <xf numFmtId="41" fontId="67" fillId="0" borderId="11" xfId="2" applyFont="1" applyFill="1" applyBorder="1" applyAlignment="1" applyProtection="1">
      <protection locked="0"/>
    </xf>
    <xf numFmtId="49" fontId="68" fillId="0" borderId="0" xfId="0" quotePrefix="1" applyNumberFormat="1" applyFont="1" applyFill="1" applyAlignment="1" applyProtection="1">
      <alignment horizontal="right" indent="1"/>
      <protection locked="0"/>
    </xf>
    <xf numFmtId="41" fontId="67" fillId="0" borderId="0" xfId="0" quotePrefix="1" applyNumberFormat="1" applyFont="1" applyFill="1" applyAlignment="1" applyProtection="1">
      <protection locked="0"/>
    </xf>
    <xf numFmtId="41" fontId="68" fillId="0" borderId="3" xfId="16" applyNumberFormat="1" applyFont="1" applyFill="1" applyBorder="1" applyAlignment="1" applyProtection="1">
      <protection locked="0"/>
    </xf>
    <xf numFmtId="41" fontId="67" fillId="0" borderId="0" xfId="2" quotePrefix="1" applyNumberFormat="1" applyFont="1" applyFill="1" applyAlignment="1" applyProtection="1">
      <protection locked="0"/>
    </xf>
    <xf numFmtId="49" fontId="67" fillId="0" borderId="0" xfId="0" applyNumberFormat="1" applyFont="1" applyFill="1" applyAlignment="1" applyProtection="1">
      <alignment horizontal="center"/>
      <protection locked="0"/>
    </xf>
    <xf numFmtId="0" fontId="68" fillId="0" borderId="0" xfId="0" applyFont="1" applyFill="1" applyBorder="1" applyProtection="1">
      <protection locked="0"/>
    </xf>
    <xf numFmtId="37" fontId="68" fillId="0" borderId="0" xfId="0" applyNumberFormat="1" applyFont="1" applyFill="1" applyBorder="1" applyProtection="1">
      <protection locked="0"/>
    </xf>
    <xf numFmtId="0" fontId="68" fillId="0" borderId="0" xfId="0" quotePrefix="1" applyFont="1" applyFill="1" applyBorder="1" applyAlignment="1" applyProtection="1">
      <alignment horizontal="left"/>
      <protection locked="0"/>
    </xf>
    <xf numFmtId="49" fontId="68" fillId="0" borderId="0" xfId="0" applyNumberFormat="1" applyFont="1" applyFill="1" applyBorder="1" applyProtection="1">
      <protection locked="0"/>
    </xf>
    <xf numFmtId="37" fontId="67" fillId="0" borderId="54" xfId="0" applyNumberFormat="1" applyFont="1" applyFill="1" applyBorder="1" applyProtection="1">
      <protection locked="0"/>
    </xf>
    <xf numFmtId="49" fontId="76" fillId="0" borderId="0" xfId="0" applyNumberFormat="1" applyFont="1" applyFill="1" applyAlignment="1" applyProtection="1">
      <protection locked="0"/>
    </xf>
    <xf numFmtId="49" fontId="67" fillId="0" borderId="0" xfId="0" quotePrefix="1" applyNumberFormat="1" applyFont="1" applyFill="1" applyBorder="1" applyProtection="1">
      <protection locked="0"/>
    </xf>
    <xf numFmtId="49" fontId="67" fillId="0" borderId="0" xfId="0" applyNumberFormat="1" applyFont="1" applyFill="1" applyBorder="1" applyAlignment="1" applyProtection="1">
      <alignment horizontal="left" indent="1"/>
      <protection locked="0"/>
    </xf>
    <xf numFmtId="0" fontId="67" fillId="0" borderId="0" xfId="0" applyFont="1" applyFill="1" applyAlignment="1" applyProtection="1">
      <alignment horizontal="left" indent="2"/>
      <protection locked="0"/>
    </xf>
    <xf numFmtId="37" fontId="67" fillId="0" borderId="67" xfId="0" applyNumberFormat="1" applyFont="1" applyFill="1" applyBorder="1" applyProtection="1">
      <protection locked="0"/>
    </xf>
    <xf numFmtId="0" fontId="67" fillId="0" borderId="0" xfId="0" applyFont="1" applyFill="1" applyBorder="1" applyAlignment="1" applyProtection="1">
      <alignment horizontal="right"/>
      <protection locked="0"/>
    </xf>
    <xf numFmtId="0" fontId="76" fillId="0" borderId="0" xfId="0" quotePrefix="1" applyFont="1" applyFill="1" applyAlignment="1" applyProtection="1">
      <alignment horizontal="left" vertical="top"/>
      <protection locked="0"/>
    </xf>
    <xf numFmtId="49" fontId="67" fillId="0" borderId="0" xfId="0" applyNumberFormat="1" applyFont="1" applyFill="1" applyBorder="1" applyProtection="1">
      <protection locked="0"/>
    </xf>
    <xf numFmtId="0" fontId="67" fillId="0" borderId="54" xfId="0" applyFont="1" applyFill="1" applyBorder="1" applyProtection="1">
      <protection locked="0"/>
    </xf>
    <xf numFmtId="49" fontId="67" fillId="0" borderId="0" xfId="0" applyNumberFormat="1" applyFont="1" applyFill="1" applyAlignment="1" applyProtection="1">
      <alignment horizontal="right"/>
      <protection locked="0"/>
    </xf>
    <xf numFmtId="49" fontId="68" fillId="0" borderId="0" xfId="0" applyNumberFormat="1" applyFont="1" applyFill="1" applyAlignment="1" applyProtection="1">
      <alignment horizontal="right"/>
      <protection locked="0"/>
    </xf>
    <xf numFmtId="41" fontId="67" fillId="0" borderId="0" xfId="2" applyNumberFormat="1" applyFont="1" applyFill="1" applyAlignment="1" applyProtection="1">
      <alignment horizontal="center"/>
      <protection locked="0"/>
    </xf>
    <xf numFmtId="41" fontId="67" fillId="0" borderId="0" xfId="16" applyNumberFormat="1" applyFont="1" applyFill="1" applyAlignment="1" applyProtection="1">
      <alignment horizontal="center"/>
      <protection locked="0"/>
    </xf>
    <xf numFmtId="0" fontId="56" fillId="0" borderId="0" xfId="0" applyFont="1" applyProtection="1">
      <protection locked="0"/>
    </xf>
    <xf numFmtId="0" fontId="56" fillId="0" borderId="0" xfId="0" applyFont="1" applyFill="1" applyProtection="1">
      <protection locked="0"/>
    </xf>
    <xf numFmtId="0" fontId="68" fillId="0" borderId="0" xfId="0" quotePrefix="1" applyFont="1" applyFill="1" applyAlignment="1" applyProtection="1">
      <protection locked="0"/>
    </xf>
    <xf numFmtId="41" fontId="67" fillId="0" borderId="13" xfId="0" applyNumberFormat="1" applyFont="1" applyFill="1" applyBorder="1" applyAlignment="1" applyProtection="1">
      <alignment horizontal="center"/>
      <protection locked="0"/>
    </xf>
    <xf numFmtId="0" fontId="71" fillId="0" borderId="0" xfId="0" applyFont="1" applyFill="1" applyBorder="1" applyAlignment="1" applyProtection="1">
      <alignment horizontal="center"/>
      <protection locked="0"/>
    </xf>
    <xf numFmtId="0" fontId="71" fillId="0" borderId="0" xfId="0" applyFont="1" applyFill="1" applyBorder="1" applyAlignment="1" applyProtection="1">
      <alignment horizontal="centerContinuous"/>
      <protection locked="0"/>
    </xf>
    <xf numFmtId="49" fontId="67" fillId="0" borderId="0" xfId="0" applyNumberFormat="1" applyFont="1" applyFill="1" applyAlignment="1" applyProtection="1">
      <alignment horizontal="left" wrapText="1"/>
      <protection locked="0"/>
    </xf>
    <xf numFmtId="0" fontId="76" fillId="0" borderId="0" xfId="0" applyFont="1" applyFill="1" applyBorder="1" applyProtection="1">
      <protection locked="0"/>
    </xf>
    <xf numFmtId="42" fontId="67" fillId="0" borderId="0" xfId="0" applyNumberFormat="1" applyFont="1" applyFill="1" applyProtection="1">
      <protection locked="0"/>
    </xf>
    <xf numFmtId="0" fontId="67" fillId="0" borderId="0" xfId="71" applyFont="1" applyProtection="1">
      <protection locked="0"/>
    </xf>
    <xf numFmtId="167" fontId="67" fillId="0" borderId="0" xfId="56" applyNumberFormat="1" applyFont="1" applyFill="1" applyAlignment="1" applyProtection="1">
      <protection locked="0"/>
    </xf>
    <xf numFmtId="0" fontId="67" fillId="0" borderId="0" xfId="71" applyFont="1" applyAlignment="1" applyProtection="1">
      <alignment horizontal="center"/>
      <protection locked="0"/>
    </xf>
    <xf numFmtId="0" fontId="67" fillId="0" borderId="0" xfId="71" applyFont="1" applyAlignment="1" applyProtection="1">
      <alignment horizontal="left"/>
      <protection locked="0"/>
    </xf>
    <xf numFmtId="0" fontId="67" fillId="0" borderId="0" xfId="71" applyFont="1" applyFill="1" applyAlignment="1" applyProtection="1">
      <alignment horizontal="center"/>
      <protection locked="0"/>
    </xf>
    <xf numFmtId="0" fontId="67" fillId="0" borderId="0" xfId="71" applyFont="1" applyFill="1" applyProtection="1">
      <protection locked="0"/>
    </xf>
    <xf numFmtId="167" fontId="67" fillId="0" borderId="0" xfId="56" applyNumberFormat="1" applyFont="1" applyFill="1" applyBorder="1" applyAlignment="1" applyProtection="1">
      <protection locked="0"/>
    </xf>
    <xf numFmtId="0" fontId="67" fillId="0" borderId="0" xfId="71" applyFont="1" applyFill="1" applyAlignment="1" applyProtection="1">
      <alignment horizontal="left"/>
      <protection locked="0"/>
    </xf>
    <xf numFmtId="0" fontId="88" fillId="0" borderId="0" xfId="0" applyFont="1" applyProtection="1">
      <protection locked="0"/>
    </xf>
    <xf numFmtId="0" fontId="88" fillId="0" borderId="0" xfId="0" applyFont="1" applyAlignment="1" applyProtection="1">
      <alignment horizontal="center"/>
      <protection locked="0"/>
    </xf>
    <xf numFmtId="0" fontId="88" fillId="3" borderId="0" xfId="0" applyFont="1" applyFill="1" applyProtection="1">
      <protection locked="0"/>
    </xf>
    <xf numFmtId="0" fontId="89" fillId="3" borderId="0" xfId="0" applyFont="1" applyFill="1" applyProtection="1">
      <protection locked="0"/>
    </xf>
    <xf numFmtId="0" fontId="89" fillId="0" borderId="0" xfId="0" applyFont="1" applyProtection="1">
      <protection locked="0"/>
    </xf>
    <xf numFmtId="0" fontId="31" fillId="0" borderId="0" xfId="0" applyFont="1" applyProtection="1">
      <protection locked="0"/>
    </xf>
    <xf numFmtId="0" fontId="88" fillId="0" borderId="0" xfId="0" applyFont="1" applyAlignment="1" applyProtection="1">
      <alignment horizontal="left"/>
      <protection locked="0"/>
    </xf>
    <xf numFmtId="174" fontId="88" fillId="0" borderId="0" xfId="0" applyNumberFormat="1" applyFont="1" applyAlignment="1" applyProtection="1">
      <alignment horizontal="center"/>
      <protection locked="0"/>
    </xf>
    <xf numFmtId="0" fontId="88" fillId="0" borderId="0" xfId="0" quotePrefix="1" applyFont="1" applyAlignment="1" applyProtection="1">
      <alignment horizontal="center"/>
      <protection locked="0"/>
    </xf>
    <xf numFmtId="41" fontId="90" fillId="0" borderId="0" xfId="2" applyFont="1" applyAlignment="1" applyProtection="1">
      <alignment horizontal="centerContinuous"/>
      <protection locked="0"/>
    </xf>
    <xf numFmtId="41" fontId="90" fillId="0" borderId="0" xfId="2" applyFont="1" applyAlignment="1" applyProtection="1">
      <alignment horizontal="center"/>
      <protection locked="0"/>
    </xf>
    <xf numFmtId="41" fontId="89" fillId="0" borderId="2" xfId="2" quotePrefix="1" applyFont="1" applyBorder="1" applyAlignment="1" applyProtection="1">
      <alignment horizontal="center" wrapText="1"/>
      <protection locked="0"/>
    </xf>
    <xf numFmtId="0" fontId="89" fillId="0" borderId="2" xfId="0" applyFont="1" applyBorder="1" applyAlignment="1" applyProtection="1">
      <alignment horizontal="center"/>
      <protection locked="0"/>
    </xf>
    <xf numFmtId="0" fontId="88" fillId="0" borderId="0" xfId="0" applyFont="1" applyAlignment="1" applyProtection="1">
      <alignment horizontal="centerContinuous"/>
      <protection locked="0"/>
    </xf>
    <xf numFmtId="0" fontId="91" fillId="0" borderId="0" xfId="0" applyFont="1" applyProtection="1">
      <protection locked="0"/>
    </xf>
    <xf numFmtId="167" fontId="89" fillId="0" borderId="0" xfId="2" applyNumberFormat="1" applyFont="1" applyAlignment="1" applyProtection="1">
      <protection locked="0"/>
    </xf>
    <xf numFmtId="167" fontId="89" fillId="0" borderId="0" xfId="0" applyNumberFormat="1" applyFont="1" applyProtection="1">
      <protection locked="0"/>
    </xf>
    <xf numFmtId="41" fontId="89" fillId="0" borderId="0" xfId="0" applyNumberFormat="1" applyFont="1" applyProtection="1">
      <protection locked="0"/>
    </xf>
    <xf numFmtId="167" fontId="89" fillId="4" borderId="0" xfId="2" applyNumberFormat="1" applyFont="1" applyFill="1" applyAlignment="1" applyProtection="1">
      <protection locked="0"/>
    </xf>
    <xf numFmtId="167" fontId="89" fillId="4" borderId="0" xfId="0" applyNumberFormat="1" applyFont="1" applyFill="1" applyProtection="1">
      <protection locked="0"/>
    </xf>
    <xf numFmtId="167" fontId="89" fillId="4" borderId="0" xfId="16" applyNumberFormat="1" applyFont="1" applyFill="1" applyAlignment="1" applyProtection="1">
      <protection locked="0"/>
    </xf>
    <xf numFmtId="167" fontId="89" fillId="0" borderId="0" xfId="16" applyNumberFormat="1" applyFont="1" applyAlignment="1" applyProtection="1">
      <protection locked="0"/>
    </xf>
    <xf numFmtId="37" fontId="89" fillId="0" borderId="0" xfId="0" applyNumberFormat="1" applyFont="1" applyProtection="1">
      <protection locked="0"/>
    </xf>
    <xf numFmtId="0" fontId="88" fillId="0" borderId="44" xfId="0" applyFont="1" applyBorder="1" applyProtection="1">
      <protection locked="0"/>
    </xf>
    <xf numFmtId="0" fontId="88" fillId="0" borderId="45" xfId="0" applyFont="1" applyBorder="1" applyAlignment="1" applyProtection="1">
      <alignment horizontal="center"/>
      <protection locked="0"/>
    </xf>
    <xf numFmtId="37" fontId="89" fillId="0" borderId="45" xfId="0" applyNumberFormat="1" applyFont="1" applyBorder="1" applyProtection="1">
      <protection locked="0"/>
    </xf>
    <xf numFmtId="0" fontId="89" fillId="0" borderId="45" xfId="0" applyFont="1" applyBorder="1" applyProtection="1">
      <protection locked="0"/>
    </xf>
    <xf numFmtId="0" fontId="89" fillId="0" borderId="46" xfId="0" applyFont="1" applyBorder="1" applyProtection="1">
      <protection locked="0"/>
    </xf>
    <xf numFmtId="0" fontId="88" fillId="0" borderId="47" xfId="0" applyFont="1" applyBorder="1" applyProtection="1">
      <protection locked="0"/>
    </xf>
    <xf numFmtId="41" fontId="89" fillId="0" borderId="48" xfId="0" applyNumberFormat="1" applyFont="1" applyBorder="1" applyProtection="1">
      <protection locked="0"/>
    </xf>
    <xf numFmtId="10" fontId="89" fillId="0" borderId="0" xfId="0" applyNumberFormat="1" applyFont="1" applyProtection="1">
      <protection locked="0"/>
    </xf>
    <xf numFmtId="10" fontId="89" fillId="0" borderId="48" xfId="0" applyNumberFormat="1" applyFont="1" applyBorder="1" applyProtection="1">
      <protection locked="0"/>
    </xf>
    <xf numFmtId="0" fontId="88" fillId="3" borderId="47" xfId="0" applyFont="1" applyFill="1" applyBorder="1" applyProtection="1">
      <protection locked="0"/>
    </xf>
    <xf numFmtId="0" fontId="88" fillId="3" borderId="0" xfId="0" applyFont="1" applyFill="1" applyAlignment="1" applyProtection="1">
      <alignment horizontal="center"/>
      <protection locked="0"/>
    </xf>
    <xf numFmtId="170" fontId="89" fillId="3" borderId="0" xfId="0" applyNumberFormat="1" applyFont="1" applyFill="1" applyProtection="1">
      <protection locked="0"/>
    </xf>
    <xf numFmtId="0" fontId="88" fillId="0" borderId="49" xfId="0" applyFont="1" applyBorder="1" applyProtection="1">
      <protection locked="0"/>
    </xf>
    <xf numFmtId="0" fontId="88" fillId="0" borderId="2" xfId="0" applyFont="1" applyBorder="1" applyAlignment="1" applyProtection="1">
      <alignment horizontal="center"/>
      <protection locked="0"/>
    </xf>
    <xf numFmtId="0" fontId="89" fillId="0" borderId="2" xfId="0" applyFont="1" applyBorder="1" applyProtection="1">
      <protection locked="0"/>
    </xf>
    <xf numFmtId="0" fontId="89" fillId="0" borderId="50" xfId="0" applyFont="1" applyBorder="1" applyProtection="1">
      <protection locked="0"/>
    </xf>
    <xf numFmtId="43" fontId="89" fillId="4" borderId="0" xfId="2" applyNumberFormat="1" applyFont="1" applyFill="1" applyAlignment="1" applyProtection="1">
      <protection locked="0"/>
    </xf>
    <xf numFmtId="0" fontId="89" fillId="0" borderId="0" xfId="0" applyFont="1" applyAlignment="1" applyProtection="1">
      <alignment horizontal="center"/>
      <protection locked="0"/>
    </xf>
    <xf numFmtId="0" fontId="31" fillId="0" borderId="0" xfId="0" applyFont="1" applyBorder="1" applyProtection="1">
      <protection locked="0"/>
    </xf>
    <xf numFmtId="0" fontId="113" fillId="0" borderId="0" xfId="0" applyFont="1" applyProtection="1">
      <protection locked="0"/>
    </xf>
    <xf numFmtId="0" fontId="113" fillId="0" borderId="0" xfId="0" applyFont="1" applyAlignment="1" applyProtection="1">
      <alignment horizontal="center"/>
      <protection locked="0"/>
    </xf>
    <xf numFmtId="0" fontId="89" fillId="0" borderId="0" xfId="0" applyFont="1" applyBorder="1" applyProtection="1">
      <protection locked="0"/>
    </xf>
    <xf numFmtId="41" fontId="89" fillId="0" borderId="0" xfId="2" applyFont="1" applyAlignment="1" applyProtection="1">
      <protection locked="0"/>
    </xf>
    <xf numFmtId="10" fontId="89" fillId="0" borderId="0" xfId="44" applyNumberFormat="1" applyFont="1" applyProtection="1">
      <protection locked="0"/>
    </xf>
    <xf numFmtId="10" fontId="89" fillId="0" borderId="0" xfId="44" applyNumberFormat="1" applyFont="1" applyBorder="1" applyProtection="1">
      <protection locked="0"/>
    </xf>
    <xf numFmtId="10" fontId="87" fillId="0" borderId="0" xfId="44" applyNumberFormat="1" applyFont="1" applyProtection="1">
      <protection locked="0"/>
    </xf>
    <xf numFmtId="10" fontId="87" fillId="0" borderId="0" xfId="44" applyNumberFormat="1" applyFont="1" applyBorder="1" applyProtection="1">
      <protection locked="0"/>
    </xf>
    <xf numFmtId="10" fontId="89" fillId="0" borderId="0" xfId="44" applyNumberFormat="1" applyFont="1" applyAlignment="1" applyProtection="1">
      <protection locked="0"/>
    </xf>
    <xf numFmtId="0" fontId="67" fillId="0" borderId="0" xfId="0" applyNumberFormat="1" applyFont="1" applyFill="1" applyProtection="1">
      <protection locked="0"/>
    </xf>
    <xf numFmtId="0" fontId="67" fillId="3" borderId="0" xfId="0" applyNumberFormat="1" applyFont="1" applyFill="1" applyProtection="1">
      <protection locked="0"/>
    </xf>
    <xf numFmtId="0" fontId="68" fillId="0" borderId="34" xfId="0" applyFont="1" applyFill="1" applyBorder="1" applyAlignment="1" applyProtection="1">
      <alignment horizontal="center"/>
      <protection locked="0"/>
    </xf>
    <xf numFmtId="49" fontId="68" fillId="0" borderId="34" xfId="0" applyNumberFormat="1" applyFont="1" applyFill="1" applyBorder="1" applyAlignment="1" applyProtection="1">
      <alignment horizontal="centerContinuous"/>
      <protection locked="0"/>
    </xf>
    <xf numFmtId="49" fontId="68" fillId="0" borderId="34" xfId="0" applyNumberFormat="1" applyFont="1" applyFill="1" applyBorder="1" applyProtection="1">
      <protection locked="0"/>
    </xf>
    <xf numFmtId="0" fontId="68" fillId="0" borderId="34" xfId="0" applyFont="1" applyFill="1" applyBorder="1" applyProtection="1">
      <protection locked="0"/>
    </xf>
    <xf numFmtId="0" fontId="68" fillId="0" borderId="34" xfId="0" applyFont="1" applyFill="1" applyBorder="1" applyAlignment="1" applyProtection="1">
      <alignment horizontal="centerContinuous"/>
      <protection locked="0"/>
    </xf>
    <xf numFmtId="49" fontId="71" fillId="0" borderId="0" xfId="2" applyNumberFormat="1" applyFont="1" applyFill="1" applyAlignment="1" applyProtection="1">
      <alignment horizontal="centerContinuous"/>
      <protection locked="0"/>
    </xf>
    <xf numFmtId="49" fontId="77" fillId="0" borderId="0" xfId="0" applyNumberFormat="1" applyFont="1" applyFill="1" applyProtection="1">
      <protection locked="0"/>
    </xf>
    <xf numFmtId="43" fontId="68" fillId="3" borderId="0" xfId="0" applyNumberFormat="1" applyFont="1" applyFill="1" applyProtection="1">
      <protection locked="0"/>
    </xf>
    <xf numFmtId="0" fontId="68" fillId="3" borderId="0" xfId="0" applyNumberFormat="1" applyFont="1" applyFill="1" applyProtection="1">
      <protection locked="0"/>
    </xf>
    <xf numFmtId="41" fontId="67" fillId="0" borderId="33" xfId="16" applyNumberFormat="1" applyFont="1" applyFill="1" applyBorder="1" applyAlignment="1" applyProtection="1">
      <protection locked="0"/>
    </xf>
    <xf numFmtId="49" fontId="67" fillId="0" borderId="0" xfId="0" quotePrefix="1" applyNumberFormat="1" applyFont="1" applyFill="1" applyProtection="1">
      <protection locked="0"/>
    </xf>
    <xf numFmtId="0" fontId="67" fillId="4" borderId="0" xfId="0" applyNumberFormat="1" applyFont="1" applyFill="1" applyProtection="1">
      <protection locked="0"/>
    </xf>
    <xf numFmtId="49" fontId="67" fillId="0" borderId="0" xfId="0" applyNumberFormat="1" applyFont="1" applyFill="1" applyAlignment="1" applyProtection="1">
      <alignment horizontal="left" indent="2"/>
      <protection locked="0"/>
    </xf>
    <xf numFmtId="167" fontId="67" fillId="0" borderId="10" xfId="16" applyNumberFormat="1" applyFont="1" applyFill="1" applyBorder="1" applyAlignment="1" applyProtection="1">
      <protection locked="0"/>
    </xf>
    <xf numFmtId="49" fontId="76" fillId="0" borderId="0" xfId="0" quotePrefix="1" applyNumberFormat="1" applyFont="1" applyFill="1" applyProtection="1">
      <protection locked="0"/>
    </xf>
    <xf numFmtId="171" fontId="67" fillId="0" borderId="0" xfId="2" applyNumberFormat="1" applyFont="1" applyFill="1" applyBorder="1" applyAlignment="1" applyProtection="1">
      <protection locked="0"/>
    </xf>
    <xf numFmtId="49" fontId="77" fillId="0" borderId="0" xfId="0" applyNumberFormat="1" applyFont="1" applyFill="1" applyAlignment="1" applyProtection="1">
      <alignment horizontal="left"/>
      <protection locked="0"/>
    </xf>
    <xf numFmtId="0" fontId="67" fillId="4" borderId="0" xfId="0" quotePrefix="1" applyNumberFormat="1" applyFont="1" applyFill="1" applyProtection="1">
      <protection locked="0"/>
    </xf>
    <xf numFmtId="0" fontId="67" fillId="0" borderId="0" xfId="0" quotePrefix="1" applyNumberFormat="1" applyFont="1" applyFill="1" applyProtection="1">
      <protection locked="0"/>
    </xf>
    <xf numFmtId="41" fontId="67" fillId="3" borderId="0" xfId="0" applyNumberFormat="1" applyFont="1" applyFill="1" applyProtection="1">
      <protection locked="0"/>
    </xf>
    <xf numFmtId="41" fontId="67" fillId="0" borderId="54" xfId="0" applyNumberFormat="1" applyFont="1" applyFill="1" applyBorder="1" applyProtection="1">
      <protection locked="0"/>
    </xf>
    <xf numFmtId="41" fontId="68" fillId="0" borderId="7" xfId="0" applyNumberFormat="1" applyFont="1" applyFill="1" applyBorder="1" applyProtection="1">
      <protection locked="0"/>
    </xf>
    <xf numFmtId="0" fontId="68" fillId="0" borderId="0" xfId="0" applyNumberFormat="1" applyFont="1" applyFill="1" applyAlignment="1" applyProtection="1">
      <alignment horizontal="left" indent="3"/>
      <protection locked="0"/>
    </xf>
    <xf numFmtId="189" fontId="67" fillId="0" borderId="0" xfId="0" applyNumberFormat="1" applyFont="1" applyFill="1" applyProtection="1">
      <protection locked="0"/>
    </xf>
    <xf numFmtId="41" fontId="67" fillId="0" borderId="7" xfId="0" applyNumberFormat="1" applyFont="1" applyFill="1" applyBorder="1" applyProtection="1">
      <protection locked="0"/>
    </xf>
    <xf numFmtId="49" fontId="67" fillId="0" borderId="0" xfId="0" applyNumberFormat="1" applyFont="1" applyFill="1" applyAlignment="1" applyProtection="1">
      <alignment horizontal="left" indent="3"/>
      <protection locked="0"/>
    </xf>
    <xf numFmtId="0" fontId="67" fillId="0" borderId="0" xfId="43" applyFont="1" applyFill="1" applyProtection="1">
      <protection locked="0"/>
    </xf>
    <xf numFmtId="0" fontId="67" fillId="0" borderId="41" xfId="0" applyFont="1" applyBorder="1" applyProtection="1">
      <protection locked="0"/>
    </xf>
    <xf numFmtId="0" fontId="67" fillId="0" borderId="68" xfId="0" applyFont="1" applyBorder="1" applyProtection="1">
      <protection locked="0"/>
    </xf>
    <xf numFmtId="0" fontId="67" fillId="0" borderId="68" xfId="0" quotePrefix="1" applyFont="1" applyBorder="1" applyAlignment="1" applyProtection="1">
      <alignment horizontal="right"/>
      <protection locked="0"/>
    </xf>
    <xf numFmtId="0" fontId="67" fillId="47" borderId="68" xfId="0" applyFont="1" applyFill="1" applyBorder="1" applyAlignment="1" applyProtection="1">
      <alignment horizontal="center"/>
      <protection locked="0"/>
    </xf>
    <xf numFmtId="0" fontId="67" fillId="0" borderId="69" xfId="0" applyFont="1" applyBorder="1" applyProtection="1">
      <protection locked="0"/>
    </xf>
    <xf numFmtId="0" fontId="67" fillId="0" borderId="5" xfId="0" applyFont="1" applyBorder="1" applyAlignment="1" applyProtection="1">
      <alignment horizontal="center"/>
      <protection locked="0"/>
    </xf>
    <xf numFmtId="0" fontId="67" fillId="0" borderId="0" xfId="0" applyFont="1" applyBorder="1" applyAlignment="1" applyProtection="1">
      <alignment horizontal="center"/>
      <protection locked="0"/>
    </xf>
    <xf numFmtId="0" fontId="67" fillId="46" borderId="14" xfId="0" applyFont="1" applyFill="1" applyBorder="1" applyAlignment="1" applyProtection="1">
      <alignment horizontal="center"/>
      <protection locked="0"/>
    </xf>
    <xf numFmtId="0" fontId="67" fillId="0" borderId="5" xfId="0" applyFont="1" applyBorder="1" applyProtection="1">
      <protection locked="0"/>
    </xf>
    <xf numFmtId="167" fontId="67" fillId="0" borderId="0" xfId="2" applyNumberFormat="1" applyFont="1" applyBorder="1" applyAlignment="1" applyProtection="1">
      <protection locked="0"/>
    </xf>
    <xf numFmtId="167" fontId="67" fillId="0" borderId="0" xfId="0" applyNumberFormat="1" applyFont="1" applyBorder="1" applyProtection="1">
      <protection locked="0"/>
    </xf>
    <xf numFmtId="167" fontId="67" fillId="46" borderId="14" xfId="0" applyNumberFormat="1" applyFont="1" applyFill="1" applyBorder="1" applyProtection="1">
      <protection locked="0"/>
    </xf>
    <xf numFmtId="0" fontId="67" fillId="0" borderId="0" xfId="0" quotePrefix="1" applyNumberFormat="1" applyFont="1" applyFill="1" applyAlignment="1" applyProtection="1">
      <protection locked="0"/>
    </xf>
    <xf numFmtId="0" fontId="67" fillId="0" borderId="6" xfId="0" applyFont="1" applyBorder="1" applyProtection="1">
      <protection locked="0"/>
    </xf>
    <xf numFmtId="167" fontId="67" fillId="0" borderId="54" xfId="2" applyNumberFormat="1" applyFont="1" applyBorder="1" applyAlignment="1" applyProtection="1">
      <protection locked="0"/>
    </xf>
    <xf numFmtId="167" fontId="67" fillId="0" borderId="15" xfId="2" applyNumberFormat="1" applyFont="1" applyBorder="1" applyAlignment="1" applyProtection="1">
      <protection locked="0"/>
    </xf>
    <xf numFmtId="43" fontId="68" fillId="0" borderId="0" xfId="0" applyNumberFormat="1" applyFont="1" applyFill="1" applyProtection="1">
      <protection locked="0"/>
    </xf>
    <xf numFmtId="49" fontId="67" fillId="0" borderId="0" xfId="0" applyNumberFormat="1" applyFont="1" applyFill="1" applyAlignment="1" applyProtection="1">
      <alignment horizontal="right" indent="1"/>
      <protection locked="0"/>
    </xf>
    <xf numFmtId="41" fontId="68" fillId="0" borderId="54" xfId="16" applyNumberFormat="1" applyFont="1" applyFill="1" applyBorder="1" applyAlignment="1" applyProtection="1">
      <protection locked="0"/>
    </xf>
    <xf numFmtId="0" fontId="67" fillId="0" borderId="0" xfId="417" quotePrefix="1" applyFont="1" applyFill="1" applyAlignment="1" applyProtection="1">
      <alignment horizontal="left"/>
      <protection locked="0"/>
    </xf>
    <xf numFmtId="49" fontId="67" fillId="0" borderId="0" xfId="0" applyNumberFormat="1" applyFont="1" applyFill="1" applyAlignment="1" applyProtection="1">
      <alignment wrapText="1"/>
      <protection locked="0"/>
    </xf>
    <xf numFmtId="49" fontId="48" fillId="0" borderId="0" xfId="0" applyNumberFormat="1" applyFont="1" applyAlignment="1" applyProtection="1">
      <alignment horizontal="left" indent="1"/>
      <protection locked="0"/>
    </xf>
    <xf numFmtId="41" fontId="67" fillId="0" borderId="67" xfId="0" applyNumberFormat="1" applyFont="1" applyFill="1" applyBorder="1" applyProtection="1">
      <protection locked="0"/>
    </xf>
    <xf numFmtId="41" fontId="68" fillId="4" borderId="0" xfId="0" applyNumberFormat="1" applyFont="1" applyFill="1" applyProtection="1">
      <protection locked="0"/>
    </xf>
    <xf numFmtId="0" fontId="67" fillId="0" borderId="0" xfId="42" applyFont="1" applyFill="1" applyProtection="1">
      <protection locked="0"/>
    </xf>
    <xf numFmtId="49" fontId="67" fillId="0" borderId="0" xfId="0" quotePrefix="1" applyNumberFormat="1" applyFont="1" applyFill="1" applyBorder="1" applyAlignment="1" applyProtection="1">
      <alignment horizontal="left"/>
      <protection locked="0"/>
    </xf>
    <xf numFmtId="49" fontId="68" fillId="0" borderId="0" xfId="0" quotePrefix="1" applyNumberFormat="1" applyFont="1" applyFill="1" applyBorder="1" applyAlignment="1" applyProtection="1">
      <alignment horizontal="left"/>
      <protection locked="0"/>
    </xf>
    <xf numFmtId="0" fontId="67" fillId="0" borderId="0" xfId="0" quotePrefix="1" applyFont="1" applyFill="1" applyAlignment="1" applyProtection="1">
      <alignment horizontal="right"/>
      <protection locked="0"/>
    </xf>
    <xf numFmtId="175" fontId="67" fillId="0" borderId="7" xfId="44" applyNumberFormat="1" applyFont="1" applyFill="1" applyBorder="1" applyProtection="1">
      <protection locked="0"/>
    </xf>
    <xf numFmtId="49" fontId="68" fillId="0" borderId="0" xfId="0" applyNumberFormat="1" applyFont="1" applyFill="1" applyAlignment="1" applyProtection="1">
      <alignment horizontal="left" indent="2"/>
      <protection locked="0"/>
    </xf>
    <xf numFmtId="0" fontId="67" fillId="12" borderId="0" xfId="0" applyNumberFormat="1" applyFont="1" applyFill="1" applyProtection="1">
      <protection locked="0"/>
    </xf>
    <xf numFmtId="0" fontId="48" fillId="0" borderId="0" xfId="0" quotePrefix="1" applyNumberFormat="1" applyFont="1" applyFill="1" applyAlignment="1" applyProtection="1">
      <alignment horizontal="left" indent="1"/>
      <protection locked="0"/>
    </xf>
    <xf numFmtId="49" fontId="48" fillId="0" borderId="0" xfId="0" applyNumberFormat="1" applyFont="1" applyFill="1" applyProtection="1">
      <protection locked="0"/>
    </xf>
    <xf numFmtId="0" fontId="48" fillId="0" borderId="0" xfId="0" applyNumberFormat="1" applyFont="1" applyFill="1" applyBorder="1" applyAlignment="1" applyProtection="1">
      <alignment horizontal="left" indent="3"/>
      <protection locked="0"/>
    </xf>
    <xf numFmtId="49" fontId="48" fillId="0" borderId="0" xfId="0" applyNumberFormat="1" applyFont="1" applyFill="1" applyBorder="1" applyProtection="1">
      <protection locked="0"/>
    </xf>
    <xf numFmtId="172" fontId="48" fillId="0" borderId="0" xfId="2" applyNumberFormat="1" applyFont="1" applyFill="1" applyBorder="1" applyAlignment="1" applyProtection="1">
      <protection locked="0"/>
    </xf>
    <xf numFmtId="0" fontId="48" fillId="0" borderId="0" xfId="0" applyNumberFormat="1" applyFont="1" applyFill="1" applyBorder="1" applyAlignment="1" applyProtection="1">
      <alignment horizontal="left" indent="2"/>
      <protection locked="0"/>
    </xf>
    <xf numFmtId="42" fontId="48" fillId="0" borderId="0" xfId="0" applyNumberFormat="1" applyFont="1" applyFill="1" applyBorder="1" applyProtection="1">
      <protection locked="0"/>
    </xf>
    <xf numFmtId="186" fontId="67" fillId="0" borderId="0" xfId="0" applyNumberFormat="1" applyFont="1" applyFill="1" applyProtection="1">
      <protection locked="0"/>
    </xf>
    <xf numFmtId="41" fontId="67" fillId="0" borderId="33" xfId="0" applyNumberFormat="1" applyFont="1" applyFill="1" applyBorder="1" applyProtection="1">
      <protection locked="0"/>
    </xf>
    <xf numFmtId="0" fontId="48" fillId="0" borderId="0" xfId="0" quotePrefix="1" applyFont="1" applyFill="1" applyAlignment="1" applyProtection="1">
      <alignment horizontal="left" indent="1"/>
      <protection locked="0"/>
    </xf>
    <xf numFmtId="0" fontId="48" fillId="0" borderId="0" xfId="0" applyFont="1" applyFill="1" applyAlignment="1" applyProtection="1">
      <alignment horizontal="left"/>
      <protection locked="0"/>
    </xf>
    <xf numFmtId="172" fontId="48" fillId="0" borderId="0" xfId="2" applyNumberFormat="1" applyFont="1" applyFill="1" applyAlignment="1" applyProtection="1">
      <protection locked="0"/>
    </xf>
    <xf numFmtId="190" fontId="67" fillId="0" borderId="0" xfId="0" applyNumberFormat="1" applyFont="1" applyFill="1" applyProtection="1">
      <protection locked="0"/>
    </xf>
    <xf numFmtId="0" fontId="48" fillId="0" borderId="0" xfId="0" applyFont="1" applyFill="1" applyAlignment="1" applyProtection="1">
      <alignment horizontal="left" indent="3"/>
      <protection locked="0"/>
    </xf>
    <xf numFmtId="0" fontId="48" fillId="0" borderId="0" xfId="0" applyFont="1" applyFill="1" applyAlignment="1" applyProtection="1">
      <alignment horizontal="left" indent="2"/>
      <protection locked="0"/>
    </xf>
    <xf numFmtId="42" fontId="48" fillId="0" borderId="0" xfId="0" applyNumberFormat="1" applyFont="1" applyFill="1" applyProtection="1">
      <protection locked="0"/>
    </xf>
    <xf numFmtId="0" fontId="48" fillId="0" borderId="0" xfId="0" quotePrefix="1" applyFont="1" applyFill="1" applyAlignment="1" applyProtection="1">
      <alignment horizontal="right"/>
      <protection locked="0"/>
    </xf>
    <xf numFmtId="0" fontId="48" fillId="0" borderId="0" xfId="0" applyFont="1" applyFill="1" applyAlignment="1" applyProtection="1">
      <alignment horizontal="left" indent="1"/>
      <protection locked="0"/>
    </xf>
    <xf numFmtId="0" fontId="84" fillId="0" borderId="0" xfId="0" applyFont="1" applyFill="1" applyAlignment="1" applyProtection="1">
      <alignment horizontal="right"/>
      <protection locked="0"/>
    </xf>
    <xf numFmtId="42" fontId="48" fillId="0" borderId="53" xfId="0" applyNumberFormat="1" applyFont="1" applyFill="1" applyBorder="1" applyProtection="1">
      <protection locked="0"/>
    </xf>
    <xf numFmtId="184" fontId="67" fillId="0" borderId="0" xfId="44" applyNumberFormat="1" applyFont="1" applyFill="1" applyProtection="1">
      <protection locked="0"/>
    </xf>
    <xf numFmtId="0" fontId="67" fillId="0" borderId="0" xfId="0" applyFont="1" applyFill="1" applyAlignment="1" applyProtection="1">
      <alignment horizontal="center" vertical="top"/>
      <protection locked="0"/>
    </xf>
    <xf numFmtId="39" fontId="67" fillId="0" borderId="36" xfId="431" applyNumberFormat="1" applyFont="1" applyFill="1" applyBorder="1" applyProtection="1">
      <protection locked="0"/>
    </xf>
    <xf numFmtId="39" fontId="67" fillId="3" borderId="36" xfId="431" applyNumberFormat="1" applyFont="1" applyFill="1" applyBorder="1" applyProtection="1">
      <protection locked="0"/>
    </xf>
    <xf numFmtId="0" fontId="70" fillId="0" borderId="0" xfId="0" applyFont="1" applyFill="1" applyAlignment="1" applyProtection="1">
      <alignment horizontal="center"/>
      <protection locked="0"/>
    </xf>
    <xf numFmtId="0" fontId="67" fillId="0" borderId="0" xfId="0" quotePrefix="1" applyNumberFormat="1" applyFont="1" applyFill="1" applyAlignment="1" applyProtection="1">
      <alignment horizontal="center"/>
      <protection locked="0"/>
    </xf>
    <xf numFmtId="10" fontId="48" fillId="0" borderId="0" xfId="382" applyNumberFormat="1" applyFont="1" applyProtection="1">
      <protection locked="0"/>
    </xf>
    <xf numFmtId="10" fontId="48" fillId="0" borderId="0" xfId="16" applyNumberFormat="1" applyFont="1" applyAlignment="1" applyProtection="1">
      <protection locked="0"/>
    </xf>
    <xf numFmtId="41" fontId="67" fillId="0" borderId="11" xfId="16" applyNumberFormat="1" applyFont="1" applyBorder="1" applyAlignment="1" applyProtection="1">
      <alignment horizontal="center"/>
      <protection locked="0"/>
    </xf>
    <xf numFmtId="0" fontId="60" fillId="0" borderId="0" xfId="166" applyFont="1" applyAlignment="1" applyProtection="1">
      <alignment horizontal="center"/>
      <protection locked="0"/>
    </xf>
    <xf numFmtId="0" fontId="60" fillId="4" borderId="0" xfId="167" applyNumberFormat="1" applyFont="1" applyFill="1" applyAlignment="1" applyProtection="1">
      <alignment horizontal="center"/>
      <protection locked="0"/>
    </xf>
    <xf numFmtId="0" fontId="60" fillId="0" borderId="0" xfId="167" applyNumberFormat="1" applyFont="1" applyAlignment="1" applyProtection="1">
      <protection locked="0"/>
    </xf>
    <xf numFmtId="41" fontId="67" fillId="0" borderId="2" xfId="0" applyNumberFormat="1" applyFont="1" applyFill="1" applyBorder="1" applyProtection="1">
      <protection locked="0"/>
    </xf>
    <xf numFmtId="0" fontId="60" fillId="0" borderId="19" xfId="166" applyFont="1" applyFill="1" applyBorder="1" applyAlignment="1" applyProtection="1">
      <alignment horizontal="center"/>
      <protection locked="0"/>
    </xf>
    <xf numFmtId="0" fontId="60" fillId="0" borderId="40" xfId="167" applyNumberFormat="1" applyFont="1" applyFill="1" applyBorder="1" applyAlignment="1" applyProtection="1">
      <alignment horizontal="center"/>
      <protection locked="0"/>
    </xf>
    <xf numFmtId="0" fontId="60" fillId="0" borderId="40" xfId="167" applyNumberFormat="1" applyFont="1" applyFill="1" applyBorder="1" applyAlignment="1" applyProtection="1">
      <protection locked="0"/>
    </xf>
    <xf numFmtId="0" fontId="67" fillId="0" borderId="20" xfId="0" applyFont="1" applyFill="1" applyBorder="1" applyProtection="1">
      <protection locked="0"/>
    </xf>
    <xf numFmtId="0" fontId="67" fillId="0" borderId="40" xfId="0" applyFont="1" applyFill="1" applyBorder="1" applyProtection="1">
      <protection locked="0"/>
    </xf>
    <xf numFmtId="0" fontId="60" fillId="0" borderId="40" xfId="166" applyFont="1" applyFill="1" applyBorder="1" applyAlignment="1" applyProtection="1">
      <alignment horizontal="center"/>
      <protection locked="0"/>
    </xf>
    <xf numFmtId="41" fontId="67" fillId="0" borderId="31" xfId="0" applyNumberFormat="1" applyFont="1" applyFill="1" applyBorder="1" applyProtection="1">
      <protection locked="0"/>
    </xf>
    <xf numFmtId="0" fontId="60" fillId="0" borderId="19" xfId="166" applyFont="1" applyBorder="1" applyAlignment="1" applyProtection="1">
      <alignment horizontal="center"/>
      <protection locked="0"/>
    </xf>
    <xf numFmtId="0" fontId="60" fillId="0" borderId="40" xfId="167" applyNumberFormat="1" applyFont="1" applyBorder="1" applyAlignment="1" applyProtection="1">
      <alignment horizontal="center"/>
      <protection locked="0"/>
    </xf>
    <xf numFmtId="0" fontId="60" fillId="0" borderId="40" xfId="167" applyNumberFormat="1" applyFont="1" applyBorder="1" applyAlignment="1" applyProtection="1">
      <protection locked="0"/>
    </xf>
    <xf numFmtId="0" fontId="67" fillId="0" borderId="0" xfId="0" applyFont="1" applyAlignment="1" applyProtection="1">
      <alignment horizontal="center"/>
      <protection locked="0"/>
    </xf>
    <xf numFmtId="165" fontId="68" fillId="0" borderId="0" xfId="0" applyNumberFormat="1" applyFont="1" applyProtection="1">
      <protection locked="0"/>
    </xf>
    <xf numFmtId="0" fontId="68" fillId="0" borderId="0" xfId="0" quotePrefix="1" applyFont="1" applyAlignment="1" applyProtection="1">
      <alignment horizontal="center"/>
      <protection locked="0"/>
    </xf>
    <xf numFmtId="0" fontId="68" fillId="0" borderId="0" xfId="0" quotePrefix="1" applyFont="1" applyAlignment="1" applyProtection="1">
      <alignment horizontal="centerContinuous"/>
      <protection locked="0"/>
    </xf>
    <xf numFmtId="0" fontId="68" fillId="0" borderId="0" xfId="0" applyFont="1" applyBorder="1" applyAlignment="1" applyProtection="1">
      <alignment horizontal="centerContinuous"/>
      <protection locked="0"/>
    </xf>
    <xf numFmtId="41" fontId="68" fillId="0" borderId="54" xfId="2" applyFont="1" applyBorder="1" applyAlignment="1" applyProtection="1">
      <alignment horizontal="center"/>
      <protection locked="0"/>
    </xf>
    <xf numFmtId="41" fontId="68" fillId="0" borderId="54" xfId="2" applyFont="1" applyFill="1" applyBorder="1" applyAlignment="1" applyProtection="1">
      <alignment horizontal="center"/>
      <protection locked="0"/>
    </xf>
    <xf numFmtId="41" fontId="68" fillId="0" borderId="54" xfId="2" applyFont="1" applyBorder="1" applyAlignment="1" applyProtection="1">
      <alignment horizontal="centerContinuous"/>
      <protection locked="0"/>
    </xf>
    <xf numFmtId="0" fontId="55" fillId="0" borderId="0" xfId="0" applyFont="1" applyProtection="1">
      <protection locked="0"/>
    </xf>
    <xf numFmtId="0" fontId="56" fillId="0" borderId="0" xfId="71" applyFont="1" applyProtection="1">
      <protection locked="0"/>
    </xf>
    <xf numFmtId="43" fontId="67" fillId="0" borderId="0" xfId="71" applyNumberFormat="1" applyFont="1" applyAlignment="1" applyProtection="1">
      <alignment horizontal="center"/>
      <protection locked="0"/>
    </xf>
    <xf numFmtId="39" fontId="67" fillId="0" borderId="0" xfId="71" applyNumberFormat="1" applyFont="1" applyAlignment="1" applyProtection="1">
      <alignment horizontal="center"/>
      <protection locked="0"/>
    </xf>
    <xf numFmtId="41" fontId="67" fillId="0" borderId="0" xfId="56" applyNumberFormat="1" applyFont="1" applyFill="1" applyAlignment="1" applyProtection="1">
      <alignment horizontal="center"/>
      <protection locked="0"/>
    </xf>
    <xf numFmtId="39" fontId="67" fillId="0" borderId="0" xfId="253" applyNumberFormat="1" applyFont="1" applyAlignment="1" applyProtection="1">
      <alignment horizontal="center"/>
      <protection locked="0"/>
    </xf>
    <xf numFmtId="0" fontId="48" fillId="0" borderId="0" xfId="71" applyFont="1" applyProtection="1">
      <protection locked="0"/>
    </xf>
    <xf numFmtId="39" fontId="48" fillId="0" borderId="0" xfId="71" applyNumberFormat="1" applyFont="1" applyAlignment="1" applyProtection="1">
      <alignment horizontal="right"/>
      <protection locked="0"/>
    </xf>
    <xf numFmtId="39" fontId="48" fillId="0" borderId="0" xfId="71" applyNumberFormat="1" applyFont="1" applyAlignment="1" applyProtection="1">
      <alignment horizontal="center"/>
      <protection locked="0"/>
    </xf>
    <xf numFmtId="168" fontId="48" fillId="0" borderId="0" xfId="16" applyNumberFormat="1" applyFont="1" applyAlignment="1" applyProtection="1">
      <alignment horizontal="center"/>
      <protection locked="0"/>
    </xf>
    <xf numFmtId="0" fontId="48" fillId="0" borderId="0" xfId="71" applyFont="1" applyAlignment="1" applyProtection="1">
      <alignment horizontal="left"/>
      <protection locked="0"/>
    </xf>
    <xf numFmtId="0" fontId="48" fillId="0" borderId="0" xfId="71" quotePrefix="1" applyFont="1" applyAlignment="1" applyProtection="1">
      <alignment horizontal="left"/>
      <protection locked="0"/>
    </xf>
    <xf numFmtId="0" fontId="67" fillId="0" borderId="0" xfId="71" applyFont="1" applyFill="1" applyBorder="1" applyAlignment="1" applyProtection="1">
      <alignment horizontal="center"/>
      <protection locked="0"/>
    </xf>
    <xf numFmtId="0" fontId="67" fillId="0" borderId="0" xfId="281" applyFont="1" applyProtection="1">
      <protection locked="0"/>
    </xf>
    <xf numFmtId="167" fontId="67" fillId="0" borderId="0" xfId="56" applyNumberFormat="1" applyFont="1" applyFill="1" applyAlignment="1" applyProtection="1">
      <alignment horizontal="center"/>
      <protection locked="0"/>
    </xf>
    <xf numFmtId="0" fontId="67" fillId="0" borderId="0" xfId="71" applyFont="1" applyAlignment="1" applyProtection="1">
      <alignment horizontal="left" wrapText="1"/>
      <protection locked="0"/>
    </xf>
    <xf numFmtId="168" fontId="67" fillId="0" borderId="42" xfId="63" applyNumberFormat="1" applyFont="1" applyFill="1" applyBorder="1" applyAlignment="1" applyProtection="1">
      <alignment horizontal="center"/>
      <protection locked="0"/>
    </xf>
    <xf numFmtId="43" fontId="48" fillId="0" borderId="0" xfId="71" applyNumberFormat="1" applyFont="1" applyAlignment="1" applyProtection="1">
      <alignment horizontal="center"/>
      <protection locked="0"/>
    </xf>
    <xf numFmtId="1" fontId="48" fillId="0" borderId="0" xfId="71" applyNumberFormat="1" applyFont="1" applyAlignment="1" applyProtection="1">
      <alignment horizontal="center"/>
      <protection locked="0"/>
    </xf>
    <xf numFmtId="41" fontId="48" fillId="0" borderId="0" xfId="56" applyNumberFormat="1" applyFont="1" applyFill="1" applyAlignment="1" applyProtection="1">
      <alignment horizontal="center"/>
      <protection locked="0"/>
    </xf>
    <xf numFmtId="0" fontId="48" fillId="0" borderId="0" xfId="71" applyFont="1" applyAlignment="1" applyProtection="1">
      <alignment horizontal="center"/>
      <protection locked="0"/>
    </xf>
    <xf numFmtId="167" fontId="48" fillId="0" borderId="0" xfId="56" applyNumberFormat="1" applyFont="1" applyFill="1" applyAlignment="1" applyProtection="1">
      <alignment horizontal="center"/>
      <protection locked="0"/>
    </xf>
    <xf numFmtId="41" fontId="48" fillId="0" borderId="0" xfId="56" applyNumberFormat="1" applyFont="1" applyFill="1" applyBorder="1" applyAlignment="1" applyProtection="1">
      <protection locked="0"/>
    </xf>
    <xf numFmtId="41" fontId="67" fillId="0" borderId="0" xfId="63" applyNumberFormat="1" applyFont="1" applyFill="1" applyBorder="1" applyAlignment="1" applyProtection="1">
      <protection locked="0"/>
    </xf>
    <xf numFmtId="41" fontId="48" fillId="0" borderId="54" xfId="56" applyNumberFormat="1" applyFont="1" applyFill="1" applyBorder="1" applyAlignment="1" applyProtection="1">
      <protection locked="0"/>
    </xf>
    <xf numFmtId="41" fontId="48" fillId="0" borderId="0" xfId="63" applyNumberFormat="1" applyFont="1" applyFill="1" applyBorder="1" applyAlignment="1" applyProtection="1">
      <protection locked="0"/>
    </xf>
    <xf numFmtId="42" fontId="48" fillId="0" borderId="11" xfId="63" applyNumberFormat="1" applyFont="1" applyFill="1" applyBorder="1" applyAlignment="1" applyProtection="1">
      <protection locked="0"/>
    </xf>
    <xf numFmtId="168" fontId="67" fillId="0" borderId="0" xfId="63" applyNumberFormat="1" applyFont="1" applyFill="1" applyBorder="1" applyAlignment="1" applyProtection="1">
      <protection locked="0"/>
    </xf>
    <xf numFmtId="0" fontId="67" fillId="0" borderId="0" xfId="84" applyNumberFormat="1" applyFont="1" applyFill="1" applyBorder="1" applyAlignment="1" applyProtection="1">
      <protection locked="0"/>
    </xf>
    <xf numFmtId="10" fontId="67" fillId="0" borderId="0" xfId="133" applyNumberFormat="1" applyFont="1" applyFill="1" applyAlignment="1" applyProtection="1">
      <protection locked="0"/>
    </xf>
    <xf numFmtId="171" fontId="67" fillId="0" borderId="0" xfId="2" applyNumberFormat="1" applyFont="1" applyFill="1" applyAlignment="1" applyProtection="1">
      <protection locked="0"/>
    </xf>
    <xf numFmtId="10" fontId="67" fillId="0" borderId="0" xfId="44" applyNumberFormat="1" applyFont="1" applyFill="1" applyBorder="1" applyAlignment="1" applyProtection="1">
      <protection locked="0"/>
    </xf>
    <xf numFmtId="0" fontId="67" fillId="0" borderId="0" xfId="71" applyFont="1" applyFill="1" applyBorder="1" applyProtection="1">
      <protection locked="0"/>
    </xf>
    <xf numFmtId="0" fontId="82" fillId="0" borderId="0" xfId="0" quotePrefix="1" applyFont="1" applyFill="1" applyBorder="1" applyProtection="1">
      <protection locked="0"/>
    </xf>
    <xf numFmtId="10" fontId="67" fillId="0" borderId="0" xfId="84" applyNumberFormat="1" applyFont="1" applyFill="1" applyBorder="1" applyAlignment="1" applyProtection="1">
      <protection locked="0"/>
    </xf>
    <xf numFmtId="9" fontId="67" fillId="0" borderId="0" xfId="84" applyFont="1" applyFill="1" applyBorder="1" applyAlignment="1" applyProtection="1">
      <protection locked="0"/>
    </xf>
    <xf numFmtId="179" fontId="67" fillId="0" borderId="0" xfId="71" applyNumberFormat="1" applyFont="1" applyFill="1" applyAlignment="1" applyProtection="1">
      <protection locked="0"/>
    </xf>
    <xf numFmtId="0" fontId="67" fillId="0" borderId="0" xfId="71" applyFont="1" applyFill="1" applyAlignment="1" applyProtection="1">
      <protection locked="0"/>
    </xf>
    <xf numFmtId="9" fontId="67" fillId="0" borderId="0" xfId="84" applyFont="1" applyFill="1" applyAlignment="1" applyProtection="1">
      <protection locked="0"/>
    </xf>
    <xf numFmtId="0" fontId="67" fillId="0" borderId="0" xfId="84" applyNumberFormat="1" applyFont="1" applyFill="1" applyAlignment="1" applyProtection="1">
      <protection locked="0"/>
    </xf>
    <xf numFmtId="0" fontId="67" fillId="0" borderId="0" xfId="71" applyNumberFormat="1" applyFont="1" applyFill="1" applyAlignment="1" applyProtection="1">
      <alignment horizontal="center"/>
      <protection locked="0"/>
    </xf>
    <xf numFmtId="0" fontId="67" fillId="0" borderId="0" xfId="0" applyNumberFormat="1" applyFont="1" applyBorder="1" applyAlignment="1" applyProtection="1">
      <alignment horizontal="center"/>
      <protection locked="0"/>
    </xf>
    <xf numFmtId="0" fontId="67" fillId="0" borderId="0" xfId="43" applyNumberFormat="1" applyFont="1" applyFill="1" applyBorder="1" applyProtection="1">
      <protection locked="0"/>
    </xf>
    <xf numFmtId="41" fontId="67" fillId="0" borderId="0" xfId="0" applyNumberFormat="1" applyFont="1" applyAlignment="1" applyProtection="1">
      <alignment horizontal="right"/>
      <protection locked="0"/>
    </xf>
    <xf numFmtId="41" fontId="67" fillId="0" borderId="3" xfId="16" applyNumberFormat="1" applyFont="1" applyBorder="1" applyAlignment="1" applyProtection="1">
      <protection locked="0"/>
    </xf>
    <xf numFmtId="41" fontId="71" fillId="0" borderId="0" xfId="2" applyNumberFormat="1" applyFont="1" applyFill="1" applyAlignment="1" applyProtection="1">
      <alignment horizontal="centerContinuous"/>
      <protection locked="0"/>
    </xf>
    <xf numFmtId="41" fontId="67" fillId="0" borderId="7" xfId="16" applyNumberFormat="1" applyFont="1" applyBorder="1" applyAlignment="1" applyProtection="1">
      <protection locked="0"/>
    </xf>
    <xf numFmtId="41" fontId="67" fillId="0" borderId="7" xfId="2" applyNumberFormat="1" applyFont="1" applyBorder="1" applyAlignment="1" applyProtection="1">
      <alignment horizontal="right"/>
      <protection locked="0"/>
    </xf>
    <xf numFmtId="41" fontId="67" fillId="0" borderId="7" xfId="2" applyNumberFormat="1" applyFont="1" applyFill="1" applyBorder="1" applyAlignment="1" applyProtection="1">
      <alignment horizontal="right"/>
      <protection locked="0"/>
    </xf>
    <xf numFmtId="41" fontId="67" fillId="0" borderId="31" xfId="0" applyNumberFormat="1" applyFont="1" applyBorder="1" applyProtection="1">
      <protection locked="0"/>
    </xf>
    <xf numFmtId="41" fontId="78" fillId="3" borderId="0" xfId="0" applyNumberFormat="1" applyFont="1" applyFill="1" applyProtection="1">
      <protection locked="0"/>
    </xf>
    <xf numFmtId="0" fontId="68" fillId="2" borderId="0" xfId="0" applyFont="1" applyFill="1" applyAlignment="1" applyProtection="1">
      <alignment horizontal="left"/>
      <protection locked="0"/>
    </xf>
    <xf numFmtId="41" fontId="67" fillId="2" borderId="0" xfId="0" applyNumberFormat="1" applyFont="1" applyFill="1" applyProtection="1">
      <protection locked="0"/>
    </xf>
    <xf numFmtId="41" fontId="67" fillId="2" borderId="11" xfId="0" applyNumberFormat="1" applyFont="1" applyFill="1" applyBorder="1" applyProtection="1">
      <protection locked="0"/>
    </xf>
    <xf numFmtId="41" fontId="67" fillId="2" borderId="0" xfId="0" applyNumberFormat="1" applyFont="1" applyFill="1" applyBorder="1" applyProtection="1">
      <protection locked="0"/>
    </xf>
    <xf numFmtId="41" fontId="67" fillId="0" borderId="0" xfId="16" applyNumberFormat="1" applyFont="1" applyBorder="1" applyAlignment="1" applyProtection="1">
      <protection locked="0"/>
    </xf>
    <xf numFmtId="41" fontId="67" fillId="0" borderId="7" xfId="16" applyNumberFormat="1" applyFont="1" applyFill="1" applyBorder="1" applyAlignment="1" applyProtection="1">
      <alignment horizontal="right"/>
      <protection locked="0"/>
    </xf>
    <xf numFmtId="41" fontId="67" fillId="3" borderId="11" xfId="0" applyNumberFormat="1" applyFont="1" applyFill="1" applyBorder="1" applyProtection="1">
      <protection locked="0"/>
    </xf>
    <xf numFmtId="41" fontId="67" fillId="0" borderId="11" xfId="0" applyNumberFormat="1" applyFont="1" applyFill="1" applyBorder="1" applyProtection="1">
      <protection locked="0"/>
    </xf>
    <xf numFmtId="0" fontId="67" fillId="2" borderId="0" xfId="0" applyFont="1" applyFill="1" applyAlignment="1" applyProtection="1">
      <alignment horizontal="centerContinuous"/>
      <protection locked="0"/>
    </xf>
    <xf numFmtId="43" fontId="80" fillId="0" borderId="16" xfId="2" applyNumberFormat="1" applyFont="1" applyBorder="1" applyAlignment="1" applyProtection="1">
      <protection locked="0"/>
    </xf>
    <xf numFmtId="0" fontId="81" fillId="0" borderId="8" xfId="0" applyFont="1" applyBorder="1" applyAlignment="1" applyProtection="1">
      <alignment horizontal="center"/>
      <protection locked="0"/>
    </xf>
    <xf numFmtId="0" fontId="81" fillId="0" borderId="17" xfId="0" applyFont="1" applyBorder="1" applyAlignment="1" applyProtection="1">
      <alignment horizontal="center"/>
      <protection locked="0"/>
    </xf>
    <xf numFmtId="0" fontId="81" fillId="0" borderId="5" xfId="0" applyFont="1" applyBorder="1" applyAlignment="1" applyProtection="1">
      <alignment horizontal="center"/>
      <protection locked="0"/>
    </xf>
    <xf numFmtId="0" fontId="81" fillId="0" borderId="0" xfId="0" applyFont="1" applyBorder="1" applyAlignment="1" applyProtection="1">
      <alignment horizontal="center"/>
      <protection locked="0"/>
    </xf>
    <xf numFmtId="0" fontId="81" fillId="0" borderId="14" xfId="0" applyFont="1" applyBorder="1" applyAlignment="1" applyProtection="1">
      <alignment horizontal="center"/>
      <protection locked="0"/>
    </xf>
    <xf numFmtId="170" fontId="67" fillId="0" borderId="6" xfId="2" applyNumberFormat="1" applyFont="1" applyBorder="1" applyAlignment="1" applyProtection="1">
      <protection locked="0"/>
    </xf>
    <xf numFmtId="170" fontId="67" fillId="0" borderId="7" xfId="2" applyNumberFormat="1" applyFont="1" applyBorder="1" applyAlignment="1" applyProtection="1">
      <protection locked="0"/>
    </xf>
    <xf numFmtId="170" fontId="67" fillId="0" borderId="15" xfId="2" applyNumberFormat="1" applyFont="1" applyBorder="1" applyAlignment="1" applyProtection="1">
      <protection locked="0"/>
    </xf>
    <xf numFmtId="166" fontId="64" fillId="0" borderId="5" xfId="71" applyNumberFormat="1" applyFont="1" applyFill="1" applyBorder="1" applyProtection="1">
      <protection locked="0"/>
    </xf>
    <xf numFmtId="166" fontId="64" fillId="0" borderId="0" xfId="71" applyNumberFormat="1" applyFont="1" applyFill="1" applyProtection="1">
      <protection locked="0"/>
    </xf>
    <xf numFmtId="177" fontId="64" fillId="0" borderId="6" xfId="84" applyNumberFormat="1" applyFont="1" applyFill="1" applyBorder="1" applyProtection="1">
      <protection locked="0"/>
    </xf>
    <xf numFmtId="177" fontId="64" fillId="0" borderId="7" xfId="84" applyNumberFormat="1" applyFont="1" applyFill="1" applyBorder="1" applyProtection="1">
      <protection locked="0"/>
    </xf>
    <xf numFmtId="177" fontId="64" fillId="0" borderId="15" xfId="84" applyNumberFormat="1" applyFont="1" applyFill="1" applyBorder="1" applyProtection="1">
      <protection locked="0"/>
    </xf>
    <xf numFmtId="177" fontId="64" fillId="0" borderId="0" xfId="84" applyNumberFormat="1" applyFont="1" applyFill="1" applyProtection="1">
      <protection locked="0"/>
    </xf>
    <xf numFmtId="41" fontId="68" fillId="2" borderId="12" xfId="2" quotePrefix="1" applyFont="1" applyFill="1" applyBorder="1" applyAlignment="1" applyProtection="1">
      <alignment horizontal="center"/>
      <protection locked="0"/>
    </xf>
    <xf numFmtId="41" fontId="68" fillId="0" borderId="12" xfId="2" applyFont="1" applyBorder="1" applyAlignment="1" applyProtection="1">
      <protection locked="0"/>
    </xf>
    <xf numFmtId="0" fontId="68" fillId="0" borderId="0" xfId="0" applyNumberFormat="1" applyFont="1" applyAlignment="1" applyProtection="1">
      <alignment horizontal="center"/>
      <protection locked="0"/>
    </xf>
    <xf numFmtId="0" fontId="67" fillId="0" borderId="0" xfId="0" applyNumberFormat="1" applyFont="1" applyProtection="1">
      <protection locked="0"/>
    </xf>
    <xf numFmtId="0" fontId="67" fillId="0" borderId="7" xfId="0" applyFont="1" applyBorder="1" applyProtection="1">
      <protection locked="0"/>
    </xf>
    <xf numFmtId="0" fontId="68" fillId="2" borderId="0" xfId="0" quotePrefix="1" applyFont="1" applyFill="1" applyAlignment="1" applyProtection="1">
      <alignment horizontal="center"/>
      <protection locked="0"/>
    </xf>
    <xf numFmtId="3" fontId="68" fillId="2" borderId="0" xfId="0" quotePrefix="1" applyNumberFormat="1" applyFont="1" applyFill="1" applyAlignment="1" applyProtection="1">
      <alignment horizontal="center"/>
      <protection locked="0"/>
    </xf>
    <xf numFmtId="3" fontId="68" fillId="0" borderId="0" xfId="0" quotePrefix="1" applyNumberFormat="1" applyFont="1" applyAlignment="1" applyProtection="1">
      <alignment horizontal="center"/>
      <protection locked="0"/>
    </xf>
    <xf numFmtId="41" fontId="67" fillId="0" borderId="13" xfId="0" applyNumberFormat="1" applyFont="1" applyBorder="1" applyProtection="1">
      <protection locked="0"/>
    </xf>
    <xf numFmtId="41" fontId="78" fillId="0" borderId="0" xfId="0" applyNumberFormat="1" applyFont="1" applyBorder="1" applyProtection="1">
      <protection locked="0"/>
    </xf>
    <xf numFmtId="0" fontId="84" fillId="0" borderId="0" xfId="0" applyFont="1" applyFill="1" applyProtection="1">
      <protection locked="0"/>
    </xf>
    <xf numFmtId="165" fontId="68" fillId="0" borderId="0" xfId="0" applyNumberFormat="1" applyFont="1" applyFill="1" applyProtection="1">
      <protection locked="0"/>
    </xf>
    <xf numFmtId="49" fontId="68" fillId="0" borderId="0" xfId="0" applyNumberFormat="1" applyFont="1" applyProtection="1">
      <protection locked="0"/>
    </xf>
    <xf numFmtId="0" fontId="67" fillId="0" borderId="38" xfId="0" applyFont="1" applyFill="1" applyBorder="1" applyProtection="1">
      <protection locked="0"/>
    </xf>
    <xf numFmtId="183" fontId="67" fillId="0" borderId="37" xfId="44" applyNumberFormat="1" applyFont="1" applyBorder="1" applyProtection="1">
      <protection locked="0"/>
    </xf>
    <xf numFmtId="183" fontId="67" fillId="0" borderId="43" xfId="44" applyNumberFormat="1" applyFont="1" applyBorder="1" applyProtection="1">
      <protection locked="0"/>
    </xf>
    <xf numFmtId="49" fontId="68" fillId="0" borderId="1" xfId="0" applyNumberFormat="1" applyFont="1" applyBorder="1" applyProtection="1">
      <protection locked="0"/>
    </xf>
    <xf numFmtId="49" fontId="68" fillId="0" borderId="0" xfId="0" applyNumberFormat="1" applyFont="1" applyAlignment="1" applyProtection="1">
      <alignment horizontal="centerContinuous"/>
      <protection locked="0"/>
    </xf>
    <xf numFmtId="49" fontId="71" fillId="0" borderId="0" xfId="2" applyNumberFormat="1" applyFont="1" applyAlignment="1" applyProtection="1">
      <alignment horizontal="centerContinuous"/>
      <protection locked="0"/>
    </xf>
    <xf numFmtId="49" fontId="68" fillId="0" borderId="0" xfId="0" applyNumberFormat="1" applyFont="1" applyAlignment="1" applyProtection="1">
      <alignment horizontal="left"/>
      <protection locked="0"/>
    </xf>
    <xf numFmtId="49" fontId="67" fillId="0" borderId="0" xfId="0" applyNumberFormat="1" applyFont="1" applyAlignment="1" applyProtection="1">
      <alignment horizontal="right"/>
      <protection locked="0"/>
    </xf>
    <xf numFmtId="41" fontId="67" fillId="0" borderId="8" xfId="0" applyNumberFormat="1" applyFont="1" applyFill="1" applyBorder="1" applyProtection="1">
      <protection locked="0"/>
    </xf>
    <xf numFmtId="0" fontId="48" fillId="0" borderId="0" xfId="0" applyNumberFormat="1" applyFont="1" applyFill="1" applyBorder="1" applyAlignment="1" applyProtection="1">
      <alignment horizontal="left"/>
      <protection locked="0"/>
    </xf>
    <xf numFmtId="49" fontId="67" fillId="0" borderId="0" xfId="0" quotePrefix="1" applyNumberFormat="1" applyFont="1" applyAlignment="1" applyProtection="1">
      <alignment horizontal="left"/>
      <protection locked="0"/>
    </xf>
    <xf numFmtId="9" fontId="67" fillId="0" borderId="0" xfId="44" quotePrefix="1" applyFont="1" applyAlignment="1" applyProtection="1">
      <alignment horizontal="center"/>
      <protection locked="0"/>
    </xf>
    <xf numFmtId="9" fontId="67" fillId="0" borderId="0" xfId="44" applyFont="1" applyBorder="1" applyProtection="1">
      <protection locked="0"/>
    </xf>
    <xf numFmtId="0" fontId="67" fillId="0" borderId="0" xfId="0" applyFont="1" applyAlignment="1" applyProtection="1">
      <alignment horizontal="center"/>
      <protection locked="0"/>
    </xf>
    <xf numFmtId="167" fontId="0" fillId="3" borderId="0" xfId="2" applyNumberFormat="1" applyFont="1" applyFill="1" applyAlignment="1"/>
    <xf numFmtId="0" fontId="0" fillId="0" borderId="0" xfId="0" applyFill="1" applyAlignment="1" applyProtection="1">
      <protection locked="0"/>
    </xf>
    <xf numFmtId="0" fontId="67" fillId="0" borderId="0" xfId="0" applyFont="1" applyFill="1" applyAlignment="1" applyProtection="1">
      <alignment wrapText="1"/>
      <protection locked="0"/>
    </xf>
    <xf numFmtId="0" fontId="67" fillId="0" borderId="0" xfId="0" applyFont="1" applyFill="1" applyAlignment="1" applyProtection="1">
      <alignment horizontal="center"/>
      <protection locked="0"/>
    </xf>
    <xf numFmtId="0" fontId="68" fillId="0" borderId="0" xfId="0" applyFont="1" applyFill="1" applyBorder="1" applyAlignment="1" applyProtection="1">
      <alignment horizontal="left"/>
      <protection locked="0"/>
    </xf>
    <xf numFmtId="41" fontId="68" fillId="0" borderId="54" xfId="0" applyNumberFormat="1" applyFont="1" applyFill="1" applyBorder="1" applyProtection="1">
      <protection locked="0"/>
    </xf>
    <xf numFmtId="49" fontId="67" fillId="0" borderId="0" xfId="0" applyNumberFormat="1" applyFont="1" applyFill="1" applyAlignment="1" applyProtection="1">
      <alignment horizontal="left" indent="5"/>
      <protection locked="0"/>
    </xf>
    <xf numFmtId="49" fontId="68" fillId="0" borderId="0" xfId="0" applyNumberFormat="1" applyFont="1" applyFill="1" applyAlignment="1" applyProtection="1">
      <alignment horizontal="left" indent="3"/>
      <protection locked="0"/>
    </xf>
    <xf numFmtId="41" fontId="67" fillId="0" borderId="68" xfId="0" applyNumberFormat="1" applyFont="1" applyFill="1" applyBorder="1" applyProtection="1">
      <protection locked="0"/>
    </xf>
    <xf numFmtId="41" fontId="67" fillId="0" borderId="0" xfId="421" quotePrefix="1" applyNumberFormat="1" applyFont="1" applyFill="1" applyAlignment="1" applyProtection="1">
      <alignment horizontal="right"/>
      <protection locked="0"/>
    </xf>
    <xf numFmtId="37" fontId="68" fillId="0" borderId="54" xfId="0" applyNumberFormat="1" applyFont="1" applyFill="1" applyBorder="1" applyProtection="1">
      <protection locked="0"/>
    </xf>
    <xf numFmtId="37" fontId="68" fillId="0" borderId="67" xfId="0" applyNumberFormat="1" applyFont="1" applyFill="1" applyBorder="1" applyProtection="1">
      <protection locked="0"/>
    </xf>
    <xf numFmtId="169" fontId="68" fillId="0" borderId="0" xfId="2" applyNumberFormat="1" applyFont="1" applyFill="1" applyAlignment="1" applyProtection="1">
      <protection locked="0"/>
    </xf>
    <xf numFmtId="0" fontId="67" fillId="0" borderId="0" xfId="0" applyFont="1" applyProtection="1">
      <protection locked="0"/>
    </xf>
    <xf numFmtId="0" fontId="68" fillId="0" borderId="0" xfId="0" applyFont="1" applyProtection="1">
      <protection locked="0"/>
    </xf>
    <xf numFmtId="0" fontId="68" fillId="0" borderId="0" xfId="0" quotePrefix="1" applyFont="1" applyAlignment="1" applyProtection="1">
      <alignment horizontal="left"/>
      <protection locked="0"/>
    </xf>
    <xf numFmtId="0" fontId="68" fillId="0" borderId="0" xfId="0" quotePrefix="1" applyFont="1" applyAlignment="1" applyProtection="1">
      <alignment horizontal="right"/>
      <protection locked="0"/>
    </xf>
    <xf numFmtId="0" fontId="67" fillId="0" borderId="0" xfId="0" applyFont="1" applyFill="1" applyAlignment="1" applyProtection="1">
      <alignment horizontal="center"/>
      <protection locked="0"/>
    </xf>
    <xf numFmtId="0" fontId="67" fillId="0" borderId="0" xfId="0" applyFont="1" applyAlignment="1" applyProtection="1">
      <alignment horizontal="center"/>
      <protection locked="0"/>
    </xf>
    <xf numFmtId="41" fontId="89" fillId="0" borderId="24" xfId="0" applyNumberFormat="1" applyFont="1" applyBorder="1" applyProtection="1">
      <protection locked="0"/>
    </xf>
    <xf numFmtId="41" fontId="89" fillId="0" borderId="27" xfId="0" applyNumberFormat="1" applyFont="1" applyBorder="1" applyProtection="1">
      <protection locked="0"/>
    </xf>
    <xf numFmtId="41" fontId="89" fillId="0" borderId="30" xfId="0" applyNumberFormat="1" applyFont="1" applyBorder="1" applyProtection="1">
      <protection locked="0"/>
    </xf>
    <xf numFmtId="41" fontId="8" fillId="0" borderId="0" xfId="427" applyNumberFormat="1" applyFill="1" applyAlignment="1">
      <alignment horizontal="right"/>
    </xf>
    <xf numFmtId="41" fontId="83" fillId="0" borderId="11" xfId="427" applyNumberFormat="1" applyFont="1" applyFill="1" applyBorder="1"/>
    <xf numFmtId="0" fontId="83" fillId="0" borderId="0" xfId="427" applyFont="1" applyFill="1" applyAlignment="1">
      <alignment horizontal="centerContinuous"/>
    </xf>
    <xf numFmtId="41" fontId="68" fillId="0" borderId="0" xfId="421" applyNumberFormat="1" applyFont="1" applyFill="1"/>
    <xf numFmtId="41" fontId="67" fillId="0" borderId="0" xfId="421" applyNumberFormat="1" applyFont="1" applyFill="1"/>
    <xf numFmtId="41" fontId="68" fillId="0" borderId="0" xfId="421" applyNumberFormat="1" applyFont="1" applyFill="1" applyAlignment="1">
      <alignment horizontal="right"/>
    </xf>
    <xf numFmtId="37" fontId="70" fillId="0" borderId="0" xfId="421" applyNumberFormat="1" applyFont="1" applyFill="1"/>
    <xf numFmtId="37" fontId="68" fillId="0" borderId="0" xfId="421" applyNumberFormat="1" applyFont="1" applyFill="1"/>
    <xf numFmtId="41" fontId="68" fillId="0" borderId="0" xfId="421" quotePrefix="1" applyNumberFormat="1" applyFont="1" applyFill="1" applyAlignment="1">
      <alignment horizontal="right"/>
    </xf>
    <xf numFmtId="41" fontId="67" fillId="0" borderId="0" xfId="421" applyNumberFormat="1" applyFont="1" applyFill="1" applyAlignment="1">
      <alignment wrapText="1"/>
    </xf>
    <xf numFmtId="41" fontId="68" fillId="0" borderId="0" xfId="421" applyNumberFormat="1" applyFont="1" applyFill="1" applyAlignment="1">
      <alignment horizontal="justify" wrapText="1"/>
    </xf>
    <xf numFmtId="41" fontId="68" fillId="0" borderId="0" xfId="421" quotePrefix="1" applyNumberFormat="1" applyFont="1" applyFill="1" applyAlignment="1">
      <alignment horizontal="left"/>
    </xf>
    <xf numFmtId="41" fontId="74" fillId="0" borderId="0" xfId="421" applyNumberFormat="1" applyFont="1" applyFill="1" applyProtection="1">
      <protection locked="0"/>
    </xf>
    <xf numFmtId="41" fontId="68" fillId="0" borderId="1" xfId="421" applyNumberFormat="1" applyFont="1" applyFill="1" applyBorder="1"/>
    <xf numFmtId="41" fontId="68" fillId="0" borderId="0" xfId="421" applyNumberFormat="1" applyFont="1" applyFill="1" applyAlignment="1">
      <alignment horizontal="center"/>
    </xf>
    <xf numFmtId="49" fontId="68" fillId="0" borderId="0" xfId="421" applyNumberFormat="1" applyFont="1" applyFill="1" applyAlignment="1">
      <alignment horizontal="center"/>
    </xf>
    <xf numFmtId="41" fontId="68" fillId="0" borderId="0" xfId="421" quotePrefix="1" applyNumberFormat="1" applyFont="1" applyFill="1" applyAlignment="1">
      <alignment horizontal="center"/>
    </xf>
    <xf numFmtId="173" fontId="68" fillId="0" borderId="0" xfId="421" applyNumberFormat="1" applyFont="1" applyFill="1" applyAlignment="1">
      <alignment horizontal="center"/>
    </xf>
    <xf numFmtId="41" fontId="67" fillId="0" borderId="0" xfId="421" applyNumberFormat="1" applyFont="1" applyFill="1" applyAlignment="1">
      <alignment horizontal="center"/>
    </xf>
    <xf numFmtId="41" fontId="68" fillId="0" borderId="12" xfId="418" applyNumberFormat="1" applyFont="1" applyFill="1" applyBorder="1" applyAlignment="1">
      <alignment horizontal="left"/>
    </xf>
    <xf numFmtId="17" fontId="58" fillId="0" borderId="12" xfId="421" applyNumberFormat="1" applyFont="1" applyFill="1" applyBorder="1" applyAlignment="1">
      <alignment horizontal="center"/>
    </xf>
    <xf numFmtId="1" fontId="67" fillId="0" borderId="0" xfId="421" applyNumberFormat="1" applyFont="1" applyFill="1" applyAlignment="1">
      <alignment horizontal="center"/>
    </xf>
    <xf numFmtId="41" fontId="67" fillId="0" borderId="0" xfId="418" applyNumberFormat="1" applyFont="1" applyFill="1" applyAlignment="1"/>
    <xf numFmtId="41" fontId="67" fillId="0" borderId="0" xfId="421" applyNumberFormat="1" applyFont="1" applyFill="1" applyAlignment="1">
      <alignment horizontal="right"/>
    </xf>
    <xf numFmtId="10" fontId="67" fillId="0" borderId="0" xfId="419" applyNumberFormat="1" applyFont="1" applyFill="1" applyAlignment="1">
      <alignment horizontal="right"/>
    </xf>
    <xf numFmtId="41" fontId="67" fillId="0" borderId="0" xfId="421" quotePrefix="1" applyNumberFormat="1" applyFont="1" applyFill="1"/>
    <xf numFmtId="167" fontId="67" fillId="0" borderId="0" xfId="421" applyNumberFormat="1" applyFont="1" applyFill="1"/>
    <xf numFmtId="1" fontId="67" fillId="0" borderId="0" xfId="0" applyNumberFormat="1" applyFont="1" applyFill="1" applyAlignment="1">
      <alignment horizontal="center"/>
    </xf>
    <xf numFmtId="41" fontId="67" fillId="0" borderId="0" xfId="0" applyNumberFormat="1" applyFont="1" applyFill="1" applyAlignment="1">
      <alignment horizontal="right"/>
    </xf>
    <xf numFmtId="10" fontId="67" fillId="0" borderId="0" xfId="44" applyNumberFormat="1" applyFont="1" applyFill="1" applyAlignment="1">
      <alignment horizontal="right"/>
    </xf>
    <xf numFmtId="41" fontId="67" fillId="0" borderId="0" xfId="421" quotePrefix="1" applyNumberFormat="1" applyFont="1" applyFill="1" applyAlignment="1">
      <alignment horizontal="left"/>
    </xf>
    <xf numFmtId="41" fontId="67" fillId="0" borderId="0" xfId="43" applyNumberFormat="1" applyFont="1" applyFill="1"/>
    <xf numFmtId="41" fontId="67" fillId="0" borderId="0" xfId="421" quotePrefix="1" applyNumberFormat="1" applyFont="1" applyFill="1" applyAlignment="1">
      <alignment horizontal="right"/>
    </xf>
    <xf numFmtId="0" fontId="48" fillId="0" borderId="0" xfId="421" applyFont="1" applyFill="1" applyAlignment="1">
      <alignment horizontal="center" vertical="top"/>
    </xf>
    <xf numFmtId="0" fontId="92" fillId="0" borderId="0" xfId="421" applyFont="1" applyFill="1"/>
    <xf numFmtId="43" fontId="48" fillId="0" borderId="0" xfId="418" applyFont="1" applyFill="1" applyAlignment="1"/>
    <xf numFmtId="43" fontId="38" fillId="0" borderId="0" xfId="418" applyFont="1" applyFill="1" applyAlignment="1"/>
    <xf numFmtId="10" fontId="38" fillId="0" borderId="0" xfId="421" applyNumberFormat="1" applyFont="1" applyFill="1"/>
    <xf numFmtId="0" fontId="37" fillId="0" borderId="0" xfId="421" applyFont="1" applyFill="1" applyAlignment="1">
      <alignment horizontal="centerContinuous"/>
    </xf>
    <xf numFmtId="0" fontId="37" fillId="0" borderId="0" xfId="421" quotePrefix="1" applyFont="1" applyFill="1" applyAlignment="1">
      <alignment horizontal="left"/>
    </xf>
    <xf numFmtId="0" fontId="38" fillId="0" borderId="0" xfId="421" applyFont="1" applyFill="1"/>
    <xf numFmtId="0" fontId="64" fillId="0" borderId="0" xfId="421" quotePrefix="1" applyFont="1" applyFill="1" applyAlignment="1">
      <alignment horizontal="left" indent="1"/>
    </xf>
    <xf numFmtId="41" fontId="93" fillId="0" borderId="0" xfId="421" applyNumberFormat="1" applyFont="1" applyFill="1"/>
    <xf numFmtId="0" fontId="48" fillId="0" borderId="0" xfId="421" applyFont="1" applyFill="1"/>
    <xf numFmtId="0" fontId="93" fillId="0" borderId="0" xfId="421" quotePrefix="1" applyFont="1" applyFill="1" applyAlignment="1">
      <alignment horizontal="left" indent="1"/>
    </xf>
    <xf numFmtId="0" fontId="93" fillId="0" borderId="0" xfId="421" applyFont="1" applyFill="1" applyAlignment="1">
      <alignment horizontal="right"/>
    </xf>
    <xf numFmtId="41" fontId="93" fillId="0" borderId="67" xfId="421" applyNumberFormat="1" applyFont="1" applyFill="1" applyBorder="1"/>
    <xf numFmtId="41" fontId="72" fillId="0" borderId="0" xfId="421" applyNumberFormat="1" applyFont="1" applyFill="1" applyProtection="1">
      <protection locked="0"/>
    </xf>
    <xf numFmtId="0" fontId="68" fillId="0" borderId="0" xfId="417" applyFont="1" applyFill="1"/>
    <xf numFmtId="37" fontId="68" fillId="0" borderId="0" xfId="417" applyNumberFormat="1" applyFont="1" applyFill="1"/>
    <xf numFmtId="0" fontId="67" fillId="0" borderId="0" xfId="417" applyFont="1" applyFill="1"/>
    <xf numFmtId="0" fontId="68" fillId="0" borderId="0" xfId="417" applyFont="1" applyFill="1" applyAlignment="1">
      <alignment horizontal="right" indent="2"/>
    </xf>
    <xf numFmtId="37" fontId="70" fillId="0" borderId="0" xfId="417" applyNumberFormat="1" applyFont="1" applyFill="1"/>
    <xf numFmtId="37" fontId="68" fillId="0" borderId="0" xfId="417" applyNumberFormat="1" applyFont="1" applyFill="1" applyAlignment="1">
      <alignment horizontal="right"/>
    </xf>
    <xf numFmtId="0" fontId="68" fillId="0" borderId="0" xfId="417" quotePrefix="1" applyFont="1" applyFill="1" applyAlignment="1">
      <alignment horizontal="right" indent="2"/>
    </xf>
    <xf numFmtId="0" fontId="68" fillId="0" borderId="1" xfId="417" applyFont="1" applyFill="1" applyBorder="1"/>
    <xf numFmtId="37" fontId="68" fillId="0" borderId="1" xfId="417" applyNumberFormat="1" applyFont="1" applyFill="1" applyBorder="1"/>
    <xf numFmtId="0" fontId="68" fillId="0" borderId="0" xfId="417" applyFont="1" applyFill="1" applyAlignment="1">
      <alignment horizontal="center"/>
    </xf>
    <xf numFmtId="0" fontId="68" fillId="0" borderId="0" xfId="417" applyFont="1" applyFill="1" applyAlignment="1">
      <alignment horizontal="centerContinuous"/>
    </xf>
    <xf numFmtId="49" fontId="68" fillId="0" borderId="0" xfId="417" applyNumberFormat="1" applyFont="1" applyFill="1" applyAlignment="1">
      <alignment horizontal="centerContinuous"/>
    </xf>
    <xf numFmtId="37" fontId="68" fillId="0" borderId="0" xfId="417" applyNumberFormat="1" applyFont="1" applyFill="1" applyAlignment="1">
      <alignment horizontal="center"/>
    </xf>
    <xf numFmtId="37" fontId="68" fillId="0" borderId="0" xfId="417" quotePrefix="1" applyNumberFormat="1" applyFont="1" applyFill="1" applyAlignment="1">
      <alignment horizontal="center"/>
    </xf>
    <xf numFmtId="0" fontId="67" fillId="0" borderId="0" xfId="417" applyFont="1" applyFill="1" applyAlignment="1">
      <alignment horizontal="center"/>
    </xf>
    <xf numFmtId="173" fontId="68" fillId="0" borderId="0" xfId="417" applyNumberFormat="1" applyFont="1" applyFill="1" applyAlignment="1">
      <alignment horizontal="center"/>
    </xf>
    <xf numFmtId="0" fontId="67" fillId="0" borderId="0" xfId="417" quotePrefix="1" applyFont="1" applyFill="1" applyAlignment="1">
      <alignment horizontal="center"/>
    </xf>
    <xf numFmtId="43" fontId="67" fillId="0" borderId="12" xfId="418" applyFont="1" applyFill="1" applyBorder="1" applyAlignment="1">
      <alignment horizontal="centerContinuous"/>
    </xf>
    <xf numFmtId="43" fontId="68" fillId="0" borderId="12" xfId="418" applyFont="1" applyFill="1" applyBorder="1" applyAlignment="1"/>
    <xf numFmtId="0" fontId="67" fillId="0" borderId="0" xfId="417" applyFont="1" applyFill="1" applyAlignment="1">
      <alignment horizontal="centerContinuous"/>
    </xf>
    <xf numFmtId="41" fontId="67" fillId="0" borderId="0" xfId="417" applyNumberFormat="1" applyFont="1" applyFill="1"/>
    <xf numFmtId="41" fontId="67" fillId="0" borderId="0" xfId="417" applyNumberFormat="1" applyFont="1" applyFill="1" applyAlignment="1">
      <alignment horizontal="centerContinuous"/>
    </xf>
    <xf numFmtId="1" fontId="68" fillId="0" borderId="0" xfId="417" applyNumberFormat="1" applyFont="1" applyFill="1" applyAlignment="1">
      <alignment horizontal="centerContinuous"/>
    </xf>
    <xf numFmtId="1" fontId="68" fillId="0" borderId="0" xfId="417" applyNumberFormat="1" applyFont="1" applyFill="1"/>
    <xf numFmtId="1" fontId="67" fillId="0" borderId="0" xfId="417" applyNumberFormat="1" applyFont="1" applyFill="1"/>
    <xf numFmtId="1" fontId="67" fillId="0" borderId="0" xfId="417" applyNumberFormat="1" applyFont="1" applyFill="1" applyAlignment="1">
      <alignment horizontal="centerContinuous"/>
    </xf>
    <xf numFmtId="41" fontId="67" fillId="0" borderId="0" xfId="417" applyNumberFormat="1" applyFont="1" applyFill="1" applyAlignment="1">
      <alignment horizontal="right"/>
    </xf>
    <xf numFmtId="1" fontId="67" fillId="0" borderId="0" xfId="417" quotePrefix="1" applyNumberFormat="1" applyFont="1" applyFill="1"/>
    <xf numFmtId="0" fontId="67" fillId="0" borderId="0" xfId="417" quotePrefix="1" applyFont="1" applyFill="1"/>
    <xf numFmtId="0" fontId="48" fillId="0" borderId="0" xfId="417" applyFont="1" applyFill="1" applyAlignment="1">
      <alignment horizontal="centerContinuous"/>
    </xf>
    <xf numFmtId="0" fontId="92" fillId="0" borderId="0" xfId="417" applyFont="1" applyFill="1"/>
    <xf numFmtId="0" fontId="48" fillId="0" borderId="0" xfId="417" applyFont="1" applyFill="1"/>
    <xf numFmtId="0" fontId="38" fillId="0" borderId="0" xfId="417" applyFont="1" applyFill="1"/>
    <xf numFmtId="0" fontId="93" fillId="0" borderId="0" xfId="417" applyFont="1" applyFill="1" applyAlignment="1">
      <alignment horizontal="left" indent="1"/>
    </xf>
    <xf numFmtId="0" fontId="93" fillId="0" borderId="0" xfId="417" applyFont="1" applyFill="1" applyAlignment="1">
      <alignment horizontal="right"/>
    </xf>
    <xf numFmtId="41" fontId="93" fillId="0" borderId="67" xfId="417" applyNumberFormat="1" applyFont="1" applyFill="1" applyBorder="1"/>
    <xf numFmtId="0" fontId="72" fillId="0" borderId="0" xfId="417" applyFont="1" applyFill="1" applyProtection="1">
      <protection locked="0"/>
    </xf>
    <xf numFmtId="0" fontId="73" fillId="0" borderId="19" xfId="0" applyFont="1" applyFill="1" applyBorder="1" applyProtection="1">
      <protection locked="0"/>
    </xf>
    <xf numFmtId="0" fontId="73" fillId="0" borderId="40" xfId="0" applyFont="1" applyFill="1" applyBorder="1" applyProtection="1">
      <protection locked="0"/>
    </xf>
    <xf numFmtId="167" fontId="73" fillId="0" borderId="20" xfId="0" applyNumberFormat="1" applyFont="1" applyFill="1" applyBorder="1" applyProtection="1">
      <protection locked="0"/>
    </xf>
    <xf numFmtId="0" fontId="67" fillId="0" borderId="0" xfId="0" applyFont="1" applyFill="1" applyAlignment="1" applyProtection="1">
      <alignment horizontal="center" wrapText="1"/>
      <protection locked="0"/>
    </xf>
    <xf numFmtId="1" fontId="67" fillId="0" borderId="0" xfId="0" applyNumberFormat="1" applyFont="1" applyFill="1" applyProtection="1">
      <protection locked="0"/>
    </xf>
    <xf numFmtId="0" fontId="85" fillId="0" borderId="0" xfId="0" applyFont="1" applyFill="1" applyProtection="1">
      <protection locked="0"/>
    </xf>
    <xf numFmtId="167" fontId="67" fillId="0" borderId="0" xfId="0" quotePrefix="1" applyNumberFormat="1" applyFont="1" applyFill="1" applyProtection="1">
      <protection locked="0"/>
    </xf>
    <xf numFmtId="41" fontId="73" fillId="0" borderId="19" xfId="2" applyFont="1" applyFill="1" applyBorder="1" applyAlignment="1" applyProtection="1">
      <protection locked="0"/>
    </xf>
    <xf numFmtId="41" fontId="73" fillId="0" borderId="40" xfId="2" applyFont="1" applyFill="1" applyBorder="1" applyAlignment="1" applyProtection="1">
      <protection locked="0"/>
    </xf>
    <xf numFmtId="41" fontId="73" fillId="0" borderId="20" xfId="2" applyFont="1" applyFill="1" applyBorder="1" applyAlignment="1" applyProtection="1">
      <protection locked="0"/>
    </xf>
    <xf numFmtId="0" fontId="67" fillId="0" borderId="39" xfId="0" applyFont="1" applyFill="1" applyBorder="1" applyAlignment="1" applyProtection="1">
      <alignment horizontal="center"/>
      <protection locked="0"/>
    </xf>
    <xf numFmtId="168" fontId="62" fillId="0" borderId="39" xfId="16" applyNumberFormat="1" applyFont="1" applyFill="1" applyBorder="1" applyAlignment="1" applyProtection="1">
      <alignment horizontal="center"/>
      <protection locked="0"/>
    </xf>
    <xf numFmtId="0" fontId="67" fillId="0" borderId="39" xfId="0" applyFont="1" applyFill="1" applyBorder="1" applyProtection="1">
      <protection locked="0"/>
    </xf>
    <xf numFmtId="10" fontId="67" fillId="0" borderId="39" xfId="44" applyNumberFormat="1" applyFont="1" applyFill="1" applyBorder="1" applyProtection="1">
      <protection locked="0"/>
    </xf>
    <xf numFmtId="170" fontId="67" fillId="0" borderId="39" xfId="253" applyNumberFormat="1" applyFont="1" applyFill="1" applyBorder="1" applyAlignment="1" applyProtection="1">
      <protection locked="0"/>
    </xf>
    <xf numFmtId="0" fontId="68" fillId="0" borderId="68" xfId="0" applyFont="1" applyFill="1" applyBorder="1" applyProtection="1">
      <protection locked="0"/>
    </xf>
    <xf numFmtId="0" fontId="67" fillId="0" borderId="68" xfId="0" applyFont="1" applyFill="1" applyBorder="1" applyProtection="1">
      <protection locked="0"/>
    </xf>
    <xf numFmtId="0" fontId="114" fillId="0" borderId="0" xfId="0" applyFont="1" applyFill="1" applyAlignment="1" applyProtection="1">
      <alignment horizontal="center"/>
      <protection locked="0"/>
    </xf>
    <xf numFmtId="167" fontId="115" fillId="0" borderId="0" xfId="2" applyNumberFormat="1" applyFont="1" applyFill="1" applyAlignment="1" applyProtection="1">
      <protection locked="0"/>
    </xf>
    <xf numFmtId="3" fontId="67" fillId="0" borderId="0" xfId="16" applyNumberFormat="1" applyFont="1" applyFill="1" applyAlignment="1" applyProtection="1">
      <protection locked="0"/>
    </xf>
    <xf numFmtId="37" fontId="67" fillId="0" borderId="10" xfId="16" applyNumberFormat="1" applyFont="1" applyFill="1" applyBorder="1" applyAlignment="1" applyProtection="1">
      <protection locked="0"/>
    </xf>
    <xf numFmtId="0" fontId="8" fillId="49" borderId="0" xfId="427" applyFill="1"/>
    <xf numFmtId="0" fontId="94" fillId="6" borderId="0" xfId="427" applyFont="1" applyFill="1"/>
    <xf numFmtId="0" fontId="94" fillId="6" borderId="0" xfId="427" applyFont="1" applyFill="1" applyAlignment="1">
      <alignment horizontal="center"/>
    </xf>
    <xf numFmtId="41" fontId="94" fillId="6" borderId="0" xfId="427" applyNumberFormat="1" applyFont="1" applyFill="1" applyAlignment="1">
      <alignment horizontal="center"/>
    </xf>
    <xf numFmtId="41" fontId="94" fillId="6" borderId="0" xfId="427" applyNumberFormat="1" applyFont="1" applyFill="1"/>
    <xf numFmtId="41" fontId="8" fillId="3" borderId="0" xfId="427" applyNumberFormat="1" applyFill="1"/>
    <xf numFmtId="0" fontId="8" fillId="6" borderId="0" xfId="427" applyFill="1"/>
    <xf numFmtId="0" fontId="8" fillId="6" borderId="0" xfId="427" applyFill="1" applyAlignment="1">
      <alignment horizontal="center"/>
    </xf>
    <xf numFmtId="41" fontId="8" fillId="6" borderId="0" xfId="427" applyNumberFormat="1" applyFill="1" applyAlignment="1">
      <alignment horizontal="center"/>
    </xf>
    <xf numFmtId="41" fontId="8" fillId="6" borderId="0" xfId="427" applyNumberFormat="1" applyFill="1"/>
    <xf numFmtId="41" fontId="94" fillId="3" borderId="0" xfId="427" applyNumberFormat="1" applyFont="1" applyFill="1"/>
    <xf numFmtId="0" fontId="117" fillId="50" borderId="0" xfId="427" applyFont="1" applyFill="1" applyAlignment="1">
      <alignment horizontal="centerContinuous"/>
    </xf>
    <xf numFmtId="0" fontId="118" fillId="50" borderId="0" xfId="427" applyFont="1" applyFill="1" applyAlignment="1">
      <alignment horizontal="center"/>
    </xf>
    <xf numFmtId="0" fontId="118" fillId="50" borderId="0" xfId="427" applyFont="1" applyFill="1" applyAlignment="1">
      <alignment horizontal="left"/>
    </xf>
    <xf numFmtId="0" fontId="118" fillId="50" borderId="0" xfId="427" applyFont="1" applyFill="1"/>
    <xf numFmtId="43" fontId="118" fillId="50" borderId="0" xfId="427" applyNumberFormat="1" applyFont="1" applyFill="1"/>
    <xf numFmtId="0" fontId="119" fillId="50" borderId="0" xfId="427" applyFont="1" applyFill="1" applyAlignment="1">
      <alignment horizontal="centerContinuous"/>
    </xf>
    <xf numFmtId="43" fontId="119" fillId="50" borderId="0" xfId="427" applyNumberFormat="1" applyFont="1" applyFill="1" applyAlignment="1">
      <alignment horizontal="centerContinuous"/>
    </xf>
    <xf numFmtId="0" fontId="118" fillId="50" borderId="54" xfId="427" applyFont="1" applyFill="1" applyBorder="1" applyAlignment="1">
      <alignment horizontal="center" wrapText="1"/>
    </xf>
    <xf numFmtId="0" fontId="118" fillId="50" borderId="54" xfId="427" applyFont="1" applyFill="1" applyBorder="1" applyAlignment="1">
      <alignment horizontal="center"/>
    </xf>
    <xf numFmtId="43" fontId="118" fillId="50" borderId="54" xfId="427" applyNumberFormat="1" applyFont="1" applyFill="1" applyBorder="1" applyAlignment="1">
      <alignment horizontal="center" wrapText="1"/>
    </xf>
    <xf numFmtId="41" fontId="118" fillId="50" borderId="0" xfId="427" applyNumberFormat="1" applyFont="1" applyFill="1" applyAlignment="1">
      <alignment horizontal="center"/>
    </xf>
    <xf numFmtId="42" fontId="118" fillId="50" borderId="0" xfId="16" applyFont="1" applyFill="1" applyAlignment="1"/>
    <xf numFmtId="42" fontId="120" fillId="50" borderId="0" xfId="16" applyFont="1" applyFill="1" applyAlignment="1"/>
    <xf numFmtId="42" fontId="118" fillId="48" borderId="0" xfId="16" applyFont="1" applyFill="1" applyAlignment="1"/>
    <xf numFmtId="0" fontId="118" fillId="48" borderId="0" xfId="427" applyFont="1" applyFill="1"/>
    <xf numFmtId="0" fontId="119" fillId="50" borderId="0" xfId="427" applyFont="1" applyFill="1" applyAlignment="1">
      <alignment horizontal="center"/>
    </xf>
    <xf numFmtId="0" fontId="119" fillId="50" borderId="0" xfId="427" applyFont="1" applyFill="1"/>
    <xf numFmtId="41" fontId="118" fillId="50" borderId="0" xfId="427" applyNumberFormat="1" applyFont="1" applyFill="1" applyBorder="1"/>
    <xf numFmtId="41" fontId="118" fillId="50" borderId="67" xfId="427" applyNumberFormat="1" applyFont="1" applyFill="1" applyBorder="1"/>
    <xf numFmtId="0" fontId="68" fillId="0" borderId="0" xfId="0" applyFont="1" applyFill="1" applyAlignment="1" applyProtection="1">
      <alignment horizontal="left" wrapText="1"/>
      <protection locked="0"/>
    </xf>
    <xf numFmtId="0" fontId="68" fillId="3" borderId="19" xfId="0" applyFont="1" applyFill="1" applyBorder="1" applyAlignment="1" applyProtection="1">
      <alignment horizontal="center"/>
      <protection locked="0"/>
    </xf>
    <xf numFmtId="0" fontId="68" fillId="3" borderId="40" xfId="0" applyFont="1" applyFill="1" applyBorder="1" applyAlignment="1" applyProtection="1">
      <alignment horizontal="center"/>
      <protection locked="0"/>
    </xf>
    <xf numFmtId="0" fontId="68" fillId="3" borderId="20" xfId="0" applyFont="1" applyFill="1" applyBorder="1" applyAlignment="1" applyProtection="1">
      <alignment horizontal="center"/>
      <protection locked="0"/>
    </xf>
    <xf numFmtId="0" fontId="68" fillId="0" borderId="0" xfId="0" quotePrefix="1" applyFont="1" applyAlignment="1" applyProtection="1">
      <alignment horizontal="left" wrapText="1"/>
      <protection locked="0"/>
    </xf>
    <xf numFmtId="0" fontId="68" fillId="0" borderId="0" xfId="0" applyFont="1" applyAlignment="1" applyProtection="1">
      <alignment horizontal="justify" wrapText="1"/>
      <protection locked="0"/>
    </xf>
    <xf numFmtId="0" fontId="89" fillId="0" borderId="54" xfId="0" applyFont="1" applyBorder="1" applyAlignment="1" applyProtection="1">
      <alignment horizontal="center"/>
      <protection locked="0"/>
    </xf>
    <xf numFmtId="0" fontId="31" fillId="0" borderId="0" xfId="0" applyFont="1" applyBorder="1" applyAlignment="1" applyProtection="1">
      <alignment horizontal="center"/>
      <protection locked="0"/>
    </xf>
    <xf numFmtId="10" fontId="37" fillId="0" borderId="19" xfId="0" applyNumberFormat="1" applyFont="1" applyFill="1" applyBorder="1" applyAlignment="1" applyProtection="1">
      <alignment horizontal="center"/>
      <protection locked="0"/>
    </xf>
    <xf numFmtId="10" fontId="37" fillId="0" borderId="40" xfId="0" applyNumberFormat="1" applyFont="1" applyFill="1" applyBorder="1" applyAlignment="1" applyProtection="1">
      <alignment horizontal="center"/>
      <protection locked="0"/>
    </xf>
    <xf numFmtId="10" fontId="37" fillId="0" borderId="20" xfId="0" applyNumberFormat="1" applyFont="1" applyFill="1" applyBorder="1" applyAlignment="1" applyProtection="1">
      <alignment horizontal="center"/>
      <protection locked="0"/>
    </xf>
    <xf numFmtId="0" fontId="37" fillId="0" borderId="19" xfId="0" applyFont="1" applyBorder="1" applyAlignment="1" applyProtection="1">
      <alignment horizontal="center"/>
      <protection locked="0"/>
    </xf>
    <xf numFmtId="0" fontId="37" fillId="0" borderId="40" xfId="0" applyFont="1" applyBorder="1" applyAlignment="1" applyProtection="1">
      <alignment horizontal="center"/>
      <protection locked="0"/>
    </xf>
    <xf numFmtId="0" fontId="37" fillId="0" borderId="20" xfId="0" applyFont="1" applyBorder="1" applyAlignment="1" applyProtection="1">
      <alignment horizontal="center"/>
      <protection locked="0"/>
    </xf>
    <xf numFmtId="0" fontId="67" fillId="0" borderId="0" xfId="0" applyFont="1" applyFill="1" applyAlignment="1" applyProtection="1">
      <alignment horizontal="center"/>
      <protection locked="0"/>
    </xf>
    <xf numFmtId="0" fontId="76" fillId="0" borderId="39" xfId="0" applyFont="1" applyFill="1" applyBorder="1" applyAlignment="1" applyProtection="1">
      <alignment horizontal="center"/>
      <protection locked="0"/>
    </xf>
    <xf numFmtId="0" fontId="114" fillId="0" borderId="0" xfId="0" applyFont="1" applyFill="1" applyAlignment="1" applyProtection="1">
      <alignment horizontal="center"/>
      <protection locked="0"/>
    </xf>
    <xf numFmtId="0" fontId="67" fillId="0" borderId="0" xfId="0" applyFont="1" applyFill="1" applyAlignment="1" applyProtection="1">
      <alignment horizontal="center" wrapText="1"/>
      <protection locked="0"/>
    </xf>
    <xf numFmtId="41" fontId="68" fillId="0" borderId="0" xfId="421" quotePrefix="1" applyNumberFormat="1" applyFont="1" applyFill="1" applyAlignment="1">
      <alignment horizontal="left" wrapText="1"/>
    </xf>
    <xf numFmtId="0" fontId="68" fillId="0" borderId="0" xfId="0" applyFont="1" applyFill="1" applyAlignment="1" applyProtection="1">
      <alignment wrapText="1"/>
      <protection locked="0"/>
    </xf>
    <xf numFmtId="49" fontId="67" fillId="0" borderId="0" xfId="0" applyNumberFormat="1" applyFont="1" applyFill="1" applyAlignment="1" applyProtection="1">
      <alignment horizontal="left" wrapText="1"/>
      <protection locked="0"/>
    </xf>
    <xf numFmtId="41" fontId="71" fillId="0" borderId="0" xfId="2" applyNumberFormat="1" applyFont="1" applyFill="1" applyAlignment="1" applyProtection="1">
      <alignment horizontal="center"/>
      <protection locked="0"/>
    </xf>
    <xf numFmtId="0" fontId="68" fillId="0" borderId="1" xfId="0" applyFont="1" applyFill="1" applyBorder="1" applyAlignment="1" applyProtection="1">
      <alignment horizontal="left" wrapText="1"/>
      <protection locked="0"/>
    </xf>
    <xf numFmtId="0" fontId="67" fillId="0" borderId="0" xfId="0" applyFont="1" applyAlignment="1" applyProtection="1">
      <alignment wrapText="1"/>
      <protection locked="0"/>
    </xf>
    <xf numFmtId="0" fontId="67" fillId="0" borderId="0" xfId="0" quotePrefix="1" applyFont="1" applyAlignment="1" applyProtection="1">
      <alignment horizontal="center"/>
      <protection locked="0"/>
    </xf>
    <xf numFmtId="0" fontId="68" fillId="2" borderId="0" xfId="0" applyFont="1" applyFill="1" applyAlignment="1" applyProtection="1">
      <alignment horizontal="center"/>
      <protection locked="0"/>
    </xf>
    <xf numFmtId="0" fontId="68" fillId="0" borderId="0" xfId="0" quotePrefix="1" applyFont="1" applyFill="1" applyAlignment="1" applyProtection="1">
      <alignment horizontal="left" wrapText="1"/>
      <protection locked="0"/>
    </xf>
    <xf numFmtId="0" fontId="67" fillId="0" borderId="0" xfId="0" applyFont="1" applyAlignment="1" applyProtection="1">
      <alignment horizontal="left" wrapText="1"/>
      <protection locked="0"/>
    </xf>
    <xf numFmtId="0" fontId="110" fillId="0" borderId="0" xfId="0" applyFont="1" applyAlignment="1">
      <alignment horizontal="center"/>
    </xf>
    <xf numFmtId="3" fontId="63" fillId="3" borderId="0" xfId="15" applyNumberFormat="1" applyFont="1" applyFill="1" applyBorder="1" applyAlignment="1">
      <alignment horizontal="center" wrapText="1"/>
    </xf>
    <xf numFmtId="0" fontId="8" fillId="0" borderId="0" xfId="427" applyAlignment="1">
      <alignment horizontal="center"/>
    </xf>
  </cellXfs>
  <cellStyles count="792">
    <cellStyle name="########" xfId="1" xr:uid="{00000000-0005-0000-0000-000000000000}"/>
    <cellStyle name="######## 2" xfId="123" xr:uid="{00000000-0005-0000-0000-000001000000}"/>
    <cellStyle name="######## 2 2" xfId="213" xr:uid="{00000000-0005-0000-0000-000002000000}"/>
    <cellStyle name="20% - Accent1" xfId="359" builtinId="30" customBuiltin="1"/>
    <cellStyle name="20% - Accent1 2" xfId="544" xr:uid="{00000000-0005-0000-0000-000004000000}"/>
    <cellStyle name="20% - Accent1 3" xfId="720" xr:uid="{00000000-0005-0000-0000-000005000000}"/>
    <cellStyle name="20% - Accent2" xfId="363" builtinId="34" customBuiltin="1"/>
    <cellStyle name="20% - Accent2 2" xfId="547" xr:uid="{00000000-0005-0000-0000-000007000000}"/>
    <cellStyle name="20% - Accent2 3" xfId="723" xr:uid="{00000000-0005-0000-0000-000008000000}"/>
    <cellStyle name="20% - Accent3" xfId="367" builtinId="38" customBuiltin="1"/>
    <cellStyle name="20% - Accent3 2" xfId="550" xr:uid="{00000000-0005-0000-0000-00000A000000}"/>
    <cellStyle name="20% - Accent3 3" xfId="726" xr:uid="{00000000-0005-0000-0000-00000B000000}"/>
    <cellStyle name="20% - Accent4" xfId="371" builtinId="42" customBuiltin="1"/>
    <cellStyle name="20% - Accent4 2" xfId="553" xr:uid="{00000000-0005-0000-0000-00000D000000}"/>
    <cellStyle name="20% - Accent4 3" xfId="729" xr:uid="{00000000-0005-0000-0000-00000E000000}"/>
    <cellStyle name="20% - Accent5" xfId="375" builtinId="46" customBuiltin="1"/>
    <cellStyle name="20% - Accent5 2" xfId="556" xr:uid="{00000000-0005-0000-0000-000010000000}"/>
    <cellStyle name="20% - Accent5 3" xfId="732" xr:uid="{00000000-0005-0000-0000-000011000000}"/>
    <cellStyle name="20% - Accent6" xfId="379" builtinId="50" customBuiltin="1"/>
    <cellStyle name="20% - Accent6 2" xfId="559" xr:uid="{00000000-0005-0000-0000-000013000000}"/>
    <cellStyle name="20% - Accent6 3" xfId="735" xr:uid="{00000000-0005-0000-0000-000014000000}"/>
    <cellStyle name="40% - Accent1" xfId="360" builtinId="31" customBuiltin="1"/>
    <cellStyle name="40% - Accent1 2" xfId="545" xr:uid="{00000000-0005-0000-0000-000016000000}"/>
    <cellStyle name="40% - Accent1 3" xfId="721" xr:uid="{00000000-0005-0000-0000-000017000000}"/>
    <cellStyle name="40% - Accent2" xfId="364" builtinId="35" customBuiltin="1"/>
    <cellStyle name="40% - Accent2 2" xfId="548" xr:uid="{00000000-0005-0000-0000-000019000000}"/>
    <cellStyle name="40% - Accent2 3" xfId="724" xr:uid="{00000000-0005-0000-0000-00001A000000}"/>
    <cellStyle name="40% - Accent3" xfId="368" builtinId="39" customBuiltin="1"/>
    <cellStyle name="40% - Accent3 2" xfId="551" xr:uid="{00000000-0005-0000-0000-00001C000000}"/>
    <cellStyle name="40% - Accent3 3" xfId="727" xr:uid="{00000000-0005-0000-0000-00001D000000}"/>
    <cellStyle name="40% - Accent4" xfId="372" builtinId="43" customBuiltin="1"/>
    <cellStyle name="40% - Accent4 2" xfId="554" xr:uid="{00000000-0005-0000-0000-00001F000000}"/>
    <cellStyle name="40% - Accent4 3" xfId="730" xr:uid="{00000000-0005-0000-0000-000020000000}"/>
    <cellStyle name="40% - Accent5" xfId="376" builtinId="47" customBuiltin="1"/>
    <cellStyle name="40% - Accent5 2" xfId="557" xr:uid="{00000000-0005-0000-0000-000022000000}"/>
    <cellStyle name="40% - Accent5 3" xfId="733" xr:uid="{00000000-0005-0000-0000-000023000000}"/>
    <cellStyle name="40% - Accent6" xfId="380" builtinId="51" customBuiltin="1"/>
    <cellStyle name="40% - Accent6 2" xfId="560" xr:uid="{00000000-0005-0000-0000-000025000000}"/>
    <cellStyle name="40% - Accent6 3" xfId="736" xr:uid="{00000000-0005-0000-0000-000026000000}"/>
    <cellStyle name="60% - Accent1" xfId="361" builtinId="32" customBuiltin="1"/>
    <cellStyle name="60% - Accent1 2" xfId="546" xr:uid="{00000000-0005-0000-0000-000028000000}"/>
    <cellStyle name="60% - Accent1 3" xfId="722" xr:uid="{00000000-0005-0000-0000-000029000000}"/>
    <cellStyle name="60% - Accent2" xfId="365" builtinId="36" customBuiltin="1"/>
    <cellStyle name="60% - Accent2 2" xfId="549" xr:uid="{00000000-0005-0000-0000-00002B000000}"/>
    <cellStyle name="60% - Accent2 3" xfId="725" xr:uid="{00000000-0005-0000-0000-00002C000000}"/>
    <cellStyle name="60% - Accent3" xfId="369" builtinId="40" customBuiltin="1"/>
    <cellStyle name="60% - Accent3 2" xfId="552" xr:uid="{00000000-0005-0000-0000-00002E000000}"/>
    <cellStyle name="60% - Accent3 3" xfId="728" xr:uid="{00000000-0005-0000-0000-00002F000000}"/>
    <cellStyle name="60% - Accent4" xfId="373" builtinId="44" customBuiltin="1"/>
    <cellStyle name="60% - Accent4 2" xfId="555" xr:uid="{00000000-0005-0000-0000-000031000000}"/>
    <cellStyle name="60% - Accent4 3" xfId="731" xr:uid="{00000000-0005-0000-0000-000032000000}"/>
    <cellStyle name="60% - Accent5" xfId="377" builtinId="48" customBuiltin="1"/>
    <cellStyle name="60% - Accent5 2" xfId="558" xr:uid="{00000000-0005-0000-0000-000034000000}"/>
    <cellStyle name="60% - Accent5 3" xfId="734" xr:uid="{00000000-0005-0000-0000-000035000000}"/>
    <cellStyle name="60% - Accent6" xfId="381" builtinId="52" customBuiltin="1"/>
    <cellStyle name="60% - Accent6 2" xfId="561" xr:uid="{00000000-0005-0000-0000-000037000000}"/>
    <cellStyle name="60% - Accent6 3" xfId="737" xr:uid="{00000000-0005-0000-0000-000038000000}"/>
    <cellStyle name="Accent1" xfId="358" builtinId="29" customBuiltin="1"/>
    <cellStyle name="Accent2" xfId="362" builtinId="33" customBuiltin="1"/>
    <cellStyle name="Accent3" xfId="366" builtinId="37" customBuiltin="1"/>
    <cellStyle name="Accent4" xfId="370" builtinId="41" customBuiltin="1"/>
    <cellStyle name="Accent5" xfId="374" builtinId="45" customBuiltin="1"/>
    <cellStyle name="Accent6" xfId="378" builtinId="49" customBuiltin="1"/>
    <cellStyle name="Bad" xfId="348" builtinId="27" customBuiltin="1"/>
    <cellStyle name="Calculation" xfId="352" builtinId="22" customBuiltin="1"/>
    <cellStyle name="Check Cell" xfId="354" builtinId="23" customBuiltin="1"/>
    <cellStyle name="Co #" xfId="141" xr:uid="{00000000-0005-0000-0000-000042000000}"/>
    <cellStyle name="Comma" xfId="2" builtinId="3"/>
    <cellStyle name="Comma 10" xfId="3" xr:uid="{00000000-0005-0000-0000-000044000000}"/>
    <cellStyle name="Comma 10 2" xfId="54" xr:uid="{00000000-0005-0000-0000-000045000000}"/>
    <cellStyle name="Comma 10 3" xfId="118" xr:uid="{00000000-0005-0000-0000-000046000000}"/>
    <cellStyle name="Comma 10 4" xfId="119" xr:uid="{00000000-0005-0000-0000-000047000000}"/>
    <cellStyle name="Comma 11" xfId="4" xr:uid="{00000000-0005-0000-0000-000048000000}"/>
    <cellStyle name="Comma 11 2" xfId="89" xr:uid="{00000000-0005-0000-0000-000049000000}"/>
    <cellStyle name="Comma 11 2 2" xfId="96" xr:uid="{00000000-0005-0000-0000-00004A000000}"/>
    <cellStyle name="Comma 11 2 3" xfId="131" xr:uid="{00000000-0005-0000-0000-00004B000000}"/>
    <cellStyle name="Comma 11 2 4" xfId="206" xr:uid="{00000000-0005-0000-0000-00004C000000}"/>
    <cellStyle name="Comma 11 2 4 2" xfId="487" xr:uid="{00000000-0005-0000-0000-00004D000000}"/>
    <cellStyle name="Comma 11 2 4 3" xfId="663" xr:uid="{00000000-0005-0000-0000-00004E000000}"/>
    <cellStyle name="Comma 11 2 5" xfId="440" xr:uid="{00000000-0005-0000-0000-00004F000000}"/>
    <cellStyle name="Comma 11 2 6" xfId="618" xr:uid="{00000000-0005-0000-0000-000050000000}"/>
    <cellStyle name="Comma 11 3" xfId="117" xr:uid="{00000000-0005-0000-0000-000051000000}"/>
    <cellStyle name="Comma 11 4" xfId="129" xr:uid="{00000000-0005-0000-0000-000052000000}"/>
    <cellStyle name="Comma 11 4 2" xfId="215" xr:uid="{00000000-0005-0000-0000-000053000000}"/>
    <cellStyle name="Comma 11 4 2 2" xfId="492" xr:uid="{00000000-0005-0000-0000-000054000000}"/>
    <cellStyle name="Comma 11 4 2 3" xfId="668" xr:uid="{00000000-0005-0000-0000-000055000000}"/>
    <cellStyle name="Comma 11 4 3" xfId="445" xr:uid="{00000000-0005-0000-0000-000056000000}"/>
    <cellStyle name="Comma 11 4 4" xfId="623" xr:uid="{00000000-0005-0000-0000-000057000000}"/>
    <cellStyle name="Comma 12" xfId="135" xr:uid="{00000000-0005-0000-0000-000058000000}"/>
    <cellStyle name="Comma 13" xfId="137" xr:uid="{00000000-0005-0000-0000-000059000000}"/>
    <cellStyle name="Comma 14" xfId="139" xr:uid="{00000000-0005-0000-0000-00005A000000}"/>
    <cellStyle name="Comma 15" xfId="144" xr:uid="{00000000-0005-0000-0000-00005B000000}"/>
    <cellStyle name="Comma 15 2" xfId="253" xr:uid="{00000000-0005-0000-0000-00005C000000}"/>
    <cellStyle name="Comma 15 3" xfId="254" xr:uid="{00000000-0005-0000-0000-00005D000000}"/>
    <cellStyle name="Comma 15 4" xfId="255" xr:uid="{00000000-0005-0000-0000-00005E000000}"/>
    <cellStyle name="Comma 16" xfId="161" xr:uid="{00000000-0005-0000-0000-00005F000000}"/>
    <cellStyle name="Comma 16 2" xfId="224" xr:uid="{00000000-0005-0000-0000-000060000000}"/>
    <cellStyle name="Comma 16 2 2" xfId="498" xr:uid="{00000000-0005-0000-0000-000061000000}"/>
    <cellStyle name="Comma 16 2 3" xfId="674" xr:uid="{00000000-0005-0000-0000-000062000000}"/>
    <cellStyle name="Comma 16 3" xfId="452" xr:uid="{00000000-0005-0000-0000-000063000000}"/>
    <cellStyle name="Comma 16 4" xfId="630" xr:uid="{00000000-0005-0000-0000-000064000000}"/>
    <cellStyle name="Comma 17" xfId="163" xr:uid="{00000000-0005-0000-0000-000065000000}"/>
    <cellStyle name="Comma 17 2" xfId="225" xr:uid="{00000000-0005-0000-0000-000066000000}"/>
    <cellStyle name="Comma 17 2 2" xfId="499" xr:uid="{00000000-0005-0000-0000-000067000000}"/>
    <cellStyle name="Comma 17 2 3" xfId="675" xr:uid="{00000000-0005-0000-0000-000068000000}"/>
    <cellStyle name="Comma 17 3" xfId="454" xr:uid="{00000000-0005-0000-0000-000069000000}"/>
    <cellStyle name="Comma 17 4" xfId="632" xr:uid="{00000000-0005-0000-0000-00006A000000}"/>
    <cellStyle name="Comma 18" xfId="167" xr:uid="{00000000-0005-0000-0000-00006B000000}"/>
    <cellStyle name="Comma 18 2" xfId="226" xr:uid="{00000000-0005-0000-0000-00006C000000}"/>
    <cellStyle name="Comma 18 2 2" xfId="500" xr:uid="{00000000-0005-0000-0000-00006D000000}"/>
    <cellStyle name="Comma 18 2 3" xfId="676" xr:uid="{00000000-0005-0000-0000-00006E000000}"/>
    <cellStyle name="Comma 18 3" xfId="456" xr:uid="{00000000-0005-0000-0000-00006F000000}"/>
    <cellStyle name="Comma 18 4" xfId="634" xr:uid="{00000000-0005-0000-0000-000070000000}"/>
    <cellStyle name="Comma 19" xfId="176" xr:uid="{00000000-0005-0000-0000-000071000000}"/>
    <cellStyle name="Comma 19 2" xfId="231" xr:uid="{00000000-0005-0000-0000-000072000000}"/>
    <cellStyle name="Comma 19 2 2" xfId="505" xr:uid="{00000000-0005-0000-0000-000073000000}"/>
    <cellStyle name="Comma 19 2 3" xfId="681" xr:uid="{00000000-0005-0000-0000-000074000000}"/>
    <cellStyle name="Comma 19 3" xfId="465" xr:uid="{00000000-0005-0000-0000-000075000000}"/>
    <cellStyle name="Comma 19 4" xfId="642" xr:uid="{00000000-0005-0000-0000-000076000000}"/>
    <cellStyle name="Comma 2" xfId="5" xr:uid="{00000000-0005-0000-0000-000077000000}"/>
    <cellStyle name="Comma 2 10" xfId="198" xr:uid="{00000000-0005-0000-0000-000078000000}"/>
    <cellStyle name="Comma 2 11" xfId="324" xr:uid="{00000000-0005-0000-0000-000079000000}"/>
    <cellStyle name="Comma 2 11 2" xfId="538" xr:uid="{00000000-0005-0000-0000-00007A000000}"/>
    <cellStyle name="Comma 2 11 3" xfId="714" xr:uid="{00000000-0005-0000-0000-00007B000000}"/>
    <cellStyle name="Comma 2 2" xfId="6" xr:uid="{00000000-0005-0000-0000-00007C000000}"/>
    <cellStyle name="Comma 2 2 2" xfId="56" xr:uid="{00000000-0005-0000-0000-00007D000000}"/>
    <cellStyle name="Comma 2 2 3" xfId="115" xr:uid="{00000000-0005-0000-0000-00007E000000}"/>
    <cellStyle name="Comma 2 2 4" xfId="81" xr:uid="{00000000-0005-0000-0000-00007F000000}"/>
    <cellStyle name="Comma 2 2 5" xfId="256" xr:uid="{00000000-0005-0000-0000-000080000000}"/>
    <cellStyle name="Comma 2 2 6" xfId="257" xr:uid="{00000000-0005-0000-0000-000081000000}"/>
    <cellStyle name="Comma 2 3" xfId="7" xr:uid="{00000000-0005-0000-0000-000082000000}"/>
    <cellStyle name="Comma 2 4" xfId="55" xr:uid="{00000000-0005-0000-0000-000083000000}"/>
    <cellStyle name="Comma 2 5" xfId="97" xr:uid="{00000000-0005-0000-0000-000084000000}"/>
    <cellStyle name="Comma 2 6" xfId="116" xr:uid="{00000000-0005-0000-0000-000085000000}"/>
    <cellStyle name="Comma 2 7" xfId="120" xr:uid="{00000000-0005-0000-0000-000086000000}"/>
    <cellStyle name="Comma 2 8" xfId="145" xr:uid="{00000000-0005-0000-0000-000087000000}"/>
    <cellStyle name="Comma 2 8 2" xfId="218" xr:uid="{00000000-0005-0000-0000-000088000000}"/>
    <cellStyle name="Comma 2 8 2 2" xfId="495" xr:uid="{00000000-0005-0000-0000-000089000000}"/>
    <cellStyle name="Comma 2 8 2 3" xfId="671" xr:uid="{00000000-0005-0000-0000-00008A000000}"/>
    <cellStyle name="Comma 2 8 3" xfId="448" xr:uid="{00000000-0005-0000-0000-00008B000000}"/>
    <cellStyle name="Comma 2 8 4" xfId="626" xr:uid="{00000000-0005-0000-0000-00008C000000}"/>
    <cellStyle name="Comma 2 9" xfId="170" xr:uid="{00000000-0005-0000-0000-00008D000000}"/>
    <cellStyle name="Comma 2 9 2" xfId="237" xr:uid="{00000000-0005-0000-0000-00008E000000}"/>
    <cellStyle name="Comma 2 9 2 2" xfId="509" xr:uid="{00000000-0005-0000-0000-00008F000000}"/>
    <cellStyle name="Comma 2 9 2 3" xfId="685" xr:uid="{00000000-0005-0000-0000-000090000000}"/>
    <cellStyle name="Comma 2 9 3" xfId="459" xr:uid="{00000000-0005-0000-0000-000091000000}"/>
    <cellStyle name="Comma 2 9 4" xfId="637" xr:uid="{00000000-0005-0000-0000-000092000000}"/>
    <cellStyle name="Comma 20" xfId="177" xr:uid="{00000000-0005-0000-0000-000093000000}"/>
    <cellStyle name="Comma 20 2" xfId="238" xr:uid="{00000000-0005-0000-0000-000094000000}"/>
    <cellStyle name="Comma 20 2 2" xfId="510" xr:uid="{00000000-0005-0000-0000-000095000000}"/>
    <cellStyle name="Comma 20 2 3" xfId="686" xr:uid="{00000000-0005-0000-0000-000096000000}"/>
    <cellStyle name="Comma 20 3" xfId="466" xr:uid="{00000000-0005-0000-0000-000097000000}"/>
    <cellStyle name="Comma 20 4" xfId="643" xr:uid="{00000000-0005-0000-0000-000098000000}"/>
    <cellStyle name="Comma 21" xfId="178" xr:uid="{00000000-0005-0000-0000-000099000000}"/>
    <cellStyle name="Comma 21 2" xfId="239" xr:uid="{00000000-0005-0000-0000-00009A000000}"/>
    <cellStyle name="Comma 21 2 2" xfId="511" xr:uid="{00000000-0005-0000-0000-00009B000000}"/>
    <cellStyle name="Comma 21 2 3" xfId="687" xr:uid="{00000000-0005-0000-0000-00009C000000}"/>
    <cellStyle name="Comma 21 3" xfId="467" xr:uid="{00000000-0005-0000-0000-00009D000000}"/>
    <cellStyle name="Comma 21 4" xfId="644" xr:uid="{00000000-0005-0000-0000-00009E000000}"/>
    <cellStyle name="Comma 22" xfId="191" xr:uid="{00000000-0005-0000-0000-00009F000000}"/>
    <cellStyle name="Comma 22 2" xfId="250" xr:uid="{00000000-0005-0000-0000-0000A0000000}"/>
    <cellStyle name="Comma 22 2 2" xfId="522" xr:uid="{00000000-0005-0000-0000-0000A1000000}"/>
    <cellStyle name="Comma 22 2 3" xfId="698" xr:uid="{00000000-0005-0000-0000-0000A2000000}"/>
    <cellStyle name="Comma 22 3" xfId="477" xr:uid="{00000000-0005-0000-0000-0000A3000000}"/>
    <cellStyle name="Comma 22 4" xfId="654" xr:uid="{00000000-0005-0000-0000-0000A4000000}"/>
    <cellStyle name="Comma 23" xfId="193" xr:uid="{00000000-0005-0000-0000-0000A5000000}"/>
    <cellStyle name="Comma 23 2" xfId="479" xr:uid="{00000000-0005-0000-0000-0000A6000000}"/>
    <cellStyle name="Comma 23 3" xfId="656" xr:uid="{00000000-0005-0000-0000-0000A7000000}"/>
    <cellStyle name="Comma 24" xfId="195" xr:uid="{00000000-0005-0000-0000-0000A8000000}"/>
    <cellStyle name="Comma 24 2" xfId="481" xr:uid="{00000000-0005-0000-0000-0000A9000000}"/>
    <cellStyle name="Comma 24 3" xfId="658" xr:uid="{00000000-0005-0000-0000-0000AA000000}"/>
    <cellStyle name="Comma 25" xfId="283" xr:uid="{00000000-0005-0000-0000-0000AB000000}"/>
    <cellStyle name="Comma 25 2" xfId="525" xr:uid="{00000000-0005-0000-0000-0000AC000000}"/>
    <cellStyle name="Comma 25 3" xfId="701" xr:uid="{00000000-0005-0000-0000-0000AD000000}"/>
    <cellStyle name="Comma 26" xfId="290" xr:uid="{00000000-0005-0000-0000-0000AE000000}"/>
    <cellStyle name="Comma 27" xfId="317" xr:uid="{00000000-0005-0000-0000-0000AF000000}"/>
    <cellStyle name="Comma 27 2" xfId="536" xr:uid="{00000000-0005-0000-0000-0000B0000000}"/>
    <cellStyle name="Comma 27 3" xfId="712" xr:uid="{00000000-0005-0000-0000-0000B1000000}"/>
    <cellStyle name="Comma 28" xfId="319" xr:uid="{00000000-0005-0000-0000-0000B2000000}"/>
    <cellStyle name="Comma 29" xfId="291" xr:uid="{00000000-0005-0000-0000-0000B3000000}"/>
    <cellStyle name="Comma 3" xfId="8" xr:uid="{00000000-0005-0000-0000-0000B4000000}"/>
    <cellStyle name="Comma 3 2" xfId="57" xr:uid="{00000000-0005-0000-0000-0000B5000000}"/>
    <cellStyle name="Comma 3 3" xfId="114" xr:uid="{00000000-0005-0000-0000-0000B6000000}"/>
    <cellStyle name="Comma 3 4" xfId="80" xr:uid="{00000000-0005-0000-0000-0000B7000000}"/>
    <cellStyle name="Comma 3 5" xfId="199" xr:uid="{00000000-0005-0000-0000-0000B8000000}"/>
    <cellStyle name="Comma 3 6" xfId="338" xr:uid="{00000000-0005-0000-0000-0000B9000000}"/>
    <cellStyle name="Comma 3 6 2" xfId="541" xr:uid="{00000000-0005-0000-0000-0000BA000000}"/>
    <cellStyle name="Comma 3 6 3" xfId="717" xr:uid="{00000000-0005-0000-0000-0000BB000000}"/>
    <cellStyle name="Comma 30" xfId="292" xr:uid="{00000000-0005-0000-0000-0000BC000000}"/>
    <cellStyle name="Comma 31" xfId="293" xr:uid="{00000000-0005-0000-0000-0000BD000000}"/>
    <cellStyle name="Comma 32" xfId="294" xr:uid="{00000000-0005-0000-0000-0000BE000000}"/>
    <cellStyle name="Comma 33" xfId="295" xr:uid="{00000000-0005-0000-0000-0000BF000000}"/>
    <cellStyle name="Comma 34" xfId="296" xr:uid="{00000000-0005-0000-0000-0000C0000000}"/>
    <cellStyle name="Comma 35" xfId="383" xr:uid="{00000000-0005-0000-0000-0000C1000000}"/>
    <cellStyle name="Comma 35 2" xfId="563" xr:uid="{00000000-0005-0000-0000-0000C2000000}"/>
    <cellStyle name="Comma 35 3" xfId="739" xr:uid="{00000000-0005-0000-0000-0000C3000000}"/>
    <cellStyle name="Comma 36" xfId="401" xr:uid="{00000000-0005-0000-0000-0000C4000000}"/>
    <cellStyle name="Comma 36 2" xfId="580" xr:uid="{00000000-0005-0000-0000-0000C5000000}"/>
    <cellStyle name="Comma 36 3" xfId="756" xr:uid="{00000000-0005-0000-0000-0000C6000000}"/>
    <cellStyle name="Comma 37" xfId="405" xr:uid="{00000000-0005-0000-0000-0000C7000000}"/>
    <cellStyle name="Comma 37 2" xfId="584" xr:uid="{00000000-0005-0000-0000-0000C8000000}"/>
    <cellStyle name="Comma 37 3" xfId="760" xr:uid="{00000000-0005-0000-0000-0000C9000000}"/>
    <cellStyle name="Comma 38" xfId="418" xr:uid="{00000000-0005-0000-0000-0000CA000000}"/>
    <cellStyle name="Comma 38 2" xfId="596" xr:uid="{00000000-0005-0000-0000-0000CB000000}"/>
    <cellStyle name="Comma 38 3" xfId="772" xr:uid="{00000000-0005-0000-0000-0000CC000000}"/>
    <cellStyle name="Comma 39" xfId="423" xr:uid="{00000000-0005-0000-0000-0000CD000000}"/>
    <cellStyle name="Comma 39 2" xfId="601" xr:uid="{00000000-0005-0000-0000-0000CE000000}"/>
    <cellStyle name="Comma 39 3" xfId="777" xr:uid="{00000000-0005-0000-0000-0000CF000000}"/>
    <cellStyle name="Comma 4" xfId="9" xr:uid="{00000000-0005-0000-0000-0000D0000000}"/>
    <cellStyle name="Comma 4 2" xfId="58" xr:uid="{00000000-0005-0000-0000-0000D1000000}"/>
    <cellStyle name="Comma 4 3" xfId="79" xr:uid="{00000000-0005-0000-0000-0000D2000000}"/>
    <cellStyle name="Comma 40" xfId="428" xr:uid="{00000000-0005-0000-0000-0000D3000000}"/>
    <cellStyle name="Comma 40 2" xfId="434" xr:uid="{00000000-0005-0000-0000-0000D4000000}"/>
    <cellStyle name="Comma 40 2 2" xfId="612" xr:uid="{00000000-0005-0000-0000-0000D5000000}"/>
    <cellStyle name="Comma 40 2 3" xfId="788" xr:uid="{00000000-0005-0000-0000-0000D6000000}"/>
    <cellStyle name="Comma 40 3" xfId="606" xr:uid="{00000000-0005-0000-0000-0000D7000000}"/>
    <cellStyle name="Comma 40 4" xfId="782" xr:uid="{00000000-0005-0000-0000-0000D8000000}"/>
    <cellStyle name="Comma 41" xfId="431" xr:uid="{00000000-0005-0000-0000-0000D9000000}"/>
    <cellStyle name="Comma 41 2" xfId="609" xr:uid="{00000000-0005-0000-0000-0000DA000000}"/>
    <cellStyle name="Comma 41 3" xfId="785" xr:uid="{00000000-0005-0000-0000-0000DB000000}"/>
    <cellStyle name="Comma 42" xfId="435" xr:uid="{00000000-0005-0000-0000-0000DC000000}"/>
    <cellStyle name="Comma 42 2" xfId="613" xr:uid="{00000000-0005-0000-0000-0000DD000000}"/>
    <cellStyle name="Comma 42 3" xfId="789" xr:uid="{00000000-0005-0000-0000-0000DE000000}"/>
    <cellStyle name="Comma 5" xfId="10" xr:uid="{00000000-0005-0000-0000-0000DF000000}"/>
    <cellStyle name="Comma 5 2" xfId="59" xr:uid="{00000000-0005-0000-0000-0000E0000000}"/>
    <cellStyle name="Comma 5 3" xfId="113" xr:uid="{00000000-0005-0000-0000-0000E1000000}"/>
    <cellStyle name="Comma 5 4" xfId="78" xr:uid="{00000000-0005-0000-0000-0000E2000000}"/>
    <cellStyle name="Comma 5 5" xfId="258" xr:uid="{00000000-0005-0000-0000-0000E3000000}"/>
    <cellStyle name="Comma 6" xfId="11" xr:uid="{00000000-0005-0000-0000-0000E4000000}"/>
    <cellStyle name="Comma 7" xfId="12" xr:uid="{00000000-0005-0000-0000-0000E5000000}"/>
    <cellStyle name="Comma 8" xfId="13" xr:uid="{00000000-0005-0000-0000-0000E6000000}"/>
    <cellStyle name="Comma 9" xfId="14" xr:uid="{00000000-0005-0000-0000-0000E7000000}"/>
    <cellStyle name="Comma 9 2" xfId="60" xr:uid="{00000000-0005-0000-0000-0000E8000000}"/>
    <cellStyle name="Comma 9 3" xfId="77" xr:uid="{00000000-0005-0000-0000-0000E9000000}"/>
    <cellStyle name="Comma_TEMPLATES - ACCT RECONCILIATION TO NARUC - 13 MONTHS PSC 2" xfId="15" xr:uid="{00000000-0005-0000-0000-0000EA000000}"/>
    <cellStyle name="Currency" xfId="16" builtinId="4"/>
    <cellStyle name="Currency 10" xfId="17" xr:uid="{00000000-0005-0000-0000-0000EC000000}"/>
    <cellStyle name="Currency 11" xfId="320" xr:uid="{00000000-0005-0000-0000-0000ED000000}"/>
    <cellStyle name="Currency 12" xfId="384" xr:uid="{00000000-0005-0000-0000-0000EE000000}"/>
    <cellStyle name="Currency 12 2" xfId="564" xr:uid="{00000000-0005-0000-0000-0000EF000000}"/>
    <cellStyle name="Currency 12 3" xfId="740" xr:uid="{00000000-0005-0000-0000-0000F0000000}"/>
    <cellStyle name="Currency 13" xfId="402" xr:uid="{00000000-0005-0000-0000-0000F1000000}"/>
    <cellStyle name="Currency 13 2" xfId="581" xr:uid="{00000000-0005-0000-0000-0000F2000000}"/>
    <cellStyle name="Currency 13 3" xfId="757" xr:uid="{00000000-0005-0000-0000-0000F3000000}"/>
    <cellStyle name="Currency 14" xfId="406" xr:uid="{00000000-0005-0000-0000-0000F4000000}"/>
    <cellStyle name="Currency 14 2" xfId="585" xr:uid="{00000000-0005-0000-0000-0000F5000000}"/>
    <cellStyle name="Currency 14 3" xfId="761" xr:uid="{00000000-0005-0000-0000-0000F6000000}"/>
    <cellStyle name="Currency 15" xfId="420" xr:uid="{00000000-0005-0000-0000-0000F7000000}"/>
    <cellStyle name="Currency 15 2" xfId="598" xr:uid="{00000000-0005-0000-0000-0000F8000000}"/>
    <cellStyle name="Currency 15 3" xfId="774" xr:uid="{00000000-0005-0000-0000-0000F9000000}"/>
    <cellStyle name="Currency 16" xfId="424" xr:uid="{00000000-0005-0000-0000-0000FA000000}"/>
    <cellStyle name="Currency 16 2" xfId="602" xr:uid="{00000000-0005-0000-0000-0000FB000000}"/>
    <cellStyle name="Currency 16 3" xfId="778" xr:uid="{00000000-0005-0000-0000-0000FC000000}"/>
    <cellStyle name="Currency 2" xfId="18" xr:uid="{00000000-0005-0000-0000-0000FD000000}"/>
    <cellStyle name="Currency 2 2" xfId="19" xr:uid="{00000000-0005-0000-0000-0000FE000000}"/>
    <cellStyle name="Currency 2 2 2" xfId="63" xr:uid="{00000000-0005-0000-0000-0000FF000000}"/>
    <cellStyle name="Currency 2 2 3" xfId="106" xr:uid="{00000000-0005-0000-0000-000000010000}"/>
    <cellStyle name="Currency 2 2 4" xfId="111" xr:uid="{00000000-0005-0000-0000-000001010000}"/>
    <cellStyle name="Currency 2 2 5" xfId="259" xr:uid="{00000000-0005-0000-0000-000002010000}"/>
    <cellStyle name="Currency 2 2 6" xfId="260" xr:uid="{00000000-0005-0000-0000-000003010000}"/>
    <cellStyle name="Currency 2 3" xfId="62" xr:uid="{00000000-0005-0000-0000-000004010000}"/>
    <cellStyle name="Currency 2 4" xfId="107" xr:uid="{00000000-0005-0000-0000-000005010000}"/>
    <cellStyle name="Currency 2 5" xfId="74" xr:uid="{00000000-0005-0000-0000-000006010000}"/>
    <cellStyle name="Currency 2 6" xfId="151" xr:uid="{00000000-0005-0000-0000-000007010000}"/>
    <cellStyle name="Currency 3" xfId="20" xr:uid="{00000000-0005-0000-0000-000008010000}"/>
    <cellStyle name="Currency 3 2" xfId="64" xr:uid="{00000000-0005-0000-0000-000009010000}"/>
    <cellStyle name="Currency 3 3" xfId="93" xr:uid="{00000000-0005-0000-0000-00000A010000}"/>
    <cellStyle name="Currency 3 4" xfId="261" xr:uid="{00000000-0005-0000-0000-00000B010000}"/>
    <cellStyle name="Currency 4" xfId="21" xr:uid="{00000000-0005-0000-0000-00000C010000}"/>
    <cellStyle name="Currency 4 2" xfId="65" xr:uid="{00000000-0005-0000-0000-00000D010000}"/>
    <cellStyle name="Currency 4 3" xfId="105" xr:uid="{00000000-0005-0000-0000-00000E010000}"/>
    <cellStyle name="Currency 4 4" xfId="110" xr:uid="{00000000-0005-0000-0000-00000F010000}"/>
    <cellStyle name="Currency 4 5" xfId="262" xr:uid="{00000000-0005-0000-0000-000010010000}"/>
    <cellStyle name="Currency 5" xfId="22" xr:uid="{00000000-0005-0000-0000-000011010000}"/>
    <cellStyle name="Currency 6" xfId="23" xr:uid="{00000000-0005-0000-0000-000012010000}"/>
    <cellStyle name="Currency 7" xfId="24" xr:uid="{00000000-0005-0000-0000-000013010000}"/>
    <cellStyle name="Currency 8" xfId="146" xr:uid="{00000000-0005-0000-0000-000014010000}"/>
    <cellStyle name="Currency 8 2" xfId="219" xr:uid="{00000000-0005-0000-0000-000015010000}"/>
    <cellStyle name="Currency 9" xfId="25" xr:uid="{00000000-0005-0000-0000-000016010000}"/>
    <cellStyle name="Date" xfId="26" xr:uid="{00000000-0005-0000-0000-000017010000}"/>
    <cellStyle name="Date 2" xfId="321" xr:uid="{00000000-0005-0000-0000-000018010000}"/>
    <cellStyle name="Date-Regulatory" xfId="142" xr:uid="{00000000-0005-0000-0000-000019010000}"/>
    <cellStyle name="Euro" xfId="143" xr:uid="{00000000-0005-0000-0000-00001A010000}"/>
    <cellStyle name="Explanatory Text" xfId="356" builtinId="53" customBuiltin="1"/>
    <cellStyle name="Good" xfId="347" builtinId="26" customBuiltin="1"/>
    <cellStyle name="Heading 1" xfId="343" builtinId="16" customBuiltin="1"/>
    <cellStyle name="Heading 2" xfId="344" builtinId="17" customBuiltin="1"/>
    <cellStyle name="Heading 3" xfId="345" builtinId="18" customBuiltin="1"/>
    <cellStyle name="Heading 4" xfId="346" builtinId="19" customBuiltin="1"/>
    <cellStyle name="Input" xfId="350" builtinId="20" customBuiltin="1"/>
    <cellStyle name="Linked Cell" xfId="353" builtinId="24" customBuiltin="1"/>
    <cellStyle name="Neutral" xfId="349" builtinId="28" customBuiltin="1"/>
    <cellStyle name="Normal" xfId="0" builtinId="0"/>
    <cellStyle name="Normal 10" xfId="27" xr:uid="{00000000-0005-0000-0000-000025010000}"/>
    <cellStyle name="Normal 10 2" xfId="28" xr:uid="{00000000-0005-0000-0000-000026010000}"/>
    <cellStyle name="Normal 10 2 2" xfId="90" xr:uid="{00000000-0005-0000-0000-000027010000}"/>
    <cellStyle name="Normal 10 2 2 2" xfId="207" xr:uid="{00000000-0005-0000-0000-000028010000}"/>
    <cellStyle name="Normal 10 2 2 2 2" xfId="488" xr:uid="{00000000-0005-0000-0000-000029010000}"/>
    <cellStyle name="Normal 10 2 2 2 3" xfId="664" xr:uid="{00000000-0005-0000-0000-00002A010000}"/>
    <cellStyle name="Normal 10 2 2 3" xfId="441" xr:uid="{00000000-0005-0000-0000-00002B010000}"/>
    <cellStyle name="Normal 10 2 2 4" xfId="619" xr:uid="{00000000-0005-0000-0000-00002C010000}"/>
    <cellStyle name="Normal 10 2 3" xfId="102" xr:uid="{00000000-0005-0000-0000-00002D010000}"/>
    <cellStyle name="Normal 10 2 3 2" xfId="209" xr:uid="{00000000-0005-0000-0000-00002E010000}"/>
    <cellStyle name="Normal 10 2 3 2 2" xfId="489" xr:uid="{00000000-0005-0000-0000-00002F010000}"/>
    <cellStyle name="Normal 10 2 3 2 3" xfId="665" xr:uid="{00000000-0005-0000-0000-000030010000}"/>
    <cellStyle name="Normal 10 2 3 3" xfId="442" xr:uid="{00000000-0005-0000-0000-000031010000}"/>
    <cellStyle name="Normal 10 2 3 4" xfId="620" xr:uid="{00000000-0005-0000-0000-000032010000}"/>
    <cellStyle name="Normal 10 2 4" xfId="130" xr:uid="{00000000-0005-0000-0000-000033010000}"/>
    <cellStyle name="Normal 10 2 4 2" xfId="216" xr:uid="{00000000-0005-0000-0000-000034010000}"/>
    <cellStyle name="Normal 10 2 4 2 2" xfId="493" xr:uid="{00000000-0005-0000-0000-000035010000}"/>
    <cellStyle name="Normal 10 2 4 2 3" xfId="669" xr:uid="{00000000-0005-0000-0000-000036010000}"/>
    <cellStyle name="Normal 10 2 4 3" xfId="446" xr:uid="{00000000-0005-0000-0000-000037010000}"/>
    <cellStyle name="Normal 10 2 4 4" xfId="624" xr:uid="{00000000-0005-0000-0000-000038010000}"/>
    <cellStyle name="Normal 10 2 5" xfId="203" xr:uid="{00000000-0005-0000-0000-000039010000}"/>
    <cellStyle name="Normal 10 2 5 2" xfId="486" xr:uid="{00000000-0005-0000-0000-00003A010000}"/>
    <cellStyle name="Normal 10 2 5 3" xfId="662" xr:uid="{00000000-0005-0000-0000-00003B010000}"/>
    <cellStyle name="Normal 10 2 6" xfId="439" xr:uid="{00000000-0005-0000-0000-00003C010000}"/>
    <cellStyle name="Normal 10 2 7" xfId="617" xr:uid="{00000000-0005-0000-0000-00003D010000}"/>
    <cellStyle name="Normal 10 3" xfId="87" xr:uid="{00000000-0005-0000-0000-00003E010000}"/>
    <cellStyle name="Normal 10 3 2" xfId="108" xr:uid="{00000000-0005-0000-0000-00003F010000}"/>
    <cellStyle name="Normal 10 3 2 2" xfId="211" xr:uid="{00000000-0005-0000-0000-000040010000}"/>
    <cellStyle name="Normal 10 3 2 2 2" xfId="491" xr:uid="{00000000-0005-0000-0000-000041010000}"/>
    <cellStyle name="Normal 10 3 2 2 3" xfId="667" xr:uid="{00000000-0005-0000-0000-000042010000}"/>
    <cellStyle name="Normal 10 3 2 3" xfId="444" xr:uid="{00000000-0005-0000-0000-000043010000}"/>
    <cellStyle name="Normal 10 3 2 4" xfId="622" xr:uid="{00000000-0005-0000-0000-000044010000}"/>
    <cellStyle name="Normal 10 3 3" xfId="132" xr:uid="{00000000-0005-0000-0000-000045010000}"/>
    <cellStyle name="Normal 10 3 3 2" xfId="217" xr:uid="{00000000-0005-0000-0000-000046010000}"/>
    <cellStyle name="Normal 10 3 3 2 2" xfId="494" xr:uid="{00000000-0005-0000-0000-000047010000}"/>
    <cellStyle name="Normal 10 3 3 2 3" xfId="670" xr:uid="{00000000-0005-0000-0000-000048010000}"/>
    <cellStyle name="Normal 10 3 3 3" xfId="447" xr:uid="{00000000-0005-0000-0000-000049010000}"/>
    <cellStyle name="Normal 10 3 3 4" xfId="625" xr:uid="{00000000-0005-0000-0000-00004A010000}"/>
    <cellStyle name="Normal 10 3 4" xfId="205" xr:uid="{00000000-0005-0000-0000-00004B010000}"/>
    <cellStyle name="Normal 10 4" xfId="103" xr:uid="{00000000-0005-0000-0000-00004C010000}"/>
    <cellStyle name="Normal 10 4 2" xfId="210" xr:uid="{00000000-0005-0000-0000-00004D010000}"/>
    <cellStyle name="Normal 10 4 2 2" xfId="490" xr:uid="{00000000-0005-0000-0000-00004E010000}"/>
    <cellStyle name="Normal 10 4 2 3" xfId="666" xr:uid="{00000000-0005-0000-0000-00004F010000}"/>
    <cellStyle name="Normal 10 4 3" xfId="443" xr:uid="{00000000-0005-0000-0000-000050010000}"/>
    <cellStyle name="Normal 10 4 4" xfId="621" xr:uid="{00000000-0005-0000-0000-000051010000}"/>
    <cellStyle name="Normal 10 5" xfId="128" xr:uid="{00000000-0005-0000-0000-000052010000}"/>
    <cellStyle name="Normal 10 5 2" xfId="214" xr:uid="{00000000-0005-0000-0000-000053010000}"/>
    <cellStyle name="Normal 10 6" xfId="202" xr:uid="{00000000-0005-0000-0000-000054010000}"/>
    <cellStyle name="Normal 10 6 2" xfId="485" xr:uid="{00000000-0005-0000-0000-000055010000}"/>
    <cellStyle name="Normal 10 6 3" xfId="661" xr:uid="{00000000-0005-0000-0000-000056010000}"/>
    <cellStyle name="Normal 10 7" xfId="438" xr:uid="{00000000-0005-0000-0000-000057010000}"/>
    <cellStyle name="Normal 10 8" xfId="616" xr:uid="{00000000-0005-0000-0000-000058010000}"/>
    <cellStyle name="Normal 11" xfId="29" xr:uid="{00000000-0005-0000-0000-000059010000}"/>
    <cellStyle name="Normal 11 2" xfId="164" xr:uid="{00000000-0005-0000-0000-00005A010000}"/>
    <cellStyle name="Normal 11 2 2" xfId="179" xr:uid="{00000000-0005-0000-0000-00005B010000}"/>
    <cellStyle name="Normal 11 2 3" xfId="223" xr:uid="{00000000-0005-0000-0000-00005C010000}"/>
    <cellStyle name="Normal 11 3" xfId="165" xr:uid="{00000000-0005-0000-0000-00005D010000}"/>
    <cellStyle name="Normal 11 4" xfId="327" xr:uid="{00000000-0005-0000-0000-00005E010000}"/>
    <cellStyle name="Normal 12" xfId="30" xr:uid="{00000000-0005-0000-0000-00005F010000}"/>
    <cellStyle name="Normal 12 2" xfId="328" xr:uid="{00000000-0005-0000-0000-000060010000}"/>
    <cellStyle name="Normal 13" xfId="88" xr:uid="{00000000-0005-0000-0000-000061010000}"/>
    <cellStyle name="Normal 13 2" xfId="180" xr:uid="{00000000-0005-0000-0000-000062010000}"/>
    <cellStyle name="Normal 13 2 2" xfId="263" xr:uid="{00000000-0005-0000-0000-000063010000}"/>
    <cellStyle name="Normal 13 3" xfId="181" xr:uid="{00000000-0005-0000-0000-000064010000}"/>
    <cellStyle name="Normal 13 4" xfId="329" xr:uid="{00000000-0005-0000-0000-000065010000}"/>
    <cellStyle name="Normal 14" xfId="127" xr:uid="{00000000-0005-0000-0000-000066010000}"/>
    <cellStyle name="Normal 15" xfId="134" xr:uid="{00000000-0005-0000-0000-000067010000}"/>
    <cellStyle name="Normal 16" xfId="136" xr:uid="{00000000-0005-0000-0000-000068010000}"/>
    <cellStyle name="Normal 17" xfId="138" xr:uid="{00000000-0005-0000-0000-000069010000}"/>
    <cellStyle name="Normal 17 2" xfId="333" xr:uid="{00000000-0005-0000-0000-00006A010000}"/>
    <cellStyle name="Normal 18" xfId="149" xr:uid="{00000000-0005-0000-0000-00006B010000}"/>
    <cellStyle name="Normal 18 2" xfId="221" xr:uid="{00000000-0005-0000-0000-00006C010000}"/>
    <cellStyle name="Normal 18 3" xfId="289" xr:uid="{00000000-0005-0000-0000-00006D010000}"/>
    <cellStyle name="Normal 19" xfId="152" xr:uid="{00000000-0005-0000-0000-00006E010000}"/>
    <cellStyle name="Normal 2" xfId="31" xr:uid="{00000000-0005-0000-0000-00006F010000}"/>
    <cellStyle name="Normal 2 10" xfId="153" xr:uid="{00000000-0005-0000-0000-000070010000}"/>
    <cellStyle name="Normal 2 10 2" xfId="264" xr:uid="{00000000-0005-0000-0000-000071010000}"/>
    <cellStyle name="Normal 2 11" xfId="169" xr:uid="{00000000-0005-0000-0000-000072010000}"/>
    <cellStyle name="Normal 2 11 2" xfId="240" xr:uid="{00000000-0005-0000-0000-000073010000}"/>
    <cellStyle name="Normal 2 11 2 2" xfId="512" xr:uid="{00000000-0005-0000-0000-000074010000}"/>
    <cellStyle name="Normal 2 11 2 3" xfId="688" xr:uid="{00000000-0005-0000-0000-000075010000}"/>
    <cellStyle name="Normal 2 11 3" xfId="458" xr:uid="{00000000-0005-0000-0000-000076010000}"/>
    <cellStyle name="Normal 2 11 4" xfId="636" xr:uid="{00000000-0005-0000-0000-000077010000}"/>
    <cellStyle name="Normal 2 12" xfId="197" xr:uid="{00000000-0005-0000-0000-000078010000}"/>
    <cellStyle name="Normal 2 13" xfId="323" xr:uid="{00000000-0005-0000-0000-000079010000}"/>
    <cellStyle name="Normal 2 13 2" xfId="537" xr:uid="{00000000-0005-0000-0000-00007A010000}"/>
    <cellStyle name="Normal 2 13 3" xfId="713" xr:uid="{00000000-0005-0000-0000-00007B010000}"/>
    <cellStyle name="Normal 2 16" xfId="386" xr:uid="{00000000-0005-0000-0000-00007C010000}"/>
    <cellStyle name="Normal 2 2" xfId="32" xr:uid="{00000000-0005-0000-0000-00007D010000}"/>
    <cellStyle name="Normal 2 2 2" xfId="71" xr:uid="{00000000-0005-0000-0000-00007E010000}"/>
    <cellStyle name="Normal 2 2 2 2" xfId="281" xr:uid="{00000000-0005-0000-0000-00007F010000}"/>
    <cellStyle name="Normal 2 2 3" xfId="100" xr:uid="{00000000-0005-0000-0000-000080010000}"/>
    <cellStyle name="Normal 2 2 4" xfId="68" xr:uid="{00000000-0005-0000-0000-000081010000}"/>
    <cellStyle name="Normal 2 2 5" xfId="154" xr:uid="{00000000-0005-0000-0000-000082010000}"/>
    <cellStyle name="Normal 2 2 5 2" xfId="222" xr:uid="{00000000-0005-0000-0000-000083010000}"/>
    <cellStyle name="Normal 2 2 5 2 2" xfId="497" xr:uid="{00000000-0005-0000-0000-000084010000}"/>
    <cellStyle name="Normal 2 2 5 2 3" xfId="673" xr:uid="{00000000-0005-0000-0000-000085010000}"/>
    <cellStyle name="Normal 2 2 5 3" xfId="450" xr:uid="{00000000-0005-0000-0000-000086010000}"/>
    <cellStyle name="Normal 2 2 5 4" xfId="628" xr:uid="{00000000-0005-0000-0000-000087010000}"/>
    <cellStyle name="Normal 2 2 6" xfId="265" xr:uid="{00000000-0005-0000-0000-000088010000}"/>
    <cellStyle name="Normal 2 2 7" xfId="266" xr:uid="{00000000-0005-0000-0000-000089010000}"/>
    <cellStyle name="Normal 2 2 8" xfId="412" xr:uid="{00000000-0005-0000-0000-00008A010000}"/>
    <cellStyle name="Normal 2 3" xfId="70" xr:uid="{00000000-0005-0000-0000-00008B010000}"/>
    <cellStyle name="Normal 2 36" xfId="267" xr:uid="{00000000-0005-0000-0000-00008C010000}"/>
    <cellStyle name="Normal 2 4" xfId="109" xr:uid="{00000000-0005-0000-0000-00008D010000}"/>
    <cellStyle name="Normal 2 5" xfId="101" xr:uid="{00000000-0005-0000-0000-00008E010000}"/>
    <cellStyle name="Normal 2 6" xfId="69" xr:uid="{00000000-0005-0000-0000-00008F010000}"/>
    <cellStyle name="Normal 2 7" xfId="147" xr:uid="{00000000-0005-0000-0000-000090010000}"/>
    <cellStyle name="Normal 2 8" xfId="148" xr:uid="{00000000-0005-0000-0000-000091010000}"/>
    <cellStyle name="Normal 2 8 2" xfId="220" xr:uid="{00000000-0005-0000-0000-000092010000}"/>
    <cellStyle name="Normal 2 8 2 2" xfId="496" xr:uid="{00000000-0005-0000-0000-000093010000}"/>
    <cellStyle name="Normal 2 8 2 3" xfId="672" xr:uid="{00000000-0005-0000-0000-000094010000}"/>
    <cellStyle name="Normal 2 8 3" xfId="334" xr:uid="{00000000-0005-0000-0000-000095010000}"/>
    <cellStyle name="Normal 2 8 4" xfId="449" xr:uid="{00000000-0005-0000-0000-000096010000}"/>
    <cellStyle name="Normal 2 8 5" xfId="627" xr:uid="{00000000-0005-0000-0000-000097010000}"/>
    <cellStyle name="Normal 2 9" xfId="150" xr:uid="{00000000-0005-0000-0000-000098010000}"/>
    <cellStyle name="Normal 2 9 2" xfId="335" xr:uid="{00000000-0005-0000-0000-000099010000}"/>
    <cellStyle name="Normal 2_LUSIMFR22" xfId="33" xr:uid="{00000000-0005-0000-0000-00009A010000}"/>
    <cellStyle name="Normal 20" xfId="155" xr:uid="{00000000-0005-0000-0000-00009B010000}"/>
    <cellStyle name="Normal 21" xfId="156" xr:uid="{00000000-0005-0000-0000-00009C010000}"/>
    <cellStyle name="Normal 22" xfId="157" xr:uid="{00000000-0005-0000-0000-00009D010000}"/>
    <cellStyle name="Normal 22 2" xfId="336" xr:uid="{00000000-0005-0000-0000-00009E010000}"/>
    <cellStyle name="Normal 23" xfId="158" xr:uid="{00000000-0005-0000-0000-00009F010000}"/>
    <cellStyle name="Normal 23 2" xfId="268" xr:uid="{00000000-0005-0000-0000-0000A0010000}"/>
    <cellStyle name="Normal 23 3" xfId="269" xr:uid="{00000000-0005-0000-0000-0000A1010000}"/>
    <cellStyle name="Normal 23 4" xfId="270" xr:uid="{00000000-0005-0000-0000-0000A2010000}"/>
    <cellStyle name="Normal 24" xfId="160" xr:uid="{00000000-0005-0000-0000-0000A3010000}"/>
    <cellStyle name="Normal 24 2" xfId="227" xr:uid="{00000000-0005-0000-0000-0000A4010000}"/>
    <cellStyle name="Normal 24 2 2" xfId="501" xr:uid="{00000000-0005-0000-0000-0000A5010000}"/>
    <cellStyle name="Normal 24 2 3" xfId="677" xr:uid="{00000000-0005-0000-0000-0000A6010000}"/>
    <cellStyle name="Normal 24 3" xfId="421" xr:uid="{00000000-0005-0000-0000-0000A7010000}"/>
    <cellStyle name="Normal 24 3 2" xfId="599" xr:uid="{00000000-0005-0000-0000-0000A8010000}"/>
    <cellStyle name="Normal 24 3 3" xfId="775" xr:uid="{00000000-0005-0000-0000-0000A9010000}"/>
    <cellStyle name="Normal 24 4" xfId="451" xr:uid="{00000000-0005-0000-0000-0000AA010000}"/>
    <cellStyle name="Normal 24 5" xfId="629" xr:uid="{00000000-0005-0000-0000-0000AB010000}"/>
    <cellStyle name="Normal 25" xfId="162" xr:uid="{00000000-0005-0000-0000-0000AC010000}"/>
    <cellStyle name="Normal 25 2" xfId="228" xr:uid="{00000000-0005-0000-0000-0000AD010000}"/>
    <cellStyle name="Normal 25 2 2" xfId="502" xr:uid="{00000000-0005-0000-0000-0000AE010000}"/>
    <cellStyle name="Normal 25 2 3" xfId="678" xr:uid="{00000000-0005-0000-0000-0000AF010000}"/>
    <cellStyle name="Normal 25 3" xfId="453" xr:uid="{00000000-0005-0000-0000-0000B0010000}"/>
    <cellStyle name="Normal 25 4" xfId="631" xr:uid="{00000000-0005-0000-0000-0000B1010000}"/>
    <cellStyle name="Normal 26" xfId="166" xr:uid="{00000000-0005-0000-0000-0000B2010000}"/>
    <cellStyle name="Normal 26 2" xfId="229" xr:uid="{00000000-0005-0000-0000-0000B3010000}"/>
    <cellStyle name="Normal 26 2 2" xfId="503" xr:uid="{00000000-0005-0000-0000-0000B4010000}"/>
    <cellStyle name="Normal 26 2 3" xfId="679" xr:uid="{00000000-0005-0000-0000-0000B5010000}"/>
    <cellStyle name="Normal 26 3" xfId="455" xr:uid="{00000000-0005-0000-0000-0000B6010000}"/>
    <cellStyle name="Normal 26 4" xfId="633" xr:uid="{00000000-0005-0000-0000-0000B7010000}"/>
    <cellStyle name="Normal 27" xfId="174" xr:uid="{00000000-0005-0000-0000-0000B8010000}"/>
    <cellStyle name="Normal 27 2" xfId="230" xr:uid="{00000000-0005-0000-0000-0000B9010000}"/>
    <cellStyle name="Normal 27 2 2" xfId="504" xr:uid="{00000000-0005-0000-0000-0000BA010000}"/>
    <cellStyle name="Normal 27 2 3" xfId="680" xr:uid="{00000000-0005-0000-0000-0000BB010000}"/>
    <cellStyle name="Normal 27 3" xfId="463" xr:uid="{00000000-0005-0000-0000-0000BC010000}"/>
    <cellStyle name="Normal 28" xfId="175" xr:uid="{00000000-0005-0000-0000-0000BD010000}"/>
    <cellStyle name="Normal 28 2" xfId="233" xr:uid="{00000000-0005-0000-0000-0000BE010000}"/>
    <cellStyle name="Normal 28 2 2" xfId="507" xr:uid="{00000000-0005-0000-0000-0000BF010000}"/>
    <cellStyle name="Normal 28 2 3" xfId="683" xr:uid="{00000000-0005-0000-0000-0000C0010000}"/>
    <cellStyle name="Normal 28 3" xfId="313" xr:uid="{00000000-0005-0000-0000-0000C1010000}"/>
    <cellStyle name="Normal 28 3 2" xfId="532" xr:uid="{00000000-0005-0000-0000-0000C2010000}"/>
    <cellStyle name="Normal 28 3 3" xfId="708" xr:uid="{00000000-0005-0000-0000-0000C3010000}"/>
    <cellStyle name="Normal 28 4" xfId="464" xr:uid="{00000000-0005-0000-0000-0000C4010000}"/>
    <cellStyle name="Normal 28 5" xfId="641" xr:uid="{00000000-0005-0000-0000-0000C5010000}"/>
    <cellStyle name="Normal 29" xfId="182" xr:uid="{00000000-0005-0000-0000-0000C6010000}"/>
    <cellStyle name="Normal 29 2" xfId="234" xr:uid="{00000000-0005-0000-0000-0000C7010000}"/>
    <cellStyle name="Normal 29 3" xfId="468" xr:uid="{00000000-0005-0000-0000-0000C8010000}"/>
    <cellStyle name="Normal 29 4" xfId="645" xr:uid="{00000000-0005-0000-0000-0000C9010000}"/>
    <cellStyle name="Normal 3" xfId="34" xr:uid="{00000000-0005-0000-0000-0000CA010000}"/>
    <cellStyle name="Normal 3 10" xfId="271" xr:uid="{00000000-0005-0000-0000-0000CB010000}"/>
    <cellStyle name="Normal 3 11" xfId="325" xr:uid="{00000000-0005-0000-0000-0000CC010000}"/>
    <cellStyle name="Normal 3 11 2" xfId="539" xr:uid="{00000000-0005-0000-0000-0000CD010000}"/>
    <cellStyle name="Normal 3 11 3" xfId="715" xr:uid="{00000000-0005-0000-0000-0000CE010000}"/>
    <cellStyle name="Normal 3 14" xfId="341" xr:uid="{00000000-0005-0000-0000-0000CF010000}"/>
    <cellStyle name="Normal 3 2" xfId="51" xr:uid="{00000000-0005-0000-0000-0000D0010000}"/>
    <cellStyle name="Normal 3 2 2" xfId="172" xr:uid="{00000000-0005-0000-0000-0000D1010000}"/>
    <cellStyle name="Normal 3 2 2 2" xfId="186" xr:uid="{00000000-0005-0000-0000-0000D2010000}"/>
    <cellStyle name="Normal 3 2 2 2 2" xfId="188" xr:uid="{00000000-0005-0000-0000-0000D3010000}"/>
    <cellStyle name="Normal 3 2 2 2 2 2" xfId="247" xr:uid="{00000000-0005-0000-0000-0000D4010000}"/>
    <cellStyle name="Normal 3 2 2 2 2 2 2" xfId="519" xr:uid="{00000000-0005-0000-0000-0000D5010000}"/>
    <cellStyle name="Normal 3 2 2 2 2 2 3" xfId="695" xr:uid="{00000000-0005-0000-0000-0000D6010000}"/>
    <cellStyle name="Normal 3 2 2 2 2 3" xfId="474" xr:uid="{00000000-0005-0000-0000-0000D7010000}"/>
    <cellStyle name="Normal 3 2 2 2 2 4" xfId="651" xr:uid="{00000000-0005-0000-0000-0000D8010000}"/>
    <cellStyle name="Normal 3 2 2 2 3" xfId="246" xr:uid="{00000000-0005-0000-0000-0000D9010000}"/>
    <cellStyle name="Normal 3 2 2 2 3 2" xfId="518" xr:uid="{00000000-0005-0000-0000-0000DA010000}"/>
    <cellStyle name="Normal 3 2 2 2 3 3" xfId="694" xr:uid="{00000000-0005-0000-0000-0000DB010000}"/>
    <cellStyle name="Normal 3 2 2 2 4" xfId="472" xr:uid="{00000000-0005-0000-0000-0000DC010000}"/>
    <cellStyle name="Normal 3 2 2 2 5" xfId="649" xr:uid="{00000000-0005-0000-0000-0000DD010000}"/>
    <cellStyle name="Normal 3 2 2 3" xfId="241" xr:uid="{00000000-0005-0000-0000-0000DE010000}"/>
    <cellStyle name="Normal 3 2 2 3 2" xfId="513" xr:uid="{00000000-0005-0000-0000-0000DF010000}"/>
    <cellStyle name="Normal 3 2 2 3 3" xfId="689" xr:uid="{00000000-0005-0000-0000-0000E0010000}"/>
    <cellStyle name="Normal 3 2 2 4" xfId="461" xr:uid="{00000000-0005-0000-0000-0000E1010000}"/>
    <cellStyle name="Normal 3 2 2 5" xfId="639" xr:uid="{00000000-0005-0000-0000-0000E2010000}"/>
    <cellStyle name="Normal 3 2 3" xfId="252" xr:uid="{00000000-0005-0000-0000-0000E3010000}"/>
    <cellStyle name="Normal 3 3" xfId="72" xr:uid="{00000000-0005-0000-0000-0000E4010000}"/>
    <cellStyle name="Normal 3 4" xfId="99" xr:uid="{00000000-0005-0000-0000-0000E5010000}"/>
    <cellStyle name="Normal 3 5" xfId="67" xr:uid="{00000000-0005-0000-0000-0000E6010000}"/>
    <cellStyle name="Normal 3 6" xfId="200" xr:uid="{00000000-0005-0000-0000-0000E7010000}"/>
    <cellStyle name="Normal 3 6 2" xfId="326" xr:uid="{00000000-0005-0000-0000-0000E8010000}"/>
    <cellStyle name="Normal 3 6 3" xfId="483" xr:uid="{00000000-0005-0000-0000-0000E9010000}"/>
    <cellStyle name="Normal 3 7" xfId="286" xr:uid="{00000000-0005-0000-0000-0000EA010000}"/>
    <cellStyle name="Normal 3 7 2" xfId="330" xr:uid="{00000000-0005-0000-0000-0000EB010000}"/>
    <cellStyle name="Normal 3 8" xfId="331" xr:uid="{00000000-0005-0000-0000-0000EC010000}"/>
    <cellStyle name="Normal 3 9" xfId="332" xr:uid="{00000000-0005-0000-0000-0000ED010000}"/>
    <cellStyle name="Normal 30" xfId="183" xr:uid="{00000000-0005-0000-0000-0000EE010000}"/>
    <cellStyle name="Normal 30 2" xfId="235" xr:uid="{00000000-0005-0000-0000-0000EF010000}"/>
    <cellStyle name="Normal 30 3" xfId="469" xr:uid="{00000000-0005-0000-0000-0000F0010000}"/>
    <cellStyle name="Normal 30 4" xfId="646" xr:uid="{00000000-0005-0000-0000-0000F1010000}"/>
    <cellStyle name="Normal 31" xfId="184" xr:uid="{00000000-0005-0000-0000-0000F2010000}"/>
    <cellStyle name="Normal 31 2" xfId="236" xr:uid="{00000000-0005-0000-0000-0000F3010000}"/>
    <cellStyle name="Normal 31 2 2" xfId="508" xr:uid="{00000000-0005-0000-0000-0000F4010000}"/>
    <cellStyle name="Normal 31 2 3" xfId="684" xr:uid="{00000000-0005-0000-0000-0000F5010000}"/>
    <cellStyle name="Normal 31 3" xfId="470" xr:uid="{00000000-0005-0000-0000-0000F6010000}"/>
    <cellStyle name="Normal 31 4" xfId="647" xr:uid="{00000000-0005-0000-0000-0000F7010000}"/>
    <cellStyle name="Normal 32" xfId="190" xr:uid="{00000000-0005-0000-0000-0000F8010000}"/>
    <cellStyle name="Normal 32 2" xfId="249" xr:uid="{00000000-0005-0000-0000-0000F9010000}"/>
    <cellStyle name="Normal 32 2 2" xfId="521" xr:uid="{00000000-0005-0000-0000-0000FA010000}"/>
    <cellStyle name="Normal 32 2 3" xfId="697" xr:uid="{00000000-0005-0000-0000-0000FB010000}"/>
    <cellStyle name="Normal 32 3" xfId="476" xr:uid="{00000000-0005-0000-0000-0000FC010000}"/>
    <cellStyle name="Normal 32 4" xfId="653" xr:uid="{00000000-0005-0000-0000-0000FD010000}"/>
    <cellStyle name="Normal 33" xfId="192" xr:uid="{00000000-0005-0000-0000-0000FE010000}"/>
    <cellStyle name="Normal 33 2" xfId="251" xr:uid="{00000000-0005-0000-0000-0000FF010000}"/>
    <cellStyle name="Normal 33 2 2" xfId="523" xr:uid="{00000000-0005-0000-0000-000000020000}"/>
    <cellStyle name="Normal 33 2 3" xfId="699" xr:uid="{00000000-0005-0000-0000-000001020000}"/>
    <cellStyle name="Normal 33 3" xfId="478" xr:uid="{00000000-0005-0000-0000-000002020000}"/>
    <cellStyle name="Normal 33 4" xfId="655" xr:uid="{00000000-0005-0000-0000-000003020000}"/>
    <cellStyle name="Normal 34" xfId="194" xr:uid="{00000000-0005-0000-0000-000004020000}"/>
    <cellStyle name="Normal 34 2" xfId="480" xr:uid="{00000000-0005-0000-0000-000005020000}"/>
    <cellStyle name="Normal 34 3" xfId="657" xr:uid="{00000000-0005-0000-0000-000006020000}"/>
    <cellStyle name="Normal 35" xfId="201" xr:uid="{00000000-0005-0000-0000-000007020000}"/>
    <cellStyle name="Normal 35 2" xfId="484" xr:uid="{00000000-0005-0000-0000-000008020000}"/>
    <cellStyle name="Normal 35 3" xfId="660" xr:uid="{00000000-0005-0000-0000-000009020000}"/>
    <cellStyle name="Normal 36" xfId="282" xr:uid="{00000000-0005-0000-0000-00000A020000}"/>
    <cellStyle name="Normal 36 2" xfId="524" xr:uid="{00000000-0005-0000-0000-00000B020000}"/>
    <cellStyle name="Normal 36 3" xfId="700" xr:uid="{00000000-0005-0000-0000-00000C020000}"/>
    <cellStyle name="Normal 37" xfId="285" xr:uid="{00000000-0005-0000-0000-00000D020000}"/>
    <cellStyle name="Normal 37 2" xfId="527" xr:uid="{00000000-0005-0000-0000-00000E020000}"/>
    <cellStyle name="Normal 37 3" xfId="703" xr:uid="{00000000-0005-0000-0000-00000F020000}"/>
    <cellStyle name="Normal 38" xfId="287" xr:uid="{00000000-0005-0000-0000-000010020000}"/>
    <cellStyle name="Normal 38 2" xfId="528" xr:uid="{00000000-0005-0000-0000-000011020000}"/>
    <cellStyle name="Normal 38 3" xfId="704" xr:uid="{00000000-0005-0000-0000-000012020000}"/>
    <cellStyle name="Normal 39" xfId="288" xr:uid="{00000000-0005-0000-0000-000013020000}"/>
    <cellStyle name="Normal 39 2" xfId="529" xr:uid="{00000000-0005-0000-0000-000014020000}"/>
    <cellStyle name="Normal 39 3" xfId="705" xr:uid="{00000000-0005-0000-0000-000015020000}"/>
    <cellStyle name="Normal 4" xfId="35" xr:uid="{00000000-0005-0000-0000-000016020000}"/>
    <cellStyle name="Normal 4 2" xfId="52" xr:uid="{00000000-0005-0000-0000-000017020000}"/>
    <cellStyle name="Normal 4 3" xfId="73" xr:uid="{00000000-0005-0000-0000-000018020000}"/>
    <cellStyle name="Normal 4 4" xfId="95" xr:uid="{00000000-0005-0000-0000-000019020000}"/>
    <cellStyle name="Normal 4 5" xfId="66" xr:uid="{00000000-0005-0000-0000-00001A020000}"/>
    <cellStyle name="Normal 4 6" xfId="337" xr:uid="{00000000-0005-0000-0000-00001B020000}"/>
    <cellStyle name="Normal 4 6 2" xfId="540" xr:uid="{00000000-0005-0000-0000-00001C020000}"/>
    <cellStyle name="Normal 4 6 3" xfId="716" xr:uid="{00000000-0005-0000-0000-00001D020000}"/>
    <cellStyle name="Normal 40" xfId="315" xr:uid="{00000000-0005-0000-0000-00001E020000}"/>
    <cellStyle name="Normal 40 2" xfId="534" xr:uid="{00000000-0005-0000-0000-00001F020000}"/>
    <cellStyle name="Normal 40 3" xfId="710" xr:uid="{00000000-0005-0000-0000-000020020000}"/>
    <cellStyle name="Normal 41" xfId="297" xr:uid="{00000000-0005-0000-0000-000021020000}"/>
    <cellStyle name="Normal 41 2" xfId="530" xr:uid="{00000000-0005-0000-0000-000022020000}"/>
    <cellStyle name="Normal 41 3" xfId="706" xr:uid="{00000000-0005-0000-0000-000023020000}"/>
    <cellStyle name="Normal 42" xfId="298" xr:uid="{00000000-0005-0000-0000-000024020000}"/>
    <cellStyle name="Normal 42 2" xfId="531" xr:uid="{00000000-0005-0000-0000-000025020000}"/>
    <cellStyle name="Normal 42 3" xfId="707" xr:uid="{00000000-0005-0000-0000-000026020000}"/>
    <cellStyle name="Normal 43" xfId="314" xr:uid="{00000000-0005-0000-0000-000027020000}"/>
    <cellStyle name="Normal 43 2" xfId="533" xr:uid="{00000000-0005-0000-0000-000028020000}"/>
    <cellStyle name="Normal 43 3" xfId="709" xr:uid="{00000000-0005-0000-0000-000029020000}"/>
    <cellStyle name="Normal 44" xfId="316" xr:uid="{00000000-0005-0000-0000-00002A020000}"/>
    <cellStyle name="Normal 44 2" xfId="535" xr:uid="{00000000-0005-0000-0000-00002B020000}"/>
    <cellStyle name="Normal 44 3" xfId="711" xr:uid="{00000000-0005-0000-0000-00002C020000}"/>
    <cellStyle name="Normal 45" xfId="318" xr:uid="{00000000-0005-0000-0000-00002D020000}"/>
    <cellStyle name="Normal 46" xfId="382" xr:uid="{00000000-0005-0000-0000-00002E020000}"/>
    <cellStyle name="Normal 46 2" xfId="562" xr:uid="{00000000-0005-0000-0000-00002F020000}"/>
    <cellStyle name="Normal 46 3" xfId="738" xr:uid="{00000000-0005-0000-0000-000030020000}"/>
    <cellStyle name="Normal 47" xfId="389" xr:uid="{00000000-0005-0000-0000-000031020000}"/>
    <cellStyle name="Normal 47 2" xfId="568" xr:uid="{00000000-0005-0000-0000-000032020000}"/>
    <cellStyle name="Normal 47 3" xfId="744" xr:uid="{00000000-0005-0000-0000-000033020000}"/>
    <cellStyle name="Normal 48" xfId="393" xr:uid="{00000000-0005-0000-0000-000034020000}"/>
    <cellStyle name="Normal 48 2" xfId="572" xr:uid="{00000000-0005-0000-0000-000035020000}"/>
    <cellStyle name="Normal 48 3" xfId="748" xr:uid="{00000000-0005-0000-0000-000036020000}"/>
    <cellStyle name="Normal 49" xfId="391" xr:uid="{00000000-0005-0000-0000-000037020000}"/>
    <cellStyle name="Normal 49 2" xfId="570" xr:uid="{00000000-0005-0000-0000-000038020000}"/>
    <cellStyle name="Normal 49 3" xfId="746" xr:uid="{00000000-0005-0000-0000-000039020000}"/>
    <cellStyle name="Normal 5" xfId="36" xr:uid="{00000000-0005-0000-0000-00003A020000}"/>
    <cellStyle name="Normal 5 2" xfId="112" xr:uid="{00000000-0005-0000-0000-00003B020000}"/>
    <cellStyle name="Normal 5 2 2" xfId="212" xr:uid="{00000000-0005-0000-0000-00003C020000}"/>
    <cellStyle name="Normal 5 3" xfId="94" xr:uid="{00000000-0005-0000-0000-00003D020000}"/>
    <cellStyle name="Normal 5 3 2" xfId="208" xr:uid="{00000000-0005-0000-0000-00003E020000}"/>
    <cellStyle name="Normal 5 4" xfId="204" xr:uid="{00000000-0005-0000-0000-00003F020000}"/>
    <cellStyle name="Normal 5 5" xfId="272" xr:uid="{00000000-0005-0000-0000-000040020000}"/>
    <cellStyle name="Normal 5 6" xfId="339" xr:uid="{00000000-0005-0000-0000-000041020000}"/>
    <cellStyle name="Normal 5 6 2" xfId="542" xr:uid="{00000000-0005-0000-0000-000042020000}"/>
    <cellStyle name="Normal 5 6 3" xfId="718" xr:uid="{00000000-0005-0000-0000-000043020000}"/>
    <cellStyle name="Normal 50" xfId="398" xr:uid="{00000000-0005-0000-0000-000044020000}"/>
    <cellStyle name="Normal 50 2" xfId="577" xr:uid="{00000000-0005-0000-0000-000045020000}"/>
    <cellStyle name="Normal 50 3" xfId="753" xr:uid="{00000000-0005-0000-0000-000046020000}"/>
    <cellStyle name="Normal 51" xfId="394" xr:uid="{00000000-0005-0000-0000-000047020000}"/>
    <cellStyle name="Normal 51 2" xfId="573" xr:uid="{00000000-0005-0000-0000-000048020000}"/>
    <cellStyle name="Normal 51 3" xfId="749" xr:uid="{00000000-0005-0000-0000-000049020000}"/>
    <cellStyle name="Normal 52" xfId="397" xr:uid="{00000000-0005-0000-0000-00004A020000}"/>
    <cellStyle name="Normal 52 2" xfId="576" xr:uid="{00000000-0005-0000-0000-00004B020000}"/>
    <cellStyle name="Normal 52 3" xfId="752" xr:uid="{00000000-0005-0000-0000-00004C020000}"/>
    <cellStyle name="Normal 53" xfId="396" xr:uid="{00000000-0005-0000-0000-00004D020000}"/>
    <cellStyle name="Normal 53 2" xfId="575" xr:uid="{00000000-0005-0000-0000-00004E020000}"/>
    <cellStyle name="Normal 53 3" xfId="751" xr:uid="{00000000-0005-0000-0000-00004F020000}"/>
    <cellStyle name="Normal 54" xfId="392" xr:uid="{00000000-0005-0000-0000-000050020000}"/>
    <cellStyle name="Normal 54 2" xfId="571" xr:uid="{00000000-0005-0000-0000-000051020000}"/>
    <cellStyle name="Normal 54 3" xfId="747" xr:uid="{00000000-0005-0000-0000-000052020000}"/>
    <cellStyle name="Normal 55" xfId="387" xr:uid="{00000000-0005-0000-0000-000053020000}"/>
    <cellStyle name="Normal 55 2" xfId="566" xr:uid="{00000000-0005-0000-0000-000054020000}"/>
    <cellStyle name="Normal 55 3" xfId="742" xr:uid="{00000000-0005-0000-0000-000055020000}"/>
    <cellStyle name="Normal 56" xfId="399" xr:uid="{00000000-0005-0000-0000-000056020000}"/>
    <cellStyle name="Normal 56 2" xfId="578" xr:uid="{00000000-0005-0000-0000-000057020000}"/>
    <cellStyle name="Normal 56 3" xfId="754" xr:uid="{00000000-0005-0000-0000-000058020000}"/>
    <cellStyle name="Normal 57" xfId="395" xr:uid="{00000000-0005-0000-0000-000059020000}"/>
    <cellStyle name="Normal 57 2" xfId="574" xr:uid="{00000000-0005-0000-0000-00005A020000}"/>
    <cellStyle name="Normal 57 3" xfId="750" xr:uid="{00000000-0005-0000-0000-00005B020000}"/>
    <cellStyle name="Normal 58" xfId="388" xr:uid="{00000000-0005-0000-0000-00005C020000}"/>
    <cellStyle name="Normal 58 2" xfId="567" xr:uid="{00000000-0005-0000-0000-00005D020000}"/>
    <cellStyle name="Normal 58 3" xfId="743" xr:uid="{00000000-0005-0000-0000-00005E020000}"/>
    <cellStyle name="Normal 59" xfId="400" xr:uid="{00000000-0005-0000-0000-00005F020000}"/>
    <cellStyle name="Normal 59 2" xfId="579" xr:uid="{00000000-0005-0000-0000-000060020000}"/>
    <cellStyle name="Normal 59 3" xfId="755" xr:uid="{00000000-0005-0000-0000-000061020000}"/>
    <cellStyle name="Normal 6" xfId="37" xr:uid="{00000000-0005-0000-0000-000062020000}"/>
    <cellStyle name="Normal 6 2" xfId="75" xr:uid="{00000000-0005-0000-0000-000063020000}"/>
    <cellStyle name="Normal 6 3" xfId="121" xr:uid="{00000000-0005-0000-0000-000064020000}"/>
    <cellStyle name="Normal 6 4" xfId="104" xr:uid="{00000000-0005-0000-0000-000065020000}"/>
    <cellStyle name="Normal 6 5" xfId="273" xr:uid="{00000000-0005-0000-0000-000066020000}"/>
    <cellStyle name="Normal 6 6" xfId="340" xr:uid="{00000000-0005-0000-0000-000067020000}"/>
    <cellStyle name="Normal 6 6 2" xfId="543" xr:uid="{00000000-0005-0000-0000-000068020000}"/>
    <cellStyle name="Normal 6 6 3" xfId="719" xr:uid="{00000000-0005-0000-0000-000069020000}"/>
    <cellStyle name="Normal 60" xfId="404" xr:uid="{00000000-0005-0000-0000-00006A020000}"/>
    <cellStyle name="Normal 60 2" xfId="583" xr:uid="{00000000-0005-0000-0000-00006B020000}"/>
    <cellStyle name="Normal 60 3" xfId="759" xr:uid="{00000000-0005-0000-0000-00006C020000}"/>
    <cellStyle name="Normal 61" xfId="413" xr:uid="{00000000-0005-0000-0000-00006D020000}"/>
    <cellStyle name="Normal 61 2" xfId="591" xr:uid="{00000000-0005-0000-0000-00006E020000}"/>
    <cellStyle name="Normal 61 3" xfId="767" xr:uid="{00000000-0005-0000-0000-00006F020000}"/>
    <cellStyle name="Normal 62" xfId="274" xr:uid="{00000000-0005-0000-0000-000070020000}"/>
    <cellStyle name="Normal 63" xfId="416" xr:uid="{00000000-0005-0000-0000-000071020000}"/>
    <cellStyle name="Normal 63 2" xfId="594" xr:uid="{00000000-0005-0000-0000-000072020000}"/>
    <cellStyle name="Normal 63 3" xfId="770" xr:uid="{00000000-0005-0000-0000-000073020000}"/>
    <cellStyle name="Normal 64" xfId="411" xr:uid="{00000000-0005-0000-0000-000074020000}"/>
    <cellStyle name="Normal 64 2" xfId="590" xr:uid="{00000000-0005-0000-0000-000075020000}"/>
    <cellStyle name="Normal 64 3" xfId="766" xr:uid="{00000000-0005-0000-0000-000076020000}"/>
    <cellStyle name="Normal 65" xfId="408" xr:uid="{00000000-0005-0000-0000-000077020000}"/>
    <cellStyle name="Normal 65 2" xfId="587" xr:uid="{00000000-0005-0000-0000-000078020000}"/>
    <cellStyle name="Normal 65 3" xfId="763" xr:uid="{00000000-0005-0000-0000-000079020000}"/>
    <cellStyle name="Normal 66" xfId="410" xr:uid="{00000000-0005-0000-0000-00007A020000}"/>
    <cellStyle name="Normal 66 2" xfId="589" xr:uid="{00000000-0005-0000-0000-00007B020000}"/>
    <cellStyle name="Normal 66 3" xfId="765" xr:uid="{00000000-0005-0000-0000-00007C020000}"/>
    <cellStyle name="Normal 67" xfId="414" xr:uid="{00000000-0005-0000-0000-00007D020000}"/>
    <cellStyle name="Normal 67 2" xfId="592" xr:uid="{00000000-0005-0000-0000-00007E020000}"/>
    <cellStyle name="Normal 67 3" xfId="768" xr:uid="{00000000-0005-0000-0000-00007F020000}"/>
    <cellStyle name="Normal 68" xfId="415" xr:uid="{00000000-0005-0000-0000-000080020000}"/>
    <cellStyle name="Normal 68 2" xfId="593" xr:uid="{00000000-0005-0000-0000-000081020000}"/>
    <cellStyle name="Normal 68 3" xfId="769" xr:uid="{00000000-0005-0000-0000-000082020000}"/>
    <cellStyle name="Normal 69" xfId="409" xr:uid="{00000000-0005-0000-0000-000083020000}"/>
    <cellStyle name="Normal 69 2" xfId="588" xr:uid="{00000000-0005-0000-0000-000084020000}"/>
    <cellStyle name="Normal 69 3" xfId="764" xr:uid="{00000000-0005-0000-0000-000085020000}"/>
    <cellStyle name="Normal 7" xfId="38" xr:uid="{00000000-0005-0000-0000-000086020000}"/>
    <cellStyle name="Normal 7 2" xfId="275" xr:uid="{00000000-0005-0000-0000-000087020000}"/>
    <cellStyle name="Normal 70" xfId="417" xr:uid="{00000000-0005-0000-0000-000088020000}"/>
    <cellStyle name="Normal 70 2" xfId="595" xr:uid="{00000000-0005-0000-0000-000089020000}"/>
    <cellStyle name="Normal 70 3" xfId="771" xr:uid="{00000000-0005-0000-0000-00008A020000}"/>
    <cellStyle name="Normal 71" xfId="422" xr:uid="{00000000-0005-0000-0000-00008B020000}"/>
    <cellStyle name="Normal 71 2" xfId="600" xr:uid="{00000000-0005-0000-0000-00008C020000}"/>
    <cellStyle name="Normal 71 3" xfId="776" xr:uid="{00000000-0005-0000-0000-00008D020000}"/>
    <cellStyle name="Normal 72" xfId="426" xr:uid="{00000000-0005-0000-0000-00008E020000}"/>
    <cellStyle name="Normal 72 2" xfId="604" xr:uid="{00000000-0005-0000-0000-00008F020000}"/>
    <cellStyle name="Normal 72 3" xfId="780" xr:uid="{00000000-0005-0000-0000-000090020000}"/>
    <cellStyle name="Normal 73" xfId="427" xr:uid="{00000000-0005-0000-0000-000091020000}"/>
    <cellStyle name="Normal 73 2" xfId="433" xr:uid="{00000000-0005-0000-0000-000092020000}"/>
    <cellStyle name="Normal 73 2 2" xfId="611" xr:uid="{00000000-0005-0000-0000-000093020000}"/>
    <cellStyle name="Normal 73 2 3" xfId="787" xr:uid="{00000000-0005-0000-0000-000094020000}"/>
    <cellStyle name="Normal 73 3" xfId="605" xr:uid="{00000000-0005-0000-0000-000095020000}"/>
    <cellStyle name="Normal 73 4" xfId="781" xr:uid="{00000000-0005-0000-0000-000096020000}"/>
    <cellStyle name="Normal 74" xfId="430" xr:uid="{00000000-0005-0000-0000-000097020000}"/>
    <cellStyle name="Normal 74 2" xfId="608" xr:uid="{00000000-0005-0000-0000-000098020000}"/>
    <cellStyle name="Normal 74 3" xfId="784" xr:uid="{00000000-0005-0000-0000-000099020000}"/>
    <cellStyle name="Normal 75" xfId="432" xr:uid="{00000000-0005-0000-0000-00009A020000}"/>
    <cellStyle name="Normal 75 2" xfId="610" xr:uid="{00000000-0005-0000-0000-00009B020000}"/>
    <cellStyle name="Normal 75 3" xfId="786" xr:uid="{00000000-0005-0000-0000-00009C020000}"/>
    <cellStyle name="Normal 76" xfId="437" xr:uid="{00000000-0005-0000-0000-00009D020000}"/>
    <cellStyle name="Normal 76 2" xfId="615" xr:uid="{00000000-0005-0000-0000-00009E020000}"/>
    <cellStyle name="Normal 76 3" xfId="791" xr:uid="{00000000-0005-0000-0000-00009F020000}"/>
    <cellStyle name="Normal 8" xfId="39" xr:uid="{00000000-0005-0000-0000-0000A0020000}"/>
    <cellStyle name="Normal 9" xfId="40" xr:uid="{00000000-0005-0000-0000-0000A1020000}"/>
    <cellStyle name="Normal 9 2" xfId="41" xr:uid="{00000000-0005-0000-0000-0000A2020000}"/>
    <cellStyle name="Normal 9 2 2" xfId="76" xr:uid="{00000000-0005-0000-0000-0000A3020000}"/>
    <cellStyle name="Normal 9 2 3" xfId="122" xr:uid="{00000000-0005-0000-0000-0000A4020000}"/>
    <cellStyle name="Normal 9 2 4" xfId="61" xr:uid="{00000000-0005-0000-0000-0000A5020000}"/>
    <cellStyle name="Normal_MARION MONTHLY BS w 2004 ADJUSTED" xfId="42" xr:uid="{00000000-0005-0000-0000-0000A6020000}"/>
    <cellStyle name="Normal_TEMPLATES - ACCT RECONCILIATION TO NARUC - 13 MONTHS PSC" xfId="43" xr:uid="{00000000-0005-0000-0000-0000A7020000}"/>
    <cellStyle name="Note 10" xfId="299" xr:uid="{00000000-0005-0000-0000-0000A8020000}"/>
    <cellStyle name="Note 11" xfId="300" xr:uid="{00000000-0005-0000-0000-0000A9020000}"/>
    <cellStyle name="Note 12" xfId="301" xr:uid="{00000000-0005-0000-0000-0000AA020000}"/>
    <cellStyle name="Note 13" xfId="302" xr:uid="{00000000-0005-0000-0000-0000AB020000}"/>
    <cellStyle name="Note 14" xfId="303" xr:uid="{00000000-0005-0000-0000-0000AC020000}"/>
    <cellStyle name="Note 15" xfId="304" xr:uid="{00000000-0005-0000-0000-0000AD020000}"/>
    <cellStyle name="Note 16" xfId="390" xr:uid="{00000000-0005-0000-0000-0000AE020000}"/>
    <cellStyle name="Note 16 2" xfId="569" xr:uid="{00000000-0005-0000-0000-0000AF020000}"/>
    <cellStyle name="Note 16 3" xfId="745" xr:uid="{00000000-0005-0000-0000-0000B0020000}"/>
    <cellStyle name="Note 2" xfId="305" xr:uid="{00000000-0005-0000-0000-0000B1020000}"/>
    <cellStyle name="Note 3" xfId="306" xr:uid="{00000000-0005-0000-0000-0000B2020000}"/>
    <cellStyle name="Note 4" xfId="307" xr:uid="{00000000-0005-0000-0000-0000B3020000}"/>
    <cellStyle name="Note 5" xfId="308" xr:uid="{00000000-0005-0000-0000-0000B4020000}"/>
    <cellStyle name="Note 6" xfId="309" xr:uid="{00000000-0005-0000-0000-0000B5020000}"/>
    <cellStyle name="Note 7" xfId="310" xr:uid="{00000000-0005-0000-0000-0000B6020000}"/>
    <cellStyle name="Note 8" xfId="311" xr:uid="{00000000-0005-0000-0000-0000B7020000}"/>
    <cellStyle name="Note 9" xfId="312" xr:uid="{00000000-0005-0000-0000-0000B8020000}"/>
    <cellStyle name="Output" xfId="351" builtinId="21" customBuiltin="1"/>
    <cellStyle name="Percent" xfId="44" builtinId="5"/>
    <cellStyle name="Percent 10" xfId="168" xr:uid="{00000000-0005-0000-0000-0000BB020000}"/>
    <cellStyle name="Percent 10 2" xfId="232" xr:uid="{00000000-0005-0000-0000-0000BC020000}"/>
    <cellStyle name="Percent 10 2 2" xfId="506" xr:uid="{00000000-0005-0000-0000-0000BD020000}"/>
    <cellStyle name="Percent 10 2 3" xfId="682" xr:uid="{00000000-0005-0000-0000-0000BE020000}"/>
    <cellStyle name="Percent 10 3" xfId="457" xr:uid="{00000000-0005-0000-0000-0000BF020000}"/>
    <cellStyle name="Percent 10 4" xfId="635" xr:uid="{00000000-0005-0000-0000-0000C0020000}"/>
    <cellStyle name="Percent 11" xfId="185" xr:uid="{00000000-0005-0000-0000-0000C1020000}"/>
    <cellStyle name="Percent 11 2" xfId="242" xr:uid="{00000000-0005-0000-0000-0000C2020000}"/>
    <cellStyle name="Percent 11 2 2" xfId="514" xr:uid="{00000000-0005-0000-0000-0000C3020000}"/>
    <cellStyle name="Percent 11 2 3" xfId="690" xr:uid="{00000000-0005-0000-0000-0000C4020000}"/>
    <cellStyle name="Percent 11 3" xfId="471" xr:uid="{00000000-0005-0000-0000-0000C5020000}"/>
    <cellStyle name="Percent 11 4" xfId="648" xr:uid="{00000000-0005-0000-0000-0000C6020000}"/>
    <cellStyle name="Percent 12" xfId="196" xr:uid="{00000000-0005-0000-0000-0000C7020000}"/>
    <cellStyle name="Percent 12 2" xfId="482" xr:uid="{00000000-0005-0000-0000-0000C8020000}"/>
    <cellStyle name="Percent 12 3" xfId="659" xr:uid="{00000000-0005-0000-0000-0000C9020000}"/>
    <cellStyle name="Percent 13" xfId="284" xr:uid="{00000000-0005-0000-0000-0000CA020000}"/>
    <cellStyle name="Percent 13 2" xfId="526" xr:uid="{00000000-0005-0000-0000-0000CB020000}"/>
    <cellStyle name="Percent 13 3" xfId="702" xr:uid="{00000000-0005-0000-0000-0000CC020000}"/>
    <cellStyle name="Percent 14" xfId="322" xr:uid="{00000000-0005-0000-0000-0000CD020000}"/>
    <cellStyle name="Percent 15" xfId="385" xr:uid="{00000000-0005-0000-0000-0000CE020000}"/>
    <cellStyle name="Percent 15 2" xfId="565" xr:uid="{00000000-0005-0000-0000-0000CF020000}"/>
    <cellStyle name="Percent 15 3" xfId="741" xr:uid="{00000000-0005-0000-0000-0000D0020000}"/>
    <cellStyle name="Percent 16" xfId="403" xr:uid="{00000000-0005-0000-0000-0000D1020000}"/>
    <cellStyle name="Percent 16 2" xfId="582" xr:uid="{00000000-0005-0000-0000-0000D2020000}"/>
    <cellStyle name="Percent 16 3" xfId="758" xr:uid="{00000000-0005-0000-0000-0000D3020000}"/>
    <cellStyle name="Percent 17" xfId="407" xr:uid="{00000000-0005-0000-0000-0000D4020000}"/>
    <cellStyle name="Percent 17 2" xfId="586" xr:uid="{00000000-0005-0000-0000-0000D5020000}"/>
    <cellStyle name="Percent 17 3" xfId="762" xr:uid="{00000000-0005-0000-0000-0000D6020000}"/>
    <cellStyle name="Percent 18" xfId="419" xr:uid="{00000000-0005-0000-0000-0000D7020000}"/>
    <cellStyle name="Percent 18 2" xfId="597" xr:uid="{00000000-0005-0000-0000-0000D8020000}"/>
    <cellStyle name="Percent 18 3" xfId="773" xr:uid="{00000000-0005-0000-0000-0000D9020000}"/>
    <cellStyle name="Percent 19" xfId="425" xr:uid="{00000000-0005-0000-0000-0000DA020000}"/>
    <cellStyle name="Percent 19 2" xfId="603" xr:uid="{00000000-0005-0000-0000-0000DB020000}"/>
    <cellStyle name="Percent 19 3" xfId="779" xr:uid="{00000000-0005-0000-0000-0000DC020000}"/>
    <cellStyle name="Percent 2" xfId="45" xr:uid="{00000000-0005-0000-0000-0000DD020000}"/>
    <cellStyle name="Percent 2 2" xfId="46" xr:uid="{00000000-0005-0000-0000-0000DE020000}"/>
    <cellStyle name="Percent 2 2 2" xfId="84" xr:uid="{00000000-0005-0000-0000-0000DF020000}"/>
    <cellStyle name="Percent 2 2 3" xfId="125" xr:uid="{00000000-0005-0000-0000-0000E0020000}"/>
    <cellStyle name="Percent 2 2 4" xfId="91" xr:uid="{00000000-0005-0000-0000-0000E1020000}"/>
    <cellStyle name="Percent 2 2 5" xfId="276" xr:uid="{00000000-0005-0000-0000-0000E2020000}"/>
    <cellStyle name="Percent 2 2 6" xfId="277" xr:uid="{00000000-0005-0000-0000-0000E3020000}"/>
    <cellStyle name="Percent 2 3" xfId="83" xr:uid="{00000000-0005-0000-0000-0000E4020000}"/>
    <cellStyle name="Percent 2 4" xfId="124" xr:uid="{00000000-0005-0000-0000-0000E5020000}"/>
    <cellStyle name="Percent 2 5" xfId="92" xr:uid="{00000000-0005-0000-0000-0000E6020000}"/>
    <cellStyle name="Percent 2 6" xfId="159" xr:uid="{00000000-0005-0000-0000-0000E7020000}"/>
    <cellStyle name="Percent 2 7" xfId="171" xr:uid="{00000000-0005-0000-0000-0000E8020000}"/>
    <cellStyle name="Percent 2 7 2" xfId="243" xr:uid="{00000000-0005-0000-0000-0000E9020000}"/>
    <cellStyle name="Percent 2 7 2 2" xfId="515" xr:uid="{00000000-0005-0000-0000-0000EA020000}"/>
    <cellStyle name="Percent 2 7 2 3" xfId="691" xr:uid="{00000000-0005-0000-0000-0000EB020000}"/>
    <cellStyle name="Percent 2 7 3" xfId="460" xr:uid="{00000000-0005-0000-0000-0000EC020000}"/>
    <cellStyle name="Percent 2 7 4" xfId="638" xr:uid="{00000000-0005-0000-0000-0000ED020000}"/>
    <cellStyle name="Percent 20" xfId="436" xr:uid="{00000000-0005-0000-0000-0000EE020000}"/>
    <cellStyle name="Percent 20 2" xfId="614" xr:uid="{00000000-0005-0000-0000-0000EF020000}"/>
    <cellStyle name="Percent 20 3" xfId="790" xr:uid="{00000000-0005-0000-0000-0000F0020000}"/>
    <cellStyle name="Percent 3" xfId="47" xr:uid="{00000000-0005-0000-0000-0000F1020000}"/>
    <cellStyle name="Percent 3 2" xfId="85" xr:uid="{00000000-0005-0000-0000-0000F2020000}"/>
    <cellStyle name="Percent 3 2 2" xfId="429" xr:uid="{00000000-0005-0000-0000-0000F3020000}"/>
    <cellStyle name="Percent 3 2 2 2" xfId="607" xr:uid="{00000000-0005-0000-0000-0000F4020000}"/>
    <cellStyle name="Percent 3 2 2 3" xfId="783" xr:uid="{00000000-0005-0000-0000-0000F5020000}"/>
    <cellStyle name="Percent 3 3" xfId="126" xr:uid="{00000000-0005-0000-0000-0000F6020000}"/>
    <cellStyle name="Percent 3 4" xfId="98" xr:uid="{00000000-0005-0000-0000-0000F7020000}"/>
    <cellStyle name="Percent 3 5" xfId="173" xr:uid="{00000000-0005-0000-0000-0000F8020000}"/>
    <cellStyle name="Percent 3 5 2" xfId="187" xr:uid="{00000000-0005-0000-0000-0000F9020000}"/>
    <cellStyle name="Percent 3 5 2 2" xfId="189" xr:uid="{00000000-0005-0000-0000-0000FA020000}"/>
    <cellStyle name="Percent 3 5 2 2 2" xfId="248" xr:uid="{00000000-0005-0000-0000-0000FB020000}"/>
    <cellStyle name="Percent 3 5 2 2 2 2" xfId="520" xr:uid="{00000000-0005-0000-0000-0000FC020000}"/>
    <cellStyle name="Percent 3 5 2 2 2 3" xfId="696" xr:uid="{00000000-0005-0000-0000-0000FD020000}"/>
    <cellStyle name="Percent 3 5 2 2 3" xfId="475" xr:uid="{00000000-0005-0000-0000-0000FE020000}"/>
    <cellStyle name="Percent 3 5 2 2 4" xfId="652" xr:uid="{00000000-0005-0000-0000-0000FF020000}"/>
    <cellStyle name="Percent 3 5 2 3" xfId="245" xr:uid="{00000000-0005-0000-0000-000000030000}"/>
    <cellStyle name="Percent 3 5 2 3 2" xfId="517" xr:uid="{00000000-0005-0000-0000-000001030000}"/>
    <cellStyle name="Percent 3 5 2 3 3" xfId="693" xr:uid="{00000000-0005-0000-0000-000002030000}"/>
    <cellStyle name="Percent 3 5 2 4" xfId="473" xr:uid="{00000000-0005-0000-0000-000003030000}"/>
    <cellStyle name="Percent 3 5 2 5" xfId="650" xr:uid="{00000000-0005-0000-0000-000004030000}"/>
    <cellStyle name="Percent 3 5 3" xfId="244" xr:uid="{00000000-0005-0000-0000-000005030000}"/>
    <cellStyle name="Percent 3 5 3 2" xfId="516" xr:uid="{00000000-0005-0000-0000-000006030000}"/>
    <cellStyle name="Percent 3 5 3 3" xfId="692" xr:uid="{00000000-0005-0000-0000-000007030000}"/>
    <cellStyle name="Percent 3 5 4" xfId="462" xr:uid="{00000000-0005-0000-0000-000008030000}"/>
    <cellStyle name="Percent 3 5 5" xfId="640" xr:uid="{00000000-0005-0000-0000-000009030000}"/>
    <cellStyle name="Percent 3 6" xfId="278" xr:uid="{00000000-0005-0000-0000-00000A030000}"/>
    <cellStyle name="Percent 3 7" xfId="279" xr:uid="{00000000-0005-0000-0000-00000B030000}"/>
    <cellStyle name="Percent 3 8" xfId="280" xr:uid="{00000000-0005-0000-0000-00000C030000}"/>
    <cellStyle name="Percent 4" xfId="48" xr:uid="{00000000-0005-0000-0000-00000D030000}"/>
    <cellStyle name="Percent 5" xfId="49" xr:uid="{00000000-0005-0000-0000-00000E030000}"/>
    <cellStyle name="Percent 5 2" xfId="86" xr:uid="{00000000-0005-0000-0000-00000F030000}"/>
    <cellStyle name="Percent 5 3" xfId="53" xr:uid="{00000000-0005-0000-0000-000010030000}"/>
    <cellStyle name="Percent 6" xfId="50" xr:uid="{00000000-0005-0000-0000-000011030000}"/>
    <cellStyle name="Percent 7" xfId="82" xr:uid="{00000000-0005-0000-0000-000012030000}"/>
    <cellStyle name="Percent 8" xfId="133" xr:uid="{00000000-0005-0000-0000-000013030000}"/>
    <cellStyle name="Percent 9" xfId="140" xr:uid="{00000000-0005-0000-0000-000014030000}"/>
    <cellStyle name="Title" xfId="342" builtinId="15" customBuiltin="1"/>
    <cellStyle name="Total" xfId="357" builtinId="25" customBuiltin="1"/>
    <cellStyle name="Warning Text" xfId="355" builtinId="11" customBuiltin="1"/>
  </cellStyles>
  <dxfs count="0"/>
  <tableStyles count="0" defaultTableStyle="TableStyleMedium2" defaultPivotStyle="PivotStyleLight16"/>
  <colors>
    <mruColors>
      <color rgb="FF66FFFF"/>
      <color rgb="FFFFFF66"/>
      <color rgb="FFF6A6E1"/>
      <color rgb="FFF8A4B0"/>
      <color rgb="FFCCFFFF"/>
      <color rgb="FFEB13C2"/>
      <color rgb="FFFFFF99"/>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7">
    <tabColor rgb="FFFF0000"/>
  </sheetPr>
  <dimension ref="A1:AB319"/>
  <sheetViews>
    <sheetView topLeftCell="A73" workbookViewId="0">
      <selection activeCell="E300" sqref="E300"/>
    </sheetView>
  </sheetViews>
  <sheetFormatPr defaultColWidth="10.7109375" defaultRowHeight="12"/>
  <cols>
    <col min="1" max="1" width="3.42578125" style="242" customWidth="1"/>
    <col min="2" max="3" width="3.5703125" style="242" customWidth="1"/>
    <col min="4" max="4" width="67.7109375" style="357" customWidth="1"/>
    <col min="5" max="5" width="11.7109375" style="242" customWidth="1"/>
    <col min="6" max="6" width="11.28515625" style="257" customWidth="1"/>
    <col min="7" max="7" width="2.28515625" style="243" customWidth="1"/>
    <col min="8" max="8" width="10.7109375" style="243"/>
    <col min="9" max="9" width="11" style="243" bestFit="1" customWidth="1"/>
    <col min="10" max="10" width="12.42578125" style="243" customWidth="1"/>
    <col min="11" max="11" width="10.28515625" style="243" bestFit="1" customWidth="1"/>
    <col min="12" max="13" width="11.28515625" style="243" bestFit="1" customWidth="1"/>
    <col min="14" max="15" width="11" style="243" bestFit="1" customWidth="1"/>
    <col min="16" max="16" width="11.7109375" style="243" bestFit="1" customWidth="1"/>
    <col min="17" max="19" width="11" style="243" bestFit="1" customWidth="1"/>
    <col min="20" max="20" width="11.28515625" style="243" bestFit="1" customWidth="1"/>
    <col min="21" max="23" width="11" style="243" bestFit="1" customWidth="1"/>
    <col min="24" max="24" width="11.7109375" style="243" bestFit="1" customWidth="1"/>
    <col min="25" max="16384" width="10.7109375" style="243"/>
  </cols>
  <sheetData>
    <row r="1" spans="1:11">
      <c r="A1" s="246" t="s">
        <v>249</v>
      </c>
      <c r="B1" s="246"/>
      <c r="C1" s="246"/>
      <c r="D1" s="446"/>
      <c r="F1" s="289" t="s">
        <v>84</v>
      </c>
      <c r="I1" s="447" t="s">
        <v>215</v>
      </c>
      <c r="J1" s="448" t="s">
        <v>216</v>
      </c>
      <c r="K1" s="449" t="s">
        <v>217</v>
      </c>
    </row>
    <row r="2" spans="1:11">
      <c r="A2" s="246"/>
      <c r="B2" s="246"/>
      <c r="C2" s="246"/>
      <c r="D2" s="446"/>
      <c r="F2" s="289"/>
      <c r="I2" s="450">
        <f>SUM(J2:K2)</f>
        <v>67320.100000000006</v>
      </c>
      <c r="J2" s="451">
        <v>35101.300000000003</v>
      </c>
      <c r="K2" s="451">
        <v>32218.799999999999</v>
      </c>
    </row>
    <row r="3" spans="1:11">
      <c r="A3" s="246" t="s">
        <v>565</v>
      </c>
      <c r="B3" s="246"/>
      <c r="C3" s="246"/>
      <c r="D3" s="446"/>
      <c r="F3" s="260" t="s">
        <v>250</v>
      </c>
      <c r="I3" s="452">
        <v>1</v>
      </c>
      <c r="J3" s="453">
        <f>ROUND(J2/I2,4)</f>
        <v>0.52139999999999997</v>
      </c>
      <c r="K3" s="454">
        <f>ROUND(K2/I2,4)</f>
        <v>0.47860000000000003</v>
      </c>
    </row>
    <row r="4" spans="1:11">
      <c r="A4" s="246" t="s">
        <v>705</v>
      </c>
      <c r="B4" s="246"/>
      <c r="C4" s="246"/>
      <c r="D4" s="446"/>
      <c r="F4" s="260" t="s">
        <v>854</v>
      </c>
    </row>
    <row r="5" spans="1:11">
      <c r="A5" s="246" t="s">
        <v>566</v>
      </c>
      <c r="B5" s="246"/>
      <c r="C5" s="246"/>
      <c r="D5" s="446"/>
      <c r="F5" s="260"/>
    </row>
    <row r="6" spans="1:11">
      <c r="A6" s="246" t="s">
        <v>86</v>
      </c>
      <c r="B6" s="272"/>
      <c r="C6" s="272"/>
      <c r="D6" s="446"/>
      <c r="F6" s="260" t="s">
        <v>558</v>
      </c>
    </row>
    <row r="7" spans="1:11">
      <c r="A7" s="272" t="s">
        <v>248</v>
      </c>
      <c r="B7" s="246"/>
      <c r="C7" s="246"/>
      <c r="D7" s="446"/>
      <c r="E7" s="246"/>
      <c r="F7" s="279"/>
    </row>
    <row r="8" spans="1:11">
      <c r="A8" s="272"/>
      <c r="B8" s="246"/>
      <c r="C8" s="246"/>
      <c r="D8" s="446"/>
      <c r="E8" s="246"/>
      <c r="F8" s="279"/>
    </row>
    <row r="9" spans="1:11" ht="11.25" customHeight="1">
      <c r="A9" s="993" t="s">
        <v>297</v>
      </c>
      <c r="B9" s="993"/>
      <c r="C9" s="993"/>
      <c r="D9" s="993"/>
      <c r="E9" s="993"/>
      <c r="F9" s="993"/>
    </row>
    <row r="10" spans="1:11" ht="12.75" thickBot="1">
      <c r="A10" s="273"/>
      <c r="B10" s="273"/>
      <c r="C10" s="273"/>
      <c r="D10" s="455"/>
      <c r="E10" s="273"/>
      <c r="F10" s="433"/>
    </row>
    <row r="11" spans="1:11">
      <c r="A11" s="274" t="s">
        <v>289</v>
      </c>
      <c r="B11" s="274"/>
      <c r="C11" s="274"/>
      <c r="D11" s="446"/>
      <c r="E11" s="246"/>
      <c r="F11" s="456"/>
    </row>
    <row r="12" spans="1:11">
      <c r="A12" s="457" t="s">
        <v>351</v>
      </c>
      <c r="B12" s="457"/>
      <c r="C12" s="457"/>
      <c r="D12" s="458" t="s">
        <v>352</v>
      </c>
      <c r="E12" s="457" t="s">
        <v>251</v>
      </c>
      <c r="F12" s="459" t="s">
        <v>252</v>
      </c>
    </row>
    <row r="13" spans="1:11">
      <c r="A13" s="435">
        <v>1</v>
      </c>
      <c r="B13" s="270" t="s">
        <v>253</v>
      </c>
      <c r="C13" s="460" t="s">
        <v>469</v>
      </c>
      <c r="D13" s="446"/>
      <c r="E13" s="244"/>
      <c r="F13" s="244"/>
      <c r="G13" s="287"/>
    </row>
    <row r="14" spans="1:11">
      <c r="A14" s="435">
        <f>A13+1</f>
        <v>2</v>
      </c>
      <c r="B14" s="270"/>
      <c r="C14" s="461" t="s">
        <v>202</v>
      </c>
      <c r="D14" s="462" t="s">
        <v>797</v>
      </c>
      <c r="E14" s="280"/>
      <c r="F14" s="280"/>
      <c r="G14" s="287"/>
    </row>
    <row r="15" spans="1:11">
      <c r="A15" s="435">
        <f t="shared" ref="A15:A72" si="0">A14+1</f>
        <v>3</v>
      </c>
      <c r="B15" s="270"/>
      <c r="C15" s="460"/>
      <c r="D15" s="463" t="s">
        <v>794</v>
      </c>
      <c r="E15" s="280">
        <f>'A 5'!F60</f>
        <v>-4319165</v>
      </c>
      <c r="F15" s="280">
        <f>-E15</f>
        <v>4319165</v>
      </c>
      <c r="G15" s="287"/>
    </row>
    <row r="16" spans="1:11">
      <c r="A16" s="435">
        <f t="shared" si="0"/>
        <v>4</v>
      </c>
      <c r="B16" s="270"/>
      <c r="C16" s="460"/>
      <c r="D16" s="464" t="s">
        <v>795</v>
      </c>
      <c r="E16" s="280">
        <f>'A 5'!F61</f>
        <v>-1837766</v>
      </c>
      <c r="F16" s="280">
        <f>-E16</f>
        <v>1837766</v>
      </c>
      <c r="G16" s="287"/>
    </row>
    <row r="17" spans="1:10">
      <c r="A17" s="435">
        <f t="shared" si="0"/>
        <v>5</v>
      </c>
      <c r="B17" s="270"/>
      <c r="C17" s="460"/>
      <c r="D17" s="465" t="s">
        <v>1028</v>
      </c>
      <c r="E17" s="280">
        <f>'A 5'!F62</f>
        <v>-12274</v>
      </c>
      <c r="F17" s="280">
        <f>-E17</f>
        <v>12274</v>
      </c>
      <c r="G17" s="287"/>
    </row>
    <row r="18" spans="1:10">
      <c r="A18" s="435">
        <f t="shared" si="0"/>
        <v>6</v>
      </c>
      <c r="B18" s="270"/>
      <c r="C18" s="460"/>
      <c r="D18" s="466" t="s">
        <v>796</v>
      </c>
      <c r="E18" s="467">
        <f>SUM(E14:E17)</f>
        <v>-6169205</v>
      </c>
      <c r="F18" s="467">
        <f>SUM(F14:F17)</f>
        <v>6169205</v>
      </c>
      <c r="G18" s="287"/>
    </row>
    <row r="19" spans="1:10">
      <c r="A19" s="435">
        <f t="shared" si="0"/>
        <v>7</v>
      </c>
      <c r="B19" s="270"/>
      <c r="C19" s="460"/>
      <c r="D19" s="446"/>
      <c r="E19" s="468"/>
      <c r="F19" s="468"/>
      <c r="G19" s="287"/>
    </row>
    <row r="20" spans="1:10">
      <c r="A20" s="435">
        <f t="shared" si="0"/>
        <v>8</v>
      </c>
      <c r="B20" s="469"/>
      <c r="C20" s="461" t="s">
        <v>203</v>
      </c>
      <c r="D20" s="357" t="s">
        <v>681</v>
      </c>
      <c r="E20" s="468"/>
      <c r="F20" s="468"/>
      <c r="G20" s="287"/>
    </row>
    <row r="21" spans="1:10">
      <c r="A21" s="435">
        <f t="shared" si="0"/>
        <v>9</v>
      </c>
      <c r="B21" s="469"/>
      <c r="C21" s="460"/>
      <c r="D21" s="470" t="s">
        <v>680</v>
      </c>
      <c r="E21" s="468"/>
      <c r="F21" s="468">
        <v>2229799</v>
      </c>
      <c r="G21" s="287"/>
      <c r="I21" s="243" t="s">
        <v>543</v>
      </c>
      <c r="J21" s="287">
        <v>2299578</v>
      </c>
    </row>
    <row r="22" spans="1:10">
      <c r="A22" s="435">
        <f t="shared" si="0"/>
        <v>10</v>
      </c>
      <c r="B22" s="471"/>
      <c r="C22" s="460"/>
      <c r="D22" s="470" t="s">
        <v>197</v>
      </c>
      <c r="E22" s="468"/>
      <c r="F22" s="468">
        <f>-F21</f>
        <v>-2229799</v>
      </c>
      <c r="G22" s="287"/>
      <c r="I22" s="243" t="s">
        <v>1231</v>
      </c>
      <c r="J22" s="416">
        <v>69778</v>
      </c>
    </row>
    <row r="23" spans="1:10">
      <c r="A23" s="435">
        <f t="shared" si="0"/>
        <v>11</v>
      </c>
      <c r="B23" s="471"/>
      <c r="C23" s="460"/>
      <c r="D23" s="472" t="s">
        <v>799</v>
      </c>
      <c r="E23" s="467">
        <f>SUM(E19:E22)</f>
        <v>0</v>
      </c>
      <c r="F23" s="467">
        <f>SUM(F19:F22)</f>
        <v>0</v>
      </c>
      <c r="G23" s="287"/>
      <c r="I23" s="243" t="s">
        <v>581</v>
      </c>
      <c r="J23" s="416">
        <f>J21-J22</f>
        <v>2229800</v>
      </c>
    </row>
    <row r="24" spans="1:10">
      <c r="A24" s="435">
        <f t="shared" si="0"/>
        <v>12</v>
      </c>
      <c r="B24" s="471"/>
      <c r="C24" s="460"/>
      <c r="E24" s="244"/>
      <c r="F24" s="244"/>
      <c r="G24" s="287"/>
    </row>
    <row r="25" spans="1:10">
      <c r="A25" s="435">
        <f t="shared" si="0"/>
        <v>13</v>
      </c>
      <c r="B25" s="471"/>
      <c r="C25" s="461" t="s">
        <v>204</v>
      </c>
      <c r="D25" s="473" t="s">
        <v>48</v>
      </c>
      <c r="E25" s="244"/>
      <c r="F25" s="244"/>
      <c r="G25" s="287"/>
      <c r="I25" s="848"/>
    </row>
    <row r="26" spans="1:10">
      <c r="A26" s="435">
        <f t="shared" si="0"/>
        <v>14</v>
      </c>
      <c r="B26" s="471"/>
      <c r="C26" s="288"/>
      <c r="D26" s="357" t="s">
        <v>551</v>
      </c>
      <c r="E26" s="244"/>
      <c r="F26" s="244"/>
      <c r="G26" s="287"/>
      <c r="I26" s="848"/>
    </row>
    <row r="27" spans="1:10">
      <c r="A27" s="435">
        <f t="shared" si="0"/>
        <v>15</v>
      </c>
      <c r="D27" s="336" t="s">
        <v>378</v>
      </c>
      <c r="E27" s="244" t="e">
        <f>SUM('PF Adds'!#REF!)</f>
        <v>#REF!</v>
      </c>
      <c r="F27" s="244"/>
      <c r="H27" s="474"/>
      <c r="I27" s="848"/>
    </row>
    <row r="28" spans="1:10">
      <c r="A28" s="435">
        <f t="shared" si="0"/>
        <v>16</v>
      </c>
      <c r="D28" s="336" t="s">
        <v>380</v>
      </c>
      <c r="E28" s="244" t="e">
        <f>SUM('PF Adds'!#REF!)</f>
        <v>#REF!</v>
      </c>
      <c r="F28" s="244"/>
      <c r="I28" s="848"/>
    </row>
    <row r="29" spans="1:10">
      <c r="A29" s="435">
        <f t="shared" si="0"/>
        <v>17</v>
      </c>
      <c r="D29" s="336" t="s">
        <v>381</v>
      </c>
      <c r="E29" s="244" t="e">
        <f>SUM('PF Adds'!#REF!)</f>
        <v>#REF!</v>
      </c>
      <c r="F29" s="244"/>
      <c r="H29" s="474"/>
      <c r="I29" s="848"/>
    </row>
    <row r="30" spans="1:10">
      <c r="A30" s="435">
        <f t="shared" si="0"/>
        <v>18</v>
      </c>
      <c r="D30" s="336" t="s">
        <v>387</v>
      </c>
      <c r="E30" s="244" t="e">
        <f>+'PF Adds'!#REF!+'PF Adds'!#REF!</f>
        <v>#REF!</v>
      </c>
      <c r="F30" s="244"/>
      <c r="I30" s="848"/>
    </row>
    <row r="31" spans="1:10">
      <c r="A31" s="435">
        <f t="shared" si="0"/>
        <v>19</v>
      </c>
      <c r="D31" s="336" t="s">
        <v>392</v>
      </c>
      <c r="E31" s="244" t="e">
        <f>+'PF Adds'!#REF!+'PF Adds'!#REF!</f>
        <v>#REF!</v>
      </c>
      <c r="F31" s="244"/>
      <c r="H31" s="474"/>
      <c r="I31" s="848"/>
    </row>
    <row r="32" spans="1:10">
      <c r="A32" s="435">
        <f t="shared" si="0"/>
        <v>20</v>
      </c>
      <c r="C32" s="336"/>
      <c r="D32" s="336" t="s">
        <v>393</v>
      </c>
      <c r="E32" s="244" t="e">
        <f>SUM('PF Adds'!#REF!)</f>
        <v>#REF!</v>
      </c>
      <c r="F32" s="244"/>
      <c r="H32" s="474"/>
      <c r="I32" s="848"/>
    </row>
    <row r="33" spans="1:20">
      <c r="A33" s="435">
        <f t="shared" si="0"/>
        <v>21</v>
      </c>
      <c r="D33" s="336" t="s">
        <v>68</v>
      </c>
      <c r="E33" s="244" t="e">
        <f>ROUND(('PF Adds'!#REF!+'PF Adds'!#REF!)*J3,0)</f>
        <v>#REF!</v>
      </c>
      <c r="F33" s="244" t="e">
        <f>ROUND(('PF Adds'!#REF!+'PF Adds'!#REF!)*K3,0)</f>
        <v>#REF!</v>
      </c>
      <c r="H33" s="474"/>
      <c r="I33" s="848"/>
    </row>
    <row r="34" spans="1:20">
      <c r="A34" s="435">
        <f t="shared" si="0"/>
        <v>22</v>
      </c>
      <c r="D34" s="336" t="s">
        <v>104</v>
      </c>
      <c r="E34" s="244"/>
      <c r="F34" s="244" t="e">
        <f>+'PF Adds'!#REF!</f>
        <v>#REF!</v>
      </c>
      <c r="H34" s="474"/>
      <c r="I34" s="848"/>
    </row>
    <row r="35" spans="1:20">
      <c r="A35" s="435">
        <f t="shared" si="0"/>
        <v>23</v>
      </c>
      <c r="D35" s="336" t="s">
        <v>209</v>
      </c>
      <c r="E35" s="244"/>
      <c r="F35" s="244" t="e">
        <f>+'PF Adds'!#REF!</f>
        <v>#REF!</v>
      </c>
      <c r="I35" s="848"/>
    </row>
    <row r="36" spans="1:20">
      <c r="A36" s="435">
        <f t="shared" si="0"/>
        <v>24</v>
      </c>
      <c r="D36" s="336" t="s">
        <v>363</v>
      </c>
      <c r="E36" s="244"/>
      <c r="F36" s="244" t="e">
        <f>SUM('PF Adds'!#REF!)</f>
        <v>#REF!</v>
      </c>
      <c r="I36" s="848"/>
    </row>
    <row r="37" spans="1:20">
      <c r="A37" s="435">
        <f t="shared" si="0"/>
        <v>25</v>
      </c>
      <c r="D37" s="336" t="s">
        <v>364</v>
      </c>
      <c r="E37" s="244"/>
      <c r="F37" s="244" t="e">
        <f>SUM('PF Adds'!#REF!)</f>
        <v>#REF!</v>
      </c>
      <c r="H37" s="474"/>
      <c r="I37" s="848"/>
    </row>
    <row r="38" spans="1:20">
      <c r="A38" s="435">
        <f t="shared" si="0"/>
        <v>26</v>
      </c>
      <c r="B38" s="471"/>
      <c r="C38" s="838"/>
      <c r="D38" s="336" t="s">
        <v>890</v>
      </c>
      <c r="E38" s="244"/>
      <c r="F38" s="423" t="e">
        <f>SUM('PF Adds'!#REF!)</f>
        <v>#REF!</v>
      </c>
      <c r="G38" s="287"/>
      <c r="I38" s="848"/>
    </row>
    <row r="39" spans="1:20">
      <c r="A39" s="435">
        <f t="shared" si="0"/>
        <v>27</v>
      </c>
      <c r="B39" s="471"/>
      <c r="C39" s="838"/>
      <c r="D39" s="336" t="s">
        <v>373</v>
      </c>
      <c r="E39" s="244"/>
      <c r="F39" s="423" t="e">
        <f>SUM('PF Adds'!#REF!)</f>
        <v>#REF!</v>
      </c>
      <c r="G39" s="287"/>
      <c r="I39" s="848"/>
    </row>
    <row r="40" spans="1:20">
      <c r="A40" s="435">
        <f t="shared" si="0"/>
        <v>28</v>
      </c>
      <c r="B40" s="471"/>
      <c r="C40" s="838"/>
      <c r="D40" s="336" t="s">
        <v>374</v>
      </c>
      <c r="E40" s="244"/>
      <c r="F40" s="423" t="e">
        <f>+'PF Adds'!#REF!+'PF Adds'!#REF!</f>
        <v>#REF!</v>
      </c>
      <c r="G40" s="287"/>
      <c r="I40" s="848"/>
    </row>
    <row r="41" spans="1:20">
      <c r="A41" s="435">
        <f t="shared" si="0"/>
        <v>29</v>
      </c>
      <c r="B41" s="471"/>
      <c r="C41" s="838"/>
      <c r="D41" s="336" t="s">
        <v>105</v>
      </c>
      <c r="E41" s="244"/>
      <c r="F41" s="423" t="e">
        <f>SUM('PF Adds'!#REF!)</f>
        <v>#REF!</v>
      </c>
      <c r="G41" s="287"/>
      <c r="I41" s="848"/>
    </row>
    <row r="42" spans="1:20">
      <c r="A42" s="435">
        <f t="shared" si="0"/>
        <v>30</v>
      </c>
      <c r="B42" s="471"/>
      <c r="C42" s="838"/>
      <c r="D42" s="336" t="s">
        <v>106</v>
      </c>
      <c r="E42" s="244"/>
      <c r="F42" s="423" t="e">
        <f>+'PF Adds'!#REF!</f>
        <v>#REF!</v>
      </c>
      <c r="G42" s="287"/>
      <c r="I42" s="848"/>
    </row>
    <row r="43" spans="1:20">
      <c r="A43" s="435">
        <f t="shared" si="0"/>
        <v>31</v>
      </c>
      <c r="B43" s="471"/>
      <c r="C43" s="471"/>
      <c r="D43" s="336" t="s">
        <v>891</v>
      </c>
      <c r="E43" s="244"/>
      <c r="F43" s="423" t="e">
        <f>SUM('PF Adds'!#REF!)</f>
        <v>#REF!</v>
      </c>
      <c r="G43" s="287"/>
      <c r="I43" s="848"/>
    </row>
    <row r="44" spans="1:20">
      <c r="A44" s="435">
        <f t="shared" si="0"/>
        <v>32</v>
      </c>
      <c r="B44" s="471"/>
      <c r="C44" s="471"/>
      <c r="D44" s="550" t="s">
        <v>546</v>
      </c>
      <c r="E44" s="673" t="e">
        <f>SUM(E27:E43)</f>
        <v>#REF!</v>
      </c>
      <c r="F44" s="673" t="e">
        <f>SUM(F27:F43)</f>
        <v>#REF!</v>
      </c>
      <c r="G44" s="287"/>
      <c r="I44" s="848"/>
    </row>
    <row r="45" spans="1:20">
      <c r="A45" s="435">
        <f t="shared" si="0"/>
        <v>33</v>
      </c>
      <c r="B45" s="471"/>
      <c r="C45" s="838"/>
      <c r="D45" s="475"/>
      <c r="E45" s="248"/>
      <c r="F45" s="248"/>
      <c r="G45" s="287"/>
      <c r="I45" s="848"/>
      <c r="O45" s="250"/>
      <c r="P45" s="250"/>
      <c r="Q45" s="250"/>
      <c r="R45" s="250"/>
      <c r="S45" s="250"/>
      <c r="T45" s="250"/>
    </row>
    <row r="46" spans="1:20">
      <c r="A46" s="435">
        <f t="shared" si="0"/>
        <v>34</v>
      </c>
      <c r="B46" s="471"/>
      <c r="C46" s="471"/>
      <c r="D46" s="357" t="s">
        <v>552</v>
      </c>
      <c r="E46" s="248"/>
      <c r="F46" s="248"/>
      <c r="G46" s="244"/>
      <c r="I46" s="848"/>
      <c r="O46" s="250"/>
      <c r="P46" s="250"/>
      <c r="Q46" s="250"/>
      <c r="R46" s="250"/>
      <c r="S46" s="250"/>
      <c r="T46" s="250"/>
    </row>
    <row r="47" spans="1:20">
      <c r="A47" s="435">
        <f t="shared" si="0"/>
        <v>35</v>
      </c>
      <c r="D47" s="336" t="s">
        <v>378</v>
      </c>
      <c r="E47" s="244">
        <f>-SUM(Retirements!I5:I7)</f>
        <v>-106376.88888888889</v>
      </c>
      <c r="F47" s="244"/>
      <c r="G47" s="242"/>
      <c r="H47" s="474"/>
      <c r="I47" s="848"/>
    </row>
    <row r="48" spans="1:20">
      <c r="A48" s="435">
        <f t="shared" si="0"/>
        <v>36</v>
      </c>
      <c r="D48" s="336" t="s">
        <v>381</v>
      </c>
      <c r="E48" s="244">
        <f>-Retirements!I8</f>
        <v>-18626.519687964337</v>
      </c>
      <c r="F48" s="244"/>
      <c r="G48" s="242"/>
      <c r="H48" s="474"/>
      <c r="I48" s="848"/>
    </row>
    <row r="49" spans="1:14">
      <c r="A49" s="435">
        <f t="shared" si="0"/>
        <v>37</v>
      </c>
      <c r="D49" s="336" t="s">
        <v>387</v>
      </c>
      <c r="E49" s="244">
        <f>-Retirements!I9</f>
        <v>-27307.180851063829</v>
      </c>
      <c r="F49" s="244"/>
      <c r="G49" s="242"/>
      <c r="I49" s="848"/>
    </row>
    <row r="50" spans="1:14">
      <c r="A50" s="435">
        <f t="shared" si="0"/>
        <v>38</v>
      </c>
      <c r="D50" s="336" t="s">
        <v>392</v>
      </c>
      <c r="E50" s="244">
        <f>-Retirements!I10</f>
        <v>-21359.238845144358</v>
      </c>
      <c r="F50" s="244"/>
      <c r="G50" s="242"/>
      <c r="H50" s="474"/>
      <c r="I50" s="848"/>
    </row>
    <row r="51" spans="1:14">
      <c r="A51" s="435">
        <f t="shared" si="0"/>
        <v>39</v>
      </c>
      <c r="D51" s="336" t="s">
        <v>393</v>
      </c>
      <c r="E51" s="244">
        <f>-SUM(Retirements!I11:I16)</f>
        <v>-501685.20004646963</v>
      </c>
      <c r="F51" s="244"/>
      <c r="G51" s="242"/>
      <c r="H51" s="474"/>
      <c r="I51" s="848"/>
    </row>
    <row r="52" spans="1:14">
      <c r="A52" s="435">
        <f t="shared" si="0"/>
        <v>40</v>
      </c>
      <c r="D52" s="336" t="s">
        <v>68</v>
      </c>
      <c r="E52" s="244" t="e">
        <f>-ROUND(('PF Adds'!#REF!)*J3,0)</f>
        <v>#REF!</v>
      </c>
      <c r="F52" s="244" t="e">
        <f>-ROUND(('PF Adds'!#REF!)*K3,0)</f>
        <v>#REF!</v>
      </c>
      <c r="G52" s="242"/>
      <c r="H52" s="474"/>
      <c r="I52" s="848"/>
    </row>
    <row r="53" spans="1:14">
      <c r="A53" s="435">
        <f>A51+1</f>
        <v>40</v>
      </c>
      <c r="D53" s="336" t="s">
        <v>104</v>
      </c>
      <c r="E53" s="244"/>
      <c r="F53" s="244">
        <f>-Retirements!I21</f>
        <v>-247400.60517529215</v>
      </c>
      <c r="G53" s="242"/>
      <c r="H53" s="474"/>
      <c r="I53" s="848"/>
    </row>
    <row r="54" spans="1:14">
      <c r="A54" s="435">
        <f t="shared" si="0"/>
        <v>41</v>
      </c>
      <c r="D54" s="336" t="s">
        <v>363</v>
      </c>
      <c r="E54" s="244"/>
      <c r="F54" s="244">
        <f>-SUM(Retirements!I22:I27)</f>
        <v>-905442.79806717648</v>
      </c>
      <c r="G54" s="242"/>
      <c r="I54" s="848"/>
    </row>
    <row r="55" spans="1:14">
      <c r="A55" s="435">
        <f t="shared" si="0"/>
        <v>42</v>
      </c>
      <c r="D55" s="336" t="s">
        <v>364</v>
      </c>
      <c r="E55" s="244"/>
      <c r="F55" s="244">
        <f>-SUM(Retirements!I28:I30)</f>
        <v>-122918.19047644468</v>
      </c>
      <c r="G55" s="242"/>
      <c r="H55" s="474"/>
      <c r="I55" s="848"/>
    </row>
    <row r="56" spans="1:14">
      <c r="A56" s="435">
        <f t="shared" si="0"/>
        <v>43</v>
      </c>
      <c r="B56" s="471"/>
      <c r="C56" s="838"/>
      <c r="D56" s="336" t="s">
        <v>890</v>
      </c>
      <c r="E56" s="244"/>
      <c r="F56" s="423">
        <f>-SUM(Retirements!I31:I33)</f>
        <v>-94777.713631156934</v>
      </c>
      <c r="G56" s="244"/>
      <c r="I56" s="848"/>
    </row>
    <row r="57" spans="1:14">
      <c r="A57" s="435">
        <f t="shared" si="0"/>
        <v>44</v>
      </c>
      <c r="B57" s="471"/>
      <c r="C57" s="838"/>
      <c r="D57" s="336" t="s">
        <v>373</v>
      </c>
      <c r="E57" s="244"/>
      <c r="F57" s="423">
        <f>-SUM(Retirements!I34:I37)</f>
        <v>-682551.10517529212</v>
      </c>
      <c r="G57" s="244"/>
      <c r="I57" s="848"/>
    </row>
    <row r="58" spans="1:14">
      <c r="A58" s="435">
        <f t="shared" si="0"/>
        <v>45</v>
      </c>
      <c r="B58" s="471"/>
      <c r="C58" s="838"/>
      <c r="D58" s="336" t="s">
        <v>374</v>
      </c>
      <c r="E58" s="244"/>
      <c r="F58" s="423">
        <f>-SUM(Retirements!I38:I39)</f>
        <v>-273146.35958395246</v>
      </c>
      <c r="G58" s="244"/>
      <c r="I58" s="848"/>
    </row>
    <row r="59" spans="1:14">
      <c r="A59" s="435">
        <f t="shared" si="0"/>
        <v>46</v>
      </c>
      <c r="B59" s="471"/>
      <c r="C59" s="838"/>
      <c r="D59" s="336" t="s">
        <v>105</v>
      </c>
      <c r="E59" s="244"/>
      <c r="F59" s="423">
        <f>-SUM(Retirements!I40:I44)</f>
        <v>-5421765.3933067555</v>
      </c>
      <c r="G59" s="244"/>
      <c r="I59" s="848"/>
    </row>
    <row r="60" spans="1:14">
      <c r="A60" s="435">
        <f t="shared" si="0"/>
        <v>47</v>
      </c>
      <c r="B60" s="471"/>
      <c r="C60" s="838"/>
      <c r="D60" s="336" t="s">
        <v>106</v>
      </c>
      <c r="E60" s="244"/>
      <c r="F60" s="423">
        <f>-Retirements!I45</f>
        <v>-460358.0185566108</v>
      </c>
      <c r="G60" s="244"/>
      <c r="I60" s="848"/>
    </row>
    <row r="61" spans="1:14">
      <c r="A61" s="435">
        <f t="shared" si="0"/>
        <v>48</v>
      </c>
      <c r="B61" s="477"/>
      <c r="C61" s="446"/>
      <c r="D61" s="550" t="s">
        <v>892</v>
      </c>
      <c r="E61" s="673" t="e">
        <f>SUM(E47:E60)</f>
        <v>#REF!</v>
      </c>
      <c r="F61" s="673" t="e">
        <f>SUM(F47:F60)</f>
        <v>#REF!</v>
      </c>
      <c r="G61" s="244"/>
      <c r="I61" s="848"/>
      <c r="K61" s="409"/>
    </row>
    <row r="62" spans="1:14">
      <c r="A62" s="435">
        <f t="shared" si="0"/>
        <v>49</v>
      </c>
      <c r="B62" s="471"/>
      <c r="C62" s="471"/>
      <c r="G62" s="287"/>
      <c r="I62" s="848"/>
      <c r="K62" s="409"/>
      <c r="L62" s="250"/>
      <c r="M62" s="250"/>
      <c r="N62" s="250"/>
    </row>
    <row r="63" spans="1:14">
      <c r="A63" s="435">
        <f t="shared" si="0"/>
        <v>50</v>
      </c>
      <c r="B63" s="471"/>
      <c r="C63" s="471"/>
      <c r="D63" s="478" t="s">
        <v>893</v>
      </c>
      <c r="E63" s="840" t="e">
        <f>+E44+E61</f>
        <v>#REF!</v>
      </c>
      <c r="F63" s="840" t="e">
        <f>+F44+F61</f>
        <v>#REF!</v>
      </c>
      <c r="G63" s="287"/>
      <c r="I63" s="848"/>
      <c r="K63" s="409"/>
      <c r="L63" s="250"/>
      <c r="M63" s="250"/>
      <c r="N63" s="250"/>
    </row>
    <row r="64" spans="1:14">
      <c r="A64" s="435">
        <f t="shared" si="0"/>
        <v>51</v>
      </c>
      <c r="B64" s="471"/>
      <c r="C64" s="471"/>
      <c r="D64" s="478"/>
      <c r="E64" s="247"/>
      <c r="F64" s="247"/>
      <c r="G64" s="287"/>
      <c r="I64" s="848"/>
      <c r="K64" s="409"/>
    </row>
    <row r="65" spans="1:20" ht="12.75" thickBot="1">
      <c r="A65" s="435">
        <f t="shared" si="0"/>
        <v>52</v>
      </c>
      <c r="C65" s="471"/>
      <c r="D65" s="478" t="s">
        <v>0</v>
      </c>
      <c r="E65" s="479" t="e">
        <f>+E18+E23+E63</f>
        <v>#REF!</v>
      </c>
      <c r="F65" s="479" t="e">
        <f>+F18+F23+F63</f>
        <v>#REF!</v>
      </c>
      <c r="G65" s="287"/>
      <c r="I65" s="848"/>
      <c r="J65" s="287"/>
      <c r="K65" s="409"/>
    </row>
    <row r="66" spans="1:20" ht="12.75" thickTop="1">
      <c r="A66" s="435">
        <f t="shared" si="0"/>
        <v>53</v>
      </c>
      <c r="C66" s="471"/>
      <c r="D66" s="478"/>
      <c r="E66" s="304"/>
      <c r="F66" s="304"/>
      <c r="G66" s="287"/>
      <c r="K66" s="409"/>
    </row>
    <row r="67" spans="1:20" ht="12.75" thickBot="1">
      <c r="A67" s="435">
        <f t="shared" si="0"/>
        <v>54</v>
      </c>
      <c r="B67" s="477" t="s">
        <v>254</v>
      </c>
      <c r="C67" s="480" t="s">
        <v>802</v>
      </c>
      <c r="D67" s="478"/>
      <c r="E67" s="481"/>
      <c r="F67" s="481">
        <f>-'A 7'!C51</f>
        <v>-928928</v>
      </c>
      <c r="G67" s="287"/>
      <c r="K67" s="409"/>
    </row>
    <row r="68" spans="1:20" ht="12.75" thickTop="1">
      <c r="A68" s="435">
        <f t="shared" si="0"/>
        <v>55</v>
      </c>
      <c r="B68" s="471"/>
      <c r="C68" s="471"/>
      <c r="D68" s="242"/>
      <c r="E68" s="304"/>
      <c r="F68" s="304"/>
      <c r="G68" s="287"/>
    </row>
    <row r="69" spans="1:20">
      <c r="A69" s="435">
        <f t="shared" si="0"/>
        <v>56</v>
      </c>
      <c r="B69" s="477" t="s">
        <v>281</v>
      </c>
      <c r="C69" s="460" t="s">
        <v>102</v>
      </c>
      <c r="D69" s="478"/>
      <c r="E69" s="304"/>
      <c r="F69" s="304"/>
      <c r="G69" s="287"/>
      <c r="K69" s="409"/>
    </row>
    <row r="70" spans="1:20">
      <c r="A70" s="435">
        <f t="shared" si="0"/>
        <v>57</v>
      </c>
      <c r="B70" s="471"/>
      <c r="C70" s="471"/>
      <c r="D70" s="482" t="s">
        <v>475</v>
      </c>
      <c r="E70" s="301">
        <v>-2628722.046153836</v>
      </c>
      <c r="F70" s="301">
        <v>605083.44230770064</v>
      </c>
      <c r="G70" s="287"/>
      <c r="K70" s="409"/>
    </row>
    <row r="71" spans="1:20">
      <c r="A71" s="435">
        <f t="shared" si="0"/>
        <v>58</v>
      </c>
      <c r="B71" s="471"/>
      <c r="C71" s="471"/>
      <c r="D71" s="483"/>
      <c r="E71" s="305"/>
      <c r="F71" s="305"/>
      <c r="G71" s="287"/>
      <c r="K71" s="409"/>
    </row>
    <row r="72" spans="1:20" s="250" customFormat="1" ht="12.75" thickBot="1">
      <c r="A72" s="435">
        <f t="shared" si="0"/>
        <v>59</v>
      </c>
      <c r="B72" s="471"/>
      <c r="C72" s="471"/>
      <c r="D72" s="484" t="s">
        <v>492</v>
      </c>
      <c r="E72" s="377">
        <f>SUM(E70:E70)</f>
        <v>-2628722.046153836</v>
      </c>
      <c r="F72" s="377">
        <f>SUM(F70:F70)</f>
        <v>605083.44230770064</v>
      </c>
      <c r="G72" s="287"/>
      <c r="H72" s="243"/>
      <c r="I72" s="243"/>
      <c r="J72" s="243"/>
      <c r="K72" s="409"/>
      <c r="L72" s="243"/>
      <c r="M72" s="243"/>
      <c r="N72" s="243"/>
      <c r="O72" s="243"/>
      <c r="P72" s="243"/>
      <c r="Q72" s="243"/>
      <c r="R72" s="243"/>
      <c r="S72" s="243"/>
      <c r="T72" s="243"/>
    </row>
    <row r="73" spans="1:20" s="250" customFormat="1" ht="12.75" thickTop="1">
      <c r="A73" s="435"/>
      <c r="B73" s="471"/>
      <c r="C73" s="471"/>
      <c r="D73" s="484"/>
      <c r="E73" s="485"/>
      <c r="F73" s="485"/>
      <c r="G73" s="287"/>
      <c r="H73" s="243"/>
      <c r="I73" s="243"/>
      <c r="J73" s="243"/>
      <c r="K73" s="409"/>
      <c r="L73" s="243"/>
      <c r="M73" s="243"/>
      <c r="N73" s="243"/>
      <c r="O73" s="243"/>
      <c r="P73" s="243"/>
      <c r="Q73" s="243"/>
      <c r="R73" s="243"/>
      <c r="S73" s="243"/>
      <c r="T73" s="243"/>
    </row>
    <row r="74" spans="1:20">
      <c r="A74" s="246" t="s">
        <v>249</v>
      </c>
      <c r="B74" s="246"/>
      <c r="C74" s="246"/>
      <c r="D74" s="446"/>
      <c r="F74" s="289" t="s">
        <v>84</v>
      </c>
    </row>
    <row r="75" spans="1:20">
      <c r="A75" s="246"/>
      <c r="B75" s="246"/>
      <c r="C75" s="246"/>
      <c r="D75" s="446"/>
      <c r="F75" s="289"/>
    </row>
    <row r="76" spans="1:20">
      <c r="A76" s="246" t="s">
        <v>565</v>
      </c>
      <c r="B76" s="246"/>
      <c r="C76" s="246"/>
      <c r="D76" s="446"/>
      <c r="F76" s="260" t="s">
        <v>250</v>
      </c>
    </row>
    <row r="77" spans="1:20">
      <c r="A77" s="246" t="s">
        <v>705</v>
      </c>
      <c r="B77" s="246"/>
      <c r="C77" s="246"/>
      <c r="D77" s="446"/>
      <c r="F77" s="260" t="s">
        <v>855</v>
      </c>
    </row>
    <row r="78" spans="1:20">
      <c r="A78" s="246" t="s">
        <v>566</v>
      </c>
      <c r="B78" s="246"/>
      <c r="C78" s="246"/>
      <c r="D78" s="446"/>
      <c r="F78" s="260"/>
    </row>
    <row r="79" spans="1:20">
      <c r="A79" s="246" t="s">
        <v>86</v>
      </c>
      <c r="B79" s="272"/>
      <c r="C79" s="272"/>
      <c r="D79" s="446"/>
      <c r="F79" s="260" t="s">
        <v>558</v>
      </c>
    </row>
    <row r="80" spans="1:20">
      <c r="A80" s="272" t="s">
        <v>248</v>
      </c>
      <c r="B80" s="246"/>
      <c r="C80" s="246"/>
      <c r="D80" s="446"/>
      <c r="E80" s="246"/>
      <c r="F80" s="279"/>
    </row>
    <row r="81" spans="1:23">
      <c r="A81" s="272"/>
      <c r="B81" s="246"/>
      <c r="C81" s="246"/>
      <c r="D81" s="446"/>
      <c r="E81" s="246"/>
      <c r="F81" s="279"/>
    </row>
    <row r="82" spans="1:23" ht="11.25" customHeight="1">
      <c r="A82" s="993" t="s">
        <v>297</v>
      </c>
      <c r="B82" s="993"/>
      <c r="C82" s="993"/>
      <c r="D82" s="993"/>
      <c r="E82" s="993"/>
      <c r="F82" s="993"/>
    </row>
    <row r="83" spans="1:23" ht="12.75" thickBot="1">
      <c r="A83" s="273"/>
      <c r="B83" s="273"/>
      <c r="C83" s="273"/>
      <c r="D83" s="455"/>
      <c r="E83" s="273"/>
      <c r="F83" s="433"/>
    </row>
    <row r="84" spans="1:23">
      <c r="A84" s="274" t="s">
        <v>289</v>
      </c>
      <c r="B84" s="274"/>
      <c r="C84" s="274"/>
      <c r="D84" s="446"/>
      <c r="E84" s="246"/>
      <c r="F84" s="456"/>
    </row>
    <row r="85" spans="1:23">
      <c r="A85" s="457" t="s">
        <v>351</v>
      </c>
      <c r="B85" s="457"/>
      <c r="C85" s="457"/>
      <c r="D85" s="458" t="s">
        <v>352</v>
      </c>
      <c r="E85" s="457" t="s">
        <v>251</v>
      </c>
      <c r="F85" s="459" t="s">
        <v>252</v>
      </c>
    </row>
    <row r="86" spans="1:23" s="250" customFormat="1">
      <c r="A86" s="435">
        <v>1</v>
      </c>
      <c r="B86" s="477" t="s">
        <v>279</v>
      </c>
      <c r="C86" s="486" t="s">
        <v>255</v>
      </c>
      <c r="D86" s="483"/>
      <c r="E86" s="305"/>
      <c r="F86" s="305"/>
      <c r="G86" s="487"/>
      <c r="J86" s="243"/>
      <c r="K86" s="243"/>
      <c r="L86" s="243"/>
      <c r="M86" s="243"/>
      <c r="N86" s="243"/>
      <c r="O86" s="243"/>
      <c r="P86" s="243"/>
      <c r="Q86" s="243"/>
      <c r="R86" s="243"/>
      <c r="S86" s="243"/>
      <c r="T86" s="243"/>
    </row>
    <row r="87" spans="1:23">
      <c r="A87" s="435">
        <f t="shared" ref="A87:A145" si="1">A86+1</f>
        <v>2</v>
      </c>
      <c r="B87" s="488"/>
      <c r="C87" s="489" t="s">
        <v>426</v>
      </c>
      <c r="D87" s="473" t="s">
        <v>555</v>
      </c>
      <c r="E87" s="301"/>
      <c r="F87" s="301"/>
      <c r="G87" s="487"/>
      <c r="H87" s="250"/>
      <c r="I87" s="250"/>
      <c r="U87" s="250"/>
      <c r="V87" s="250"/>
      <c r="W87" s="250"/>
    </row>
    <row r="88" spans="1:23" ht="12.75" thickBot="1">
      <c r="A88" s="435">
        <f t="shared" si="1"/>
        <v>3</v>
      </c>
      <c r="B88" s="488"/>
      <c r="C88" s="489"/>
      <c r="D88" s="462" t="s">
        <v>820</v>
      </c>
      <c r="E88" s="280"/>
      <c r="F88" s="280"/>
      <c r="G88" s="487"/>
      <c r="H88" s="250"/>
      <c r="I88" s="250"/>
      <c r="U88" s="250"/>
      <c r="V88" s="250"/>
      <c r="W88" s="250"/>
    </row>
    <row r="89" spans="1:23" ht="13.5" customHeight="1" thickBot="1">
      <c r="A89" s="435">
        <f t="shared" si="1"/>
        <v>4</v>
      </c>
      <c r="B89" s="488"/>
      <c r="C89" s="489"/>
      <c r="D89" s="463" t="s">
        <v>794</v>
      </c>
      <c r="E89" s="280">
        <f>'A 9'!C61</f>
        <v>-3549897</v>
      </c>
      <c r="F89" s="280">
        <f>-E89</f>
        <v>3549897</v>
      </c>
      <c r="G89" s="487"/>
      <c r="H89" s="994" t="s">
        <v>872</v>
      </c>
      <c r="I89" s="995"/>
      <c r="J89" s="995"/>
      <c r="K89" s="995"/>
      <c r="L89" s="995"/>
      <c r="M89" s="995"/>
      <c r="N89" s="995"/>
      <c r="O89" s="995"/>
      <c r="P89" s="995"/>
      <c r="Q89" s="995"/>
      <c r="R89" s="995"/>
      <c r="S89" s="995"/>
      <c r="T89" s="996"/>
      <c r="U89" s="250"/>
      <c r="V89" s="250"/>
      <c r="W89" s="250"/>
    </row>
    <row r="90" spans="1:23">
      <c r="A90" s="435">
        <f t="shared" si="1"/>
        <v>5</v>
      </c>
      <c r="B90" s="488"/>
      <c r="C90" s="489"/>
      <c r="D90" s="464" t="s">
        <v>795</v>
      </c>
      <c r="E90" s="280">
        <f>'A 9'!C62</f>
        <v>-1275896</v>
      </c>
      <c r="F90" s="280">
        <f>-E90</f>
        <v>1275896</v>
      </c>
      <c r="G90" s="487"/>
      <c r="H90" s="490"/>
      <c r="I90" s="491" t="s">
        <v>684</v>
      </c>
      <c r="J90" s="492"/>
      <c r="K90" s="492"/>
      <c r="L90" s="492"/>
      <c r="M90" s="492"/>
      <c r="N90" s="492"/>
      <c r="O90" s="492"/>
      <c r="P90" s="492"/>
      <c r="Q90" s="492"/>
      <c r="R90" s="492"/>
      <c r="S90" s="492"/>
      <c r="T90" s="493"/>
      <c r="U90" s="250"/>
      <c r="V90" s="250"/>
      <c r="W90" s="250"/>
    </row>
    <row r="91" spans="1:23">
      <c r="A91" s="435">
        <f t="shared" si="1"/>
        <v>6</v>
      </c>
      <c r="B91" s="488"/>
      <c r="C91" s="489"/>
      <c r="D91" s="466" t="s">
        <v>796</v>
      </c>
      <c r="E91" s="467">
        <f>SUM(E88:E90)</f>
        <v>-4825793</v>
      </c>
      <c r="F91" s="467">
        <f>SUM(F88:F90)</f>
        <v>4825793</v>
      </c>
      <c r="G91" s="487"/>
      <c r="H91" s="494"/>
      <c r="I91" s="495" t="s">
        <v>677</v>
      </c>
      <c r="J91" s="495" t="s">
        <v>682</v>
      </c>
      <c r="K91" s="495" t="s">
        <v>683</v>
      </c>
      <c r="L91" s="492"/>
      <c r="M91" s="492"/>
      <c r="N91" s="492"/>
      <c r="O91" s="492" t="s">
        <v>685</v>
      </c>
      <c r="P91" s="492"/>
      <c r="Q91" s="492"/>
      <c r="R91" s="492"/>
      <c r="S91" s="492"/>
      <c r="T91" s="493"/>
      <c r="U91" s="250"/>
      <c r="V91" s="250"/>
      <c r="W91" s="250"/>
    </row>
    <row r="92" spans="1:23">
      <c r="A92" s="435">
        <f t="shared" si="1"/>
        <v>7</v>
      </c>
      <c r="B92" s="488"/>
      <c r="C92" s="489"/>
      <c r="D92" s="466"/>
      <c r="E92" s="496"/>
      <c r="F92" s="496"/>
      <c r="G92" s="487"/>
      <c r="H92" s="494" t="s">
        <v>698</v>
      </c>
      <c r="I92" s="497">
        <v>564530</v>
      </c>
      <c r="J92" s="498">
        <f>I92+$O$93</f>
        <v>620274.97499999998</v>
      </c>
      <c r="K92" s="498">
        <f>J92+$O$93</f>
        <v>676019.95</v>
      </c>
      <c r="L92" s="492"/>
      <c r="M92" s="492"/>
      <c r="N92" s="492"/>
      <c r="O92" s="492"/>
      <c r="P92" s="498">
        <f>O93/12</f>
        <v>4645.4145833333332</v>
      </c>
      <c r="Q92" s="498">
        <f>L95</f>
        <v>731764.92499999993</v>
      </c>
      <c r="R92" s="492" t="s">
        <v>687</v>
      </c>
      <c r="S92" s="498">
        <f>O94/12</f>
        <v>12890.216666666667</v>
      </c>
      <c r="T92" s="499">
        <f>L96</f>
        <v>1392143.4</v>
      </c>
      <c r="U92" s="250"/>
      <c r="V92" s="250"/>
      <c r="W92" s="250"/>
    </row>
    <row r="93" spans="1:23">
      <c r="A93" s="435">
        <f t="shared" si="1"/>
        <v>8</v>
      </c>
      <c r="B93" s="488"/>
      <c r="C93" s="489"/>
      <c r="D93" s="482" t="s">
        <v>821</v>
      </c>
      <c r="E93" s="244"/>
      <c r="F93" s="244"/>
      <c r="G93" s="487"/>
      <c r="H93" s="494" t="s">
        <v>699</v>
      </c>
      <c r="I93" s="497"/>
      <c r="J93" s="498"/>
      <c r="K93" s="492"/>
      <c r="L93" s="492"/>
      <c r="M93" s="492"/>
      <c r="N93" s="495" t="s">
        <v>686</v>
      </c>
      <c r="O93" s="500">
        <f>F21/40</f>
        <v>55744.974999999999</v>
      </c>
      <c r="P93" s="498">
        <f t="shared" ref="P93:P99" si="2">P92</f>
        <v>4645.4145833333332</v>
      </c>
      <c r="Q93" s="498">
        <f t="shared" ref="Q93:Q99" si="3">Q92+P92</f>
        <v>736410.33958333323</v>
      </c>
      <c r="R93" s="492" t="s">
        <v>688</v>
      </c>
      <c r="S93" s="498">
        <f t="shared" ref="S93:S99" si="4">S92</f>
        <v>12890.216666666667</v>
      </c>
      <c r="T93" s="499">
        <f t="shared" ref="T93:T99" si="5">T92+S92</f>
        <v>1405033.6166666665</v>
      </c>
    </row>
    <row r="94" spans="1:23">
      <c r="A94" s="435">
        <f t="shared" si="1"/>
        <v>9</v>
      </c>
      <c r="B94" s="488"/>
      <c r="C94" s="489"/>
      <c r="D94" s="501" t="s">
        <v>700</v>
      </c>
      <c r="E94" s="244"/>
      <c r="F94" s="502">
        <f>Q105</f>
        <v>759637.41249999974</v>
      </c>
      <c r="G94" s="487"/>
      <c r="H94" s="494"/>
      <c r="I94" s="492"/>
      <c r="J94" s="492"/>
      <c r="K94" s="492"/>
      <c r="L94" s="495" t="s">
        <v>568</v>
      </c>
      <c r="M94" s="495" t="s">
        <v>569</v>
      </c>
      <c r="N94" s="492">
        <v>2019</v>
      </c>
      <c r="O94" s="500">
        <f>M96/10</f>
        <v>154682.6</v>
      </c>
      <c r="P94" s="498">
        <f t="shared" si="2"/>
        <v>4645.4145833333332</v>
      </c>
      <c r="Q94" s="498">
        <f t="shared" si="3"/>
        <v>741055.75416666653</v>
      </c>
      <c r="R94" s="492" t="s">
        <v>689</v>
      </c>
      <c r="S94" s="498">
        <f t="shared" si="4"/>
        <v>12890.216666666667</v>
      </c>
      <c r="T94" s="499">
        <f t="shared" si="5"/>
        <v>1417923.833333333</v>
      </c>
    </row>
    <row r="95" spans="1:23">
      <c r="A95" s="435">
        <f t="shared" si="1"/>
        <v>10</v>
      </c>
      <c r="B95" s="488"/>
      <c r="C95" s="489"/>
      <c r="D95" s="501" t="s">
        <v>261</v>
      </c>
      <c r="E95" s="244"/>
      <c r="F95" s="244">
        <f>-T105</f>
        <v>-1469484.6999999995</v>
      </c>
      <c r="G95" s="487"/>
      <c r="H95" s="494"/>
      <c r="I95" s="492"/>
      <c r="J95" s="492"/>
      <c r="K95" s="492"/>
      <c r="L95" s="498">
        <f>K92+$O$93</f>
        <v>731764.92499999993</v>
      </c>
      <c r="M95" s="498">
        <f>L95+$O$93</f>
        <v>787509.89999999991</v>
      </c>
      <c r="N95" s="498">
        <f>Q105</f>
        <v>759637.41249999974</v>
      </c>
      <c r="O95" s="492"/>
      <c r="P95" s="498">
        <f t="shared" si="2"/>
        <v>4645.4145833333332</v>
      </c>
      <c r="Q95" s="498">
        <f t="shared" si="3"/>
        <v>745701.16874999984</v>
      </c>
      <c r="R95" s="492" t="s">
        <v>690</v>
      </c>
      <c r="S95" s="498">
        <f t="shared" si="4"/>
        <v>12890.216666666667</v>
      </c>
      <c r="T95" s="499">
        <f t="shared" si="5"/>
        <v>1430814.0499999996</v>
      </c>
    </row>
    <row r="96" spans="1:23" ht="14.25">
      <c r="A96" s="435">
        <f t="shared" si="1"/>
        <v>11</v>
      </c>
      <c r="B96" s="353"/>
      <c r="C96" s="489"/>
      <c r="D96" s="501" t="s">
        <v>819</v>
      </c>
      <c r="E96" s="503">
        <f>SUM(E94:E95)</f>
        <v>0</v>
      </c>
      <c r="F96" s="843">
        <f>SUM(F94:F95)</f>
        <v>-709847.28749999974</v>
      </c>
      <c r="G96" s="487"/>
      <c r="H96" s="494"/>
      <c r="I96" s="492"/>
      <c r="J96" s="492"/>
      <c r="K96" s="492"/>
      <c r="L96" s="498">
        <f>M96-O94</f>
        <v>1392143.4</v>
      </c>
      <c r="M96" s="498">
        <v>1546826</v>
      </c>
      <c r="N96" s="498"/>
      <c r="O96" s="492"/>
      <c r="P96" s="498">
        <f t="shared" si="2"/>
        <v>4645.4145833333332</v>
      </c>
      <c r="Q96" s="498">
        <f t="shared" si="3"/>
        <v>750346.58333333314</v>
      </c>
      <c r="R96" s="492" t="s">
        <v>691</v>
      </c>
      <c r="S96" s="498">
        <f t="shared" si="4"/>
        <v>12890.216666666667</v>
      </c>
      <c r="T96" s="499">
        <f t="shared" si="5"/>
        <v>1443704.2666666661</v>
      </c>
    </row>
    <row r="97" spans="1:20">
      <c r="A97" s="435">
        <f t="shared" si="1"/>
        <v>12</v>
      </c>
      <c r="B97" s="471"/>
      <c r="C97" s="838"/>
      <c r="D97" s="354"/>
      <c r="E97" s="248"/>
      <c r="F97" s="248"/>
      <c r="G97" s="487"/>
      <c r="H97" s="494"/>
      <c r="I97" s="492"/>
      <c r="J97" s="492"/>
      <c r="K97" s="492"/>
      <c r="L97" s="492"/>
      <c r="M97" s="492"/>
      <c r="N97" s="492"/>
      <c r="O97" s="492"/>
      <c r="P97" s="498">
        <f t="shared" si="2"/>
        <v>4645.4145833333332</v>
      </c>
      <c r="Q97" s="498">
        <f t="shared" si="3"/>
        <v>754991.99791666644</v>
      </c>
      <c r="R97" s="492" t="s">
        <v>276</v>
      </c>
      <c r="S97" s="498">
        <f t="shared" si="4"/>
        <v>12890.216666666667</v>
      </c>
      <c r="T97" s="499">
        <f t="shared" si="5"/>
        <v>1456594.4833333327</v>
      </c>
    </row>
    <row r="98" spans="1:20">
      <c r="A98" s="435">
        <f t="shared" si="1"/>
        <v>13</v>
      </c>
      <c r="B98" s="471"/>
      <c r="D98" s="504"/>
      <c r="E98" s="248"/>
      <c r="F98" s="248"/>
      <c r="G98" s="487"/>
      <c r="H98" s="494"/>
      <c r="I98" s="492"/>
      <c r="J98" s="492"/>
      <c r="K98" s="492"/>
      <c r="L98" s="492"/>
      <c r="M98" s="492"/>
      <c r="N98" s="492"/>
      <c r="O98" s="492"/>
      <c r="P98" s="498">
        <f t="shared" si="2"/>
        <v>4645.4145833333332</v>
      </c>
      <c r="Q98" s="498">
        <f t="shared" si="3"/>
        <v>759637.41249999974</v>
      </c>
      <c r="R98" s="492" t="s">
        <v>692</v>
      </c>
      <c r="S98" s="498">
        <f t="shared" si="4"/>
        <v>12890.216666666667</v>
      </c>
      <c r="T98" s="499">
        <f t="shared" si="5"/>
        <v>1469484.6999999993</v>
      </c>
    </row>
    <row r="99" spans="1:20">
      <c r="A99" s="435">
        <f t="shared" si="1"/>
        <v>14</v>
      </c>
      <c r="B99" s="471"/>
      <c r="D99" s="428" t="s">
        <v>554</v>
      </c>
      <c r="E99" s="476">
        <f>E91+E96</f>
        <v>-4825793</v>
      </c>
      <c r="F99" s="476">
        <f>F91+F96</f>
        <v>4115945.7125000004</v>
      </c>
      <c r="G99" s="487"/>
      <c r="H99" s="494"/>
      <c r="I99" s="492"/>
      <c r="J99" s="492"/>
      <c r="K99" s="492"/>
      <c r="L99" s="492"/>
      <c r="M99" s="492"/>
      <c r="N99" s="492"/>
      <c r="O99" s="492"/>
      <c r="P99" s="498">
        <f t="shared" si="2"/>
        <v>4645.4145833333332</v>
      </c>
      <c r="Q99" s="498">
        <f t="shared" si="3"/>
        <v>764282.82708333305</v>
      </c>
      <c r="R99" s="492" t="s">
        <v>693</v>
      </c>
      <c r="S99" s="498">
        <f t="shared" si="4"/>
        <v>12890.216666666667</v>
      </c>
      <c r="T99" s="499">
        <f t="shared" si="5"/>
        <v>1482374.9166666658</v>
      </c>
    </row>
    <row r="100" spans="1:20" ht="14.25">
      <c r="A100" s="435">
        <f t="shared" si="1"/>
        <v>15</v>
      </c>
      <c r="B100" s="471"/>
      <c r="C100" s="353"/>
      <c r="D100" s="428"/>
      <c r="E100" s="248"/>
      <c r="F100" s="248"/>
      <c r="G100" s="487"/>
      <c r="H100" s="494"/>
      <c r="I100" s="492"/>
      <c r="J100" s="492"/>
      <c r="K100" s="492"/>
      <c r="L100" s="492"/>
      <c r="M100" s="492"/>
      <c r="N100" s="492"/>
      <c r="O100" s="492"/>
      <c r="P100" s="498">
        <f>P99</f>
        <v>4645.4145833333332</v>
      </c>
      <c r="Q100" s="498">
        <f>Q99+P99</f>
        <v>768928.24166666635</v>
      </c>
      <c r="R100" s="492" t="s">
        <v>694</v>
      </c>
      <c r="S100" s="498">
        <f>S99</f>
        <v>12890.216666666667</v>
      </c>
      <c r="T100" s="499">
        <f>T99+S99</f>
        <v>1495265.1333333324</v>
      </c>
    </row>
    <row r="101" spans="1:20" ht="14.25">
      <c r="A101" s="435">
        <f t="shared" si="1"/>
        <v>16</v>
      </c>
      <c r="B101" s="471"/>
      <c r="C101" s="353"/>
      <c r="D101" s="473" t="s">
        <v>119</v>
      </c>
      <c r="E101" s="353"/>
      <c r="F101" s="505"/>
      <c r="G101" s="487"/>
      <c r="H101" s="494"/>
      <c r="I101" s="492"/>
      <c r="J101" s="492"/>
      <c r="K101" s="492"/>
      <c r="L101" s="492"/>
      <c r="M101" s="492"/>
      <c r="N101" s="492"/>
      <c r="O101" s="492"/>
      <c r="P101" s="498">
        <f>P100</f>
        <v>4645.4145833333332</v>
      </c>
      <c r="Q101" s="498">
        <f>Q100+P100</f>
        <v>773573.65624999965</v>
      </c>
      <c r="R101" s="492" t="s">
        <v>695</v>
      </c>
      <c r="S101" s="498">
        <f>S100</f>
        <v>12890.216666666667</v>
      </c>
      <c r="T101" s="499">
        <f>T100+S100</f>
        <v>1508155.3499999989</v>
      </c>
    </row>
    <row r="102" spans="1:20" ht="14.25">
      <c r="A102" s="435">
        <f t="shared" si="1"/>
        <v>17</v>
      </c>
      <c r="B102" s="471"/>
      <c r="C102" s="353"/>
      <c r="D102" s="288" t="s">
        <v>864</v>
      </c>
      <c r="E102" s="506"/>
      <c r="F102" s="505"/>
      <c r="G102" s="487"/>
      <c r="H102" s="494"/>
      <c r="I102" s="492"/>
      <c r="J102" s="492"/>
      <c r="K102" s="492"/>
      <c r="L102" s="492"/>
      <c r="M102" s="492"/>
      <c r="N102" s="492"/>
      <c r="O102" s="492"/>
      <c r="P102" s="498">
        <f>P101</f>
        <v>4645.4145833333332</v>
      </c>
      <c r="Q102" s="498">
        <f>Q101+P101</f>
        <v>778219.07083333295</v>
      </c>
      <c r="R102" s="492" t="s">
        <v>696</v>
      </c>
      <c r="S102" s="498">
        <f>S101</f>
        <v>12890.216666666667</v>
      </c>
      <c r="T102" s="499">
        <f>T101+S101</f>
        <v>1521045.5666666655</v>
      </c>
    </row>
    <row r="103" spans="1:20">
      <c r="A103" s="435">
        <f t="shared" si="1"/>
        <v>18</v>
      </c>
      <c r="B103" s="471"/>
      <c r="C103" s="435"/>
      <c r="D103" s="507" t="s">
        <v>869</v>
      </c>
      <c r="E103" s="244">
        <f>'A5 Adds'!Q21</f>
        <v>583.75520833333337</v>
      </c>
      <c r="F103" s="244"/>
      <c r="G103" s="487"/>
      <c r="H103" s="494"/>
      <c r="I103" s="492"/>
      <c r="J103" s="492"/>
      <c r="K103" s="492"/>
      <c r="L103" s="492"/>
      <c r="M103" s="492"/>
      <c r="N103" s="492"/>
      <c r="O103" s="492"/>
      <c r="P103" s="498">
        <f>P102</f>
        <v>4645.4145833333332</v>
      </c>
      <c r="Q103" s="498">
        <f>Q102+P102</f>
        <v>782864.48541666626</v>
      </c>
      <c r="R103" s="492" t="s">
        <v>697</v>
      </c>
      <c r="S103" s="498">
        <f>S102</f>
        <v>12890.216666666667</v>
      </c>
      <c r="T103" s="499">
        <f>T102+S102</f>
        <v>1533935.783333332</v>
      </c>
    </row>
    <row r="104" spans="1:20">
      <c r="A104" s="435">
        <f t="shared" si="1"/>
        <v>19</v>
      </c>
      <c r="B104" s="471"/>
      <c r="C104" s="435"/>
      <c r="D104" s="507" t="s">
        <v>378</v>
      </c>
      <c r="E104" s="244">
        <f>'A5 Adds'!Q27</f>
        <v>206.4111111111111</v>
      </c>
      <c r="F104" s="242"/>
      <c r="G104" s="487"/>
      <c r="H104" s="494"/>
      <c r="I104" s="492"/>
      <c r="J104" s="492"/>
      <c r="K104" s="492"/>
      <c r="L104" s="492"/>
      <c r="M104" s="492"/>
      <c r="N104" s="492"/>
      <c r="O104" s="492"/>
      <c r="P104" s="498">
        <f>P103</f>
        <v>4645.4145833333332</v>
      </c>
      <c r="Q104" s="498">
        <f>Q103+P103</f>
        <v>787509.89999999956</v>
      </c>
      <c r="R104" s="492" t="s">
        <v>687</v>
      </c>
      <c r="S104" s="498">
        <f>S103</f>
        <v>12890.216666666667</v>
      </c>
      <c r="T104" s="499">
        <f>T103+S103</f>
        <v>1546825.9999999986</v>
      </c>
    </row>
    <row r="105" spans="1:20" ht="12.75" thickBot="1">
      <c r="A105" s="435">
        <f t="shared" si="1"/>
        <v>20</v>
      </c>
      <c r="B105" s="471"/>
      <c r="C105" s="435"/>
      <c r="D105" s="507" t="s">
        <v>380</v>
      </c>
      <c r="E105" s="244">
        <f>'A5 Adds'!Q32</f>
        <v>584.44523809523798</v>
      </c>
      <c r="F105" s="242"/>
      <c r="G105" s="487"/>
      <c r="H105" s="508"/>
      <c r="I105" s="509"/>
      <c r="J105" s="509"/>
      <c r="K105" s="509"/>
      <c r="L105" s="509"/>
      <c r="M105" s="509"/>
      <c r="N105" s="509"/>
      <c r="O105" s="509"/>
      <c r="P105" s="510"/>
      <c r="Q105" s="510">
        <f>AVERAGE(Q92:Q104)</f>
        <v>759637.41249999974</v>
      </c>
      <c r="R105" s="511" t="s">
        <v>686</v>
      </c>
      <c r="S105" s="510"/>
      <c r="T105" s="512">
        <f>AVERAGE(T92:T104)</f>
        <v>1469484.6999999995</v>
      </c>
    </row>
    <row r="106" spans="1:20">
      <c r="A106" s="435">
        <f t="shared" si="1"/>
        <v>21</v>
      </c>
      <c r="B106" s="471"/>
      <c r="C106" s="435"/>
      <c r="D106" s="507" t="s">
        <v>381</v>
      </c>
      <c r="E106" s="244">
        <f>'A5 Adds'!Q36</f>
        <v>1454.0250000000001</v>
      </c>
      <c r="F106" s="242"/>
      <c r="G106" s="487"/>
    </row>
    <row r="107" spans="1:20">
      <c r="A107" s="435">
        <f t="shared" si="1"/>
        <v>22</v>
      </c>
      <c r="B107" s="471"/>
      <c r="C107" s="435"/>
      <c r="D107" s="507" t="s">
        <v>382</v>
      </c>
      <c r="E107" s="244">
        <f>'A5 Adds'!Q40</f>
        <v>1463.0916666666667</v>
      </c>
      <c r="F107" s="242"/>
      <c r="G107" s="487"/>
    </row>
    <row r="108" spans="1:20">
      <c r="A108" s="435">
        <f t="shared" si="1"/>
        <v>23</v>
      </c>
      <c r="B108" s="471"/>
      <c r="C108" s="435"/>
      <c r="D108" s="507" t="s">
        <v>386</v>
      </c>
      <c r="E108" s="244">
        <f>'A5 Adds'!Q47</f>
        <v>33520.572916666664</v>
      </c>
      <c r="F108" s="242"/>
      <c r="G108" s="487"/>
    </row>
    <row r="109" spans="1:20">
      <c r="A109" s="435">
        <f t="shared" si="1"/>
        <v>24</v>
      </c>
      <c r="B109" s="471"/>
      <c r="C109" s="435"/>
      <c r="D109" s="507" t="s">
        <v>31</v>
      </c>
      <c r="E109" s="244">
        <f>'A5 Adds'!Q52</f>
        <v>4505.208333333333</v>
      </c>
      <c r="F109" s="242"/>
      <c r="G109" s="487"/>
    </row>
    <row r="110" spans="1:20">
      <c r="A110" s="435">
        <f t="shared" si="1"/>
        <v>25</v>
      </c>
      <c r="B110" s="471"/>
      <c r="C110" s="435"/>
      <c r="D110" s="507" t="s">
        <v>387</v>
      </c>
      <c r="E110" s="244">
        <f>'A5 Adds'!Q56</f>
        <v>1091.9659090909092</v>
      </c>
      <c r="F110" s="242"/>
      <c r="G110" s="487"/>
    </row>
    <row r="111" spans="1:20">
      <c r="A111" s="435">
        <f t="shared" si="1"/>
        <v>26</v>
      </c>
      <c r="B111" s="471"/>
      <c r="C111" s="435"/>
      <c r="D111" s="507" t="s">
        <v>870</v>
      </c>
      <c r="E111" s="244">
        <f>'A5 Adds'!Q63</f>
        <v>29.505208333333332</v>
      </c>
      <c r="F111" s="244"/>
      <c r="G111" s="487"/>
    </row>
    <row r="112" spans="1:20">
      <c r="A112" s="435">
        <f t="shared" si="1"/>
        <v>27</v>
      </c>
      <c r="B112" s="471"/>
      <c r="C112" s="435"/>
      <c r="D112" s="507" t="s">
        <v>392</v>
      </c>
      <c r="E112" s="244">
        <f>'A5 Adds'!Q68</f>
        <v>787.40990990990997</v>
      </c>
      <c r="F112" s="242"/>
      <c r="G112" s="487"/>
    </row>
    <row r="113" spans="1:7">
      <c r="A113" s="435">
        <f t="shared" si="1"/>
        <v>28</v>
      </c>
      <c r="B113" s="471"/>
      <c r="C113" s="435"/>
      <c r="D113" s="507" t="s">
        <v>393</v>
      </c>
      <c r="E113" s="244">
        <f>'A5 Adds'!Q72</f>
        <v>7125.6337209302337</v>
      </c>
      <c r="F113" s="244"/>
      <c r="G113" s="487"/>
    </row>
    <row r="114" spans="1:7">
      <c r="A114" s="435">
        <f t="shared" si="1"/>
        <v>29</v>
      </c>
      <c r="B114" s="471"/>
      <c r="C114" s="435"/>
      <c r="D114" s="507" t="s">
        <v>394</v>
      </c>
      <c r="E114" s="244">
        <f>'A5 Adds'!Q76</f>
        <v>8632.1124999999993</v>
      </c>
      <c r="F114" s="244"/>
      <c r="G114" s="487"/>
    </row>
    <row r="115" spans="1:7">
      <c r="A115" s="435">
        <f t="shared" si="1"/>
        <v>30</v>
      </c>
      <c r="B115" s="471"/>
      <c r="C115" s="435"/>
      <c r="D115" s="507" t="s">
        <v>395</v>
      </c>
      <c r="E115" s="244">
        <f>'A5 Adds'!Q80</f>
        <v>10690.399999999998</v>
      </c>
      <c r="F115" s="242"/>
      <c r="G115" s="487"/>
    </row>
    <row r="116" spans="1:7">
      <c r="A116" s="435">
        <f t="shared" si="1"/>
        <v>31</v>
      </c>
      <c r="B116" s="471"/>
      <c r="C116" s="435"/>
      <c r="D116" s="507" t="s">
        <v>396</v>
      </c>
      <c r="E116" s="244">
        <f>'A5 Adds'!Q84</f>
        <v>2327.9259259259261</v>
      </c>
      <c r="F116" s="242"/>
      <c r="G116" s="487"/>
    </row>
    <row r="117" spans="1:7">
      <c r="A117" s="435">
        <f t="shared" si="1"/>
        <v>32</v>
      </c>
      <c r="B117" s="471"/>
      <c r="C117" s="435"/>
      <c r="D117" s="507" t="s">
        <v>11</v>
      </c>
      <c r="E117" s="244">
        <f>'A5 Adds'!Q88</f>
        <v>3634.0555555555561</v>
      </c>
      <c r="F117" s="242"/>
      <c r="G117" s="487"/>
    </row>
    <row r="118" spans="1:7">
      <c r="A118" s="435">
        <f t="shared" si="1"/>
        <v>33</v>
      </c>
      <c r="B118" s="471"/>
      <c r="C118" s="435"/>
      <c r="D118" s="507" t="s">
        <v>655</v>
      </c>
      <c r="E118" s="244">
        <f>'A5 Adds'!Q95</f>
        <v>20365.065104166668</v>
      </c>
      <c r="F118" s="242"/>
      <c r="G118" s="487"/>
    </row>
    <row r="119" spans="1:7">
      <c r="A119" s="435">
        <f t="shared" si="1"/>
        <v>34</v>
      </c>
      <c r="B119" s="471"/>
      <c r="C119" s="435"/>
      <c r="D119" s="507" t="s">
        <v>399</v>
      </c>
      <c r="E119" s="244">
        <f>'A5 Adds'!Q99+'A5 Adds'!Q129</f>
        <v>32104.161536666659</v>
      </c>
      <c r="F119" s="242"/>
      <c r="G119" s="487"/>
    </row>
    <row r="120" spans="1:7">
      <c r="A120" s="435">
        <f t="shared" si="1"/>
        <v>35</v>
      </c>
      <c r="B120" s="471"/>
      <c r="C120" s="435"/>
      <c r="D120" s="507" t="s">
        <v>400</v>
      </c>
      <c r="E120" s="244">
        <f>'A5 Adds'!Q103+'A5 Adds'!Q133</f>
        <v>6107.2690466666481</v>
      </c>
      <c r="F120" s="242"/>
      <c r="G120" s="487"/>
    </row>
    <row r="121" spans="1:7">
      <c r="A121" s="435">
        <f t="shared" si="1"/>
        <v>36</v>
      </c>
      <c r="B121" s="471"/>
      <c r="C121" s="435"/>
      <c r="D121" s="507" t="s">
        <v>402</v>
      </c>
      <c r="E121" s="244">
        <f>'A5 Adds'!Q108</f>
        <v>339.71354166666663</v>
      </c>
      <c r="F121" s="242"/>
      <c r="G121" s="487"/>
    </row>
    <row r="122" spans="1:7">
      <c r="A122" s="435">
        <f t="shared" si="1"/>
        <v>37</v>
      </c>
      <c r="B122" s="471"/>
      <c r="C122" s="435"/>
      <c r="D122" s="507" t="s">
        <v>403</v>
      </c>
      <c r="E122" s="244">
        <f>'A5 Adds'!Q112</f>
        <v>108.47222222222223</v>
      </c>
      <c r="F122" s="242"/>
      <c r="G122" s="487"/>
    </row>
    <row r="123" spans="1:7">
      <c r="A123" s="435">
        <f t="shared" si="1"/>
        <v>38</v>
      </c>
      <c r="B123" s="471"/>
      <c r="C123" s="435"/>
      <c r="D123" s="507" t="s">
        <v>109</v>
      </c>
      <c r="E123" s="244">
        <f>'A5 Adds'!Q116</f>
        <v>1511.2638888888885</v>
      </c>
      <c r="F123" s="242"/>
      <c r="G123" s="487"/>
    </row>
    <row r="124" spans="1:7">
      <c r="A124" s="435">
        <f t="shared" si="1"/>
        <v>39</v>
      </c>
      <c r="B124" s="471"/>
      <c r="C124" s="435"/>
      <c r="D124" s="507" t="s">
        <v>110</v>
      </c>
      <c r="E124" s="244">
        <f>'A5 Adds'!Q120</f>
        <v>235.89166666666671</v>
      </c>
      <c r="F124" s="242"/>
      <c r="G124" s="487"/>
    </row>
    <row r="125" spans="1:7">
      <c r="A125" s="435">
        <f t="shared" si="1"/>
        <v>40</v>
      </c>
      <c r="B125" s="471"/>
      <c r="C125" s="435"/>
      <c r="D125" s="507" t="s">
        <v>868</v>
      </c>
      <c r="E125" s="244"/>
      <c r="F125" s="244">
        <f>'A6 Adds'!Q21</f>
        <v>909.49192500000004</v>
      </c>
      <c r="G125" s="487"/>
    </row>
    <row r="126" spans="1:7">
      <c r="A126" s="435">
        <f t="shared" si="1"/>
        <v>41</v>
      </c>
      <c r="B126" s="471"/>
      <c r="C126" s="435"/>
      <c r="D126" s="507" t="s">
        <v>208</v>
      </c>
      <c r="E126" s="244"/>
      <c r="F126" s="244">
        <f>'A6 Adds'!Q25</f>
        <v>-5.5625</v>
      </c>
      <c r="G126" s="487"/>
    </row>
    <row r="127" spans="1:7">
      <c r="A127" s="435">
        <f t="shared" si="1"/>
        <v>42</v>
      </c>
      <c r="B127" s="471"/>
      <c r="C127" s="435"/>
      <c r="D127" s="507" t="s">
        <v>867</v>
      </c>
      <c r="F127" s="244">
        <f>'A6 Adds'!$Q$29</f>
        <v>1975.6388888888891</v>
      </c>
      <c r="G127" s="487"/>
    </row>
    <row r="128" spans="1:7">
      <c r="A128" s="435">
        <f t="shared" si="1"/>
        <v>43</v>
      </c>
      <c r="B128" s="471"/>
      <c r="C128" s="435"/>
      <c r="D128" s="507" t="s">
        <v>364</v>
      </c>
      <c r="F128" s="244">
        <f>'A6 Adds'!Q33</f>
        <v>16738.246296296293</v>
      </c>
      <c r="G128" s="487"/>
    </row>
    <row r="129" spans="1:20">
      <c r="A129" s="435">
        <f t="shared" si="1"/>
        <v>44</v>
      </c>
      <c r="B129" s="471"/>
      <c r="C129" s="435"/>
      <c r="D129" s="507" t="s">
        <v>366</v>
      </c>
      <c r="F129" s="244">
        <f>'A6 Adds'!Q38</f>
        <v>4276.3837719298244</v>
      </c>
      <c r="G129" s="487"/>
    </row>
    <row r="130" spans="1:20">
      <c r="A130" s="435">
        <f t="shared" si="1"/>
        <v>45</v>
      </c>
      <c r="B130" s="471"/>
      <c r="C130" s="471"/>
      <c r="D130" s="507" t="s">
        <v>367</v>
      </c>
      <c r="E130" s="244"/>
      <c r="F130" s="244">
        <f>'A6 Adds'!$Q$42</f>
        <v>941.6</v>
      </c>
      <c r="G130" s="487"/>
    </row>
    <row r="131" spans="1:20">
      <c r="A131" s="435">
        <f t="shared" si="1"/>
        <v>46</v>
      </c>
      <c r="B131" s="471"/>
      <c r="C131" s="435"/>
      <c r="D131" s="507" t="s">
        <v>369</v>
      </c>
      <c r="F131" s="244">
        <f>'A6 Adds'!Q47</f>
        <v>1449.7083333333335</v>
      </c>
      <c r="G131" s="487"/>
    </row>
    <row r="132" spans="1:20">
      <c r="A132" s="435">
        <f t="shared" si="1"/>
        <v>47</v>
      </c>
      <c r="B132" s="471"/>
      <c r="C132" s="435"/>
      <c r="D132" s="507" t="s">
        <v>871</v>
      </c>
      <c r="F132" s="244">
        <f>'A6 Adds'!Q53</f>
        <v>11663.731116666668</v>
      </c>
      <c r="G132" s="487"/>
    </row>
    <row r="133" spans="1:20">
      <c r="A133" s="435">
        <f t="shared" si="1"/>
        <v>48</v>
      </c>
      <c r="B133" s="471"/>
      <c r="C133" s="435"/>
      <c r="D133" s="507" t="s">
        <v>209</v>
      </c>
      <c r="E133" s="244"/>
      <c r="F133" s="244">
        <f>'A6 Adds'!Q57</f>
        <v>9172.3125</v>
      </c>
      <c r="G133" s="487"/>
      <c r="I133" s="287"/>
    </row>
    <row r="134" spans="1:20">
      <c r="A134" s="435">
        <f t="shared" si="1"/>
        <v>49</v>
      </c>
      <c r="B134" s="471"/>
      <c r="C134" s="435"/>
      <c r="D134" s="507" t="s">
        <v>373</v>
      </c>
      <c r="E134" s="248"/>
      <c r="F134" s="502">
        <f>'A6 Adds'!Q61</f>
        <v>43.750000000000007</v>
      </c>
      <c r="G134" s="487"/>
    </row>
    <row r="135" spans="1:20">
      <c r="A135" s="435">
        <f t="shared" si="1"/>
        <v>50</v>
      </c>
      <c r="B135" s="471"/>
      <c r="C135" s="435"/>
      <c r="D135" s="507" t="s">
        <v>374</v>
      </c>
      <c r="E135" s="248"/>
      <c r="F135" s="502">
        <f>'A6 Adds'!Q65</f>
        <v>15252.351851851852</v>
      </c>
      <c r="G135" s="487"/>
      <c r="H135" s="848"/>
    </row>
    <row r="136" spans="1:20" ht="12" customHeight="1">
      <c r="A136" s="435">
        <f t="shared" si="1"/>
        <v>51</v>
      </c>
      <c r="B136" s="471"/>
      <c r="C136" s="435"/>
      <c r="D136" s="507" t="s">
        <v>104</v>
      </c>
      <c r="E136" s="248"/>
      <c r="F136" s="248">
        <f>'A6 Adds'!Q72</f>
        <v>2760.6208750000005</v>
      </c>
      <c r="G136" s="487"/>
      <c r="H136" s="848"/>
    </row>
    <row r="137" spans="1:20">
      <c r="A137" s="435">
        <f t="shared" si="1"/>
        <v>52</v>
      </c>
      <c r="B137" s="471"/>
      <c r="C137" s="435"/>
      <c r="D137" s="507" t="s">
        <v>210</v>
      </c>
      <c r="E137" s="248"/>
      <c r="F137" s="244">
        <f>'A6 Adds'!Q76</f>
        <v>36.558333333333337</v>
      </c>
      <c r="G137" s="487"/>
      <c r="H137" s="848"/>
    </row>
    <row r="138" spans="1:20">
      <c r="A138" s="435">
        <f t="shared" si="1"/>
        <v>53</v>
      </c>
      <c r="B138" s="471"/>
      <c r="C138" s="435"/>
      <c r="D138" s="507" t="s">
        <v>105</v>
      </c>
      <c r="E138" s="248"/>
      <c r="F138" s="244">
        <f>'A6 Adds'!Q80</f>
        <v>17748.912037037036</v>
      </c>
      <c r="G138" s="487"/>
      <c r="H138" s="848"/>
    </row>
    <row r="139" spans="1:20">
      <c r="A139" s="435">
        <f t="shared" si="1"/>
        <v>54</v>
      </c>
      <c r="B139" s="471"/>
      <c r="C139" s="435"/>
      <c r="D139" s="507" t="s">
        <v>106</v>
      </c>
      <c r="E139" s="248"/>
      <c r="F139" s="244">
        <f>'A6 Adds'!Q84</f>
        <v>624.34761904761899</v>
      </c>
      <c r="G139" s="487"/>
      <c r="H139" s="848"/>
      <c r="P139" s="409"/>
      <c r="Q139" s="409"/>
      <c r="S139" s="409"/>
      <c r="T139" s="409"/>
    </row>
    <row r="140" spans="1:20">
      <c r="A140" s="435">
        <f t="shared" si="1"/>
        <v>55</v>
      </c>
      <c r="B140" s="471"/>
      <c r="C140" s="435"/>
      <c r="D140" s="507" t="s">
        <v>107</v>
      </c>
      <c r="E140" s="248"/>
      <c r="F140" s="244">
        <f>'A6 Adds'!Q88</f>
        <v>16.261111111111113</v>
      </c>
      <c r="G140" s="487"/>
      <c r="H140" s="848"/>
      <c r="P140" s="409"/>
      <c r="Q140" s="409"/>
      <c r="S140" s="409"/>
      <c r="T140" s="409"/>
    </row>
    <row r="141" spans="1:20">
      <c r="A141" s="435">
        <f t="shared" si="1"/>
        <v>56</v>
      </c>
      <c r="B141" s="471"/>
      <c r="C141" s="435"/>
      <c r="D141" s="507" t="s">
        <v>108</v>
      </c>
      <c r="E141" s="248"/>
      <c r="F141" s="244">
        <f>'A6 Adds'!Q92</f>
        <v>-222.7</v>
      </c>
      <c r="G141" s="487"/>
      <c r="H141" s="848"/>
      <c r="P141" s="409"/>
      <c r="Q141" s="409"/>
      <c r="S141" s="409"/>
      <c r="T141" s="409"/>
    </row>
    <row r="142" spans="1:20">
      <c r="A142" s="435">
        <f t="shared" si="1"/>
        <v>57</v>
      </c>
      <c r="B142" s="471"/>
      <c r="C142" s="435"/>
      <c r="D142" s="507" t="s">
        <v>16</v>
      </c>
      <c r="E142" s="248"/>
      <c r="F142" s="244">
        <f>'A6 Adds'!Q100</f>
        <v>210.25925925925932</v>
      </c>
      <c r="G142" s="487"/>
      <c r="H142" s="848"/>
      <c r="P142" s="409"/>
      <c r="Q142" s="409"/>
      <c r="S142" s="409"/>
      <c r="T142" s="409"/>
    </row>
    <row r="143" spans="1:20">
      <c r="A143" s="435">
        <f t="shared" si="1"/>
        <v>58</v>
      </c>
      <c r="B143" s="471"/>
      <c r="C143" s="435"/>
      <c r="D143" s="507" t="s">
        <v>507</v>
      </c>
      <c r="E143" s="248"/>
      <c r="F143" s="244">
        <f>'A6 Adds'!Q104</f>
        <v>-76.427927927927925</v>
      </c>
      <c r="G143" s="487"/>
      <c r="H143" s="848"/>
      <c r="P143" s="409"/>
      <c r="Q143" s="409"/>
      <c r="S143" s="409"/>
      <c r="T143" s="409"/>
    </row>
    <row r="144" spans="1:20">
      <c r="A144" s="435">
        <f t="shared" si="1"/>
        <v>59</v>
      </c>
      <c r="B144" s="471"/>
      <c r="C144" s="435"/>
      <c r="D144" s="507" t="s">
        <v>17</v>
      </c>
      <c r="E144" s="248"/>
      <c r="F144" s="244">
        <f>'A6 Adds'!Q108</f>
        <v>2.0972222222222214</v>
      </c>
      <c r="G144" s="487"/>
      <c r="H144" s="848"/>
      <c r="P144" s="409"/>
      <c r="Q144" s="409"/>
      <c r="S144" s="409"/>
      <c r="T144" s="409"/>
    </row>
    <row r="145" spans="1:21">
      <c r="A145" s="435">
        <f t="shared" si="1"/>
        <v>60</v>
      </c>
      <c r="B145" s="471"/>
      <c r="C145" s="435"/>
      <c r="D145" s="507" t="s">
        <v>1033</v>
      </c>
      <c r="E145" s="248"/>
      <c r="F145" s="244"/>
      <c r="G145" s="487"/>
      <c r="H145" s="848"/>
      <c r="P145" s="409"/>
      <c r="Q145" s="409"/>
      <c r="S145" s="409"/>
      <c r="T145" s="409"/>
    </row>
    <row r="146" spans="1:21">
      <c r="A146" s="435"/>
      <c r="B146" s="471"/>
      <c r="C146" s="435"/>
      <c r="D146" s="507"/>
      <c r="E146" s="248"/>
      <c r="F146" s="244"/>
      <c r="G146" s="487"/>
      <c r="P146" s="409"/>
      <c r="Q146" s="409"/>
      <c r="S146" s="409"/>
      <c r="T146" s="409"/>
    </row>
    <row r="147" spans="1:21">
      <c r="A147" s="246" t="s">
        <v>249</v>
      </c>
      <c r="B147" s="246"/>
      <c r="C147" s="246"/>
      <c r="D147" s="446"/>
      <c r="F147" s="289" t="s">
        <v>84</v>
      </c>
    </row>
    <row r="148" spans="1:21">
      <c r="A148" s="246"/>
      <c r="B148" s="246"/>
      <c r="C148" s="246"/>
      <c r="D148" s="446"/>
      <c r="F148" s="289"/>
    </row>
    <row r="149" spans="1:21">
      <c r="A149" s="246" t="s">
        <v>565</v>
      </c>
      <c r="B149" s="246"/>
      <c r="C149" s="246"/>
      <c r="D149" s="446"/>
      <c r="F149" s="260" t="s">
        <v>250</v>
      </c>
    </row>
    <row r="150" spans="1:21">
      <c r="A150" s="246" t="s">
        <v>705</v>
      </c>
      <c r="B150" s="246"/>
      <c r="C150" s="246"/>
      <c r="D150" s="446"/>
      <c r="F150" s="260" t="s">
        <v>856</v>
      </c>
    </row>
    <row r="151" spans="1:21">
      <c r="A151" s="246" t="s">
        <v>566</v>
      </c>
      <c r="B151" s="246"/>
      <c r="C151" s="246"/>
      <c r="D151" s="446"/>
      <c r="F151" s="260"/>
    </row>
    <row r="152" spans="1:21">
      <c r="A152" s="246" t="s">
        <v>86</v>
      </c>
      <c r="B152" s="272"/>
      <c r="C152" s="272"/>
      <c r="D152" s="446"/>
      <c r="F152" s="260" t="s">
        <v>558</v>
      </c>
    </row>
    <row r="153" spans="1:21">
      <c r="A153" s="272" t="s">
        <v>248</v>
      </c>
      <c r="B153" s="246"/>
      <c r="C153" s="246"/>
      <c r="D153" s="446"/>
      <c r="E153" s="246"/>
      <c r="F153" s="279"/>
    </row>
    <row r="154" spans="1:21">
      <c r="A154" s="272"/>
      <c r="B154" s="246"/>
      <c r="C154" s="246"/>
      <c r="D154" s="446"/>
      <c r="E154" s="246"/>
      <c r="F154" s="279"/>
    </row>
    <row r="155" spans="1:21" ht="11.25" customHeight="1">
      <c r="A155" s="993" t="s">
        <v>297</v>
      </c>
      <c r="B155" s="993"/>
      <c r="C155" s="993"/>
      <c r="D155" s="993"/>
      <c r="E155" s="993"/>
      <c r="F155" s="993"/>
    </row>
    <row r="156" spans="1:21" ht="12.75" thickBot="1">
      <c r="A156" s="273"/>
      <c r="B156" s="273"/>
      <c r="C156" s="273"/>
      <c r="D156" s="455"/>
      <c r="E156" s="273"/>
      <c r="F156" s="433"/>
    </row>
    <row r="157" spans="1:21">
      <c r="A157" s="274" t="s">
        <v>289</v>
      </c>
      <c r="B157" s="274"/>
      <c r="C157" s="274"/>
      <c r="D157" s="446"/>
      <c r="E157" s="246"/>
      <c r="F157" s="456"/>
      <c r="I157" s="848"/>
      <c r="J157" s="848"/>
      <c r="K157" s="848"/>
      <c r="L157" s="848"/>
      <c r="M157" s="848"/>
      <c r="N157" s="848"/>
      <c r="O157" s="848"/>
      <c r="P157" s="848"/>
      <c r="Q157" s="848"/>
      <c r="R157" s="848"/>
      <c r="S157" s="848"/>
      <c r="T157" s="848"/>
      <c r="U157" s="848"/>
    </row>
    <row r="158" spans="1:21">
      <c r="A158" s="457" t="s">
        <v>351</v>
      </c>
      <c r="B158" s="457"/>
      <c r="C158" s="457"/>
      <c r="D158" s="458" t="s">
        <v>352</v>
      </c>
      <c r="E158" s="457" t="s">
        <v>251</v>
      </c>
      <c r="F158" s="459" t="s">
        <v>252</v>
      </c>
      <c r="H158" s="848"/>
      <c r="I158" s="848"/>
      <c r="J158" s="848"/>
      <c r="K158" s="848"/>
      <c r="L158" s="848"/>
      <c r="M158" s="848"/>
      <c r="N158" s="848"/>
      <c r="O158" s="848"/>
      <c r="P158" s="848"/>
      <c r="Q158" s="848"/>
      <c r="R158" s="848"/>
      <c r="S158" s="848"/>
      <c r="T158" s="848"/>
      <c r="U158" s="848"/>
    </row>
    <row r="159" spans="1:21" ht="14.25">
      <c r="A159" s="435">
        <f>A156+1</f>
        <v>1</v>
      </c>
      <c r="B159" s="471"/>
      <c r="C159" s="353"/>
      <c r="D159" s="288" t="s">
        <v>1034</v>
      </c>
      <c r="E159" s="506"/>
      <c r="F159" s="505"/>
      <c r="G159" s="487"/>
      <c r="H159" s="848"/>
      <c r="I159" s="848"/>
      <c r="J159" s="848"/>
      <c r="K159" s="848"/>
      <c r="L159" s="848"/>
      <c r="M159" s="848"/>
      <c r="N159" s="848"/>
      <c r="O159" s="848"/>
      <c r="P159" s="848"/>
      <c r="Q159" s="848"/>
      <c r="R159" s="848"/>
      <c r="S159" s="848"/>
      <c r="T159" s="848"/>
      <c r="U159" s="848"/>
    </row>
    <row r="160" spans="1:21">
      <c r="A160" s="435">
        <f t="shared" ref="A160:A215" si="6">A159+1</f>
        <v>2</v>
      </c>
      <c r="B160" s="471"/>
      <c r="C160" s="435"/>
      <c r="D160" s="507" t="s">
        <v>23</v>
      </c>
      <c r="E160" s="248"/>
      <c r="F160" s="244">
        <f>'A6 Adds'!Q117</f>
        <v>33.034541666666669</v>
      </c>
      <c r="G160" s="487"/>
      <c r="H160" s="848"/>
      <c r="I160" s="848"/>
      <c r="J160" s="848"/>
      <c r="K160" s="848"/>
      <c r="L160" s="848"/>
      <c r="M160" s="848"/>
      <c r="N160" s="848"/>
      <c r="O160" s="848"/>
      <c r="P160" s="848"/>
      <c r="Q160" s="848"/>
      <c r="R160" s="848"/>
      <c r="S160" s="848"/>
      <c r="T160" s="848"/>
      <c r="U160" s="848"/>
    </row>
    <row r="161" spans="1:21">
      <c r="A161" s="435">
        <f t="shared" si="6"/>
        <v>3</v>
      </c>
      <c r="B161" s="471"/>
      <c r="C161" s="435"/>
      <c r="D161" s="507" t="s">
        <v>25</v>
      </c>
      <c r="E161" s="248"/>
      <c r="F161" s="244">
        <f>'A6 Adds'!Q122</f>
        <v>5892.3520833333332</v>
      </c>
      <c r="G161" s="487"/>
      <c r="H161" s="848"/>
      <c r="I161" s="848"/>
      <c r="J161" s="848"/>
      <c r="K161" s="848"/>
      <c r="L161" s="848"/>
      <c r="M161" s="848"/>
      <c r="N161" s="848"/>
      <c r="O161" s="848"/>
      <c r="P161" s="848"/>
      <c r="Q161" s="848"/>
      <c r="R161" s="848"/>
      <c r="S161" s="848"/>
      <c r="T161" s="848"/>
      <c r="U161" s="848"/>
    </row>
    <row r="162" spans="1:21">
      <c r="A162" s="435">
        <f t="shared" si="6"/>
        <v>4</v>
      </c>
      <c r="B162" s="471"/>
      <c r="C162" s="435"/>
      <c r="D162" s="507" t="s">
        <v>26</v>
      </c>
      <c r="E162" s="248"/>
      <c r="F162" s="244">
        <f>'A6 Adds'!Q126</f>
        <v>150.17916666666665</v>
      </c>
      <c r="G162" s="487"/>
      <c r="H162" s="848"/>
      <c r="I162" s="848"/>
      <c r="J162" s="848"/>
      <c r="K162" s="848"/>
      <c r="L162" s="848"/>
      <c r="M162" s="848"/>
      <c r="N162" s="848"/>
      <c r="O162" s="848"/>
      <c r="P162" s="848"/>
      <c r="Q162" s="848"/>
      <c r="R162" s="848"/>
      <c r="S162" s="848"/>
      <c r="T162" s="848"/>
      <c r="U162" s="848"/>
    </row>
    <row r="163" spans="1:21">
      <c r="A163" s="435">
        <f t="shared" si="6"/>
        <v>5</v>
      </c>
      <c r="B163" s="471"/>
      <c r="C163" s="435"/>
      <c r="D163" s="507" t="s">
        <v>27</v>
      </c>
      <c r="E163" s="248"/>
      <c r="F163" s="244">
        <f>'A6 Adds'!Q130</f>
        <v>455.76388888888886</v>
      </c>
      <c r="G163" s="487"/>
      <c r="H163" s="848"/>
      <c r="I163" s="848"/>
      <c r="J163" s="848"/>
      <c r="K163" s="848"/>
      <c r="L163" s="848"/>
      <c r="M163" s="848"/>
      <c r="N163" s="848"/>
      <c r="O163" s="848"/>
      <c r="P163" s="848"/>
      <c r="Q163" s="848"/>
      <c r="R163" s="848"/>
      <c r="S163" s="848"/>
      <c r="T163" s="848"/>
      <c r="U163" s="848"/>
    </row>
    <row r="164" spans="1:21">
      <c r="A164" s="435">
        <f t="shared" si="6"/>
        <v>6</v>
      </c>
      <c r="B164" s="471"/>
      <c r="C164" s="435"/>
      <c r="D164" s="507" t="s">
        <v>28</v>
      </c>
      <c r="E164" s="248"/>
      <c r="F164" s="244">
        <f>'A6 Adds'!Q134</f>
        <v>1283.7519379844962</v>
      </c>
      <c r="G164" s="487"/>
      <c r="H164" s="848"/>
      <c r="I164" s="848"/>
      <c r="J164" s="848"/>
      <c r="K164" s="848"/>
      <c r="L164" s="848"/>
      <c r="M164" s="848"/>
      <c r="N164" s="848"/>
      <c r="O164" s="848"/>
      <c r="P164" s="848"/>
      <c r="Q164" s="848"/>
      <c r="R164" s="848"/>
      <c r="S164" s="848"/>
      <c r="T164" s="848"/>
      <c r="U164" s="848"/>
    </row>
    <row r="165" spans="1:21">
      <c r="A165" s="435">
        <f t="shared" si="6"/>
        <v>7</v>
      </c>
      <c r="B165" s="471"/>
      <c r="C165" s="435"/>
      <c r="D165" s="507" t="s">
        <v>141</v>
      </c>
      <c r="E165" s="248"/>
      <c r="F165" s="244">
        <f>'A6 Adds'!Q141</f>
        <v>1668.8638333333333</v>
      </c>
      <c r="G165" s="487"/>
      <c r="P165" s="409"/>
      <c r="Q165" s="409"/>
      <c r="S165" s="409"/>
      <c r="T165" s="409"/>
    </row>
    <row r="166" spans="1:21">
      <c r="A166" s="435">
        <f t="shared" si="6"/>
        <v>8</v>
      </c>
      <c r="B166" s="471"/>
      <c r="C166" s="435"/>
      <c r="D166" s="507" t="s">
        <v>142</v>
      </c>
      <c r="E166" s="248"/>
      <c r="F166" s="244">
        <f>'A6 Adds'!Q145+'A6 Adds'!Q178</f>
        <v>20415.766241111116</v>
      </c>
      <c r="G166" s="487"/>
      <c r="P166" s="409"/>
      <c r="Q166" s="409"/>
      <c r="S166" s="409"/>
      <c r="T166" s="409"/>
    </row>
    <row r="167" spans="1:21">
      <c r="A167" s="435">
        <f t="shared" si="6"/>
        <v>9</v>
      </c>
      <c r="B167" s="471"/>
      <c r="C167" s="435"/>
      <c r="D167" s="507" t="s">
        <v>143</v>
      </c>
      <c r="E167" s="248"/>
      <c r="F167" s="244">
        <f>'A6 Adds'!Q182</f>
        <v>5070.3591277777896</v>
      </c>
      <c r="G167" s="487"/>
      <c r="P167" s="409"/>
      <c r="Q167" s="409"/>
      <c r="S167" s="409"/>
      <c r="T167" s="409"/>
    </row>
    <row r="168" spans="1:21">
      <c r="A168" s="435">
        <f t="shared" si="6"/>
        <v>10</v>
      </c>
      <c r="B168" s="471"/>
      <c r="C168" s="435"/>
      <c r="D168" s="507" t="s">
        <v>145</v>
      </c>
      <c r="E168" s="248"/>
      <c r="F168" s="244">
        <f>'A6 Adds'!Q151</f>
        <v>-56.036458333333329</v>
      </c>
      <c r="G168" s="487"/>
      <c r="P168" s="409"/>
      <c r="Q168" s="409"/>
      <c r="S168" s="409"/>
      <c r="T168" s="409"/>
    </row>
    <row r="169" spans="1:21">
      <c r="A169" s="435">
        <f t="shared" si="6"/>
        <v>11</v>
      </c>
      <c r="B169" s="471"/>
      <c r="C169" s="435"/>
      <c r="D169" s="507" t="s">
        <v>146</v>
      </c>
      <c r="E169" s="248"/>
      <c r="F169" s="244">
        <f>'A6 Adds'!Q155</f>
        <v>331.36666666666667</v>
      </c>
      <c r="G169" s="487"/>
      <c r="P169" s="409"/>
      <c r="Q169" s="409"/>
      <c r="S169" s="409"/>
      <c r="T169" s="409"/>
    </row>
    <row r="170" spans="1:21">
      <c r="A170" s="435">
        <f t="shared" si="6"/>
        <v>12</v>
      </c>
      <c r="B170" s="471"/>
      <c r="C170" s="435"/>
      <c r="D170" s="507" t="s">
        <v>147</v>
      </c>
      <c r="E170" s="248"/>
      <c r="F170" s="244">
        <f>'A6 Adds'!Q159</f>
        <v>731.66666666666674</v>
      </c>
      <c r="G170" s="487"/>
      <c r="P170" s="409"/>
      <c r="Q170" s="409"/>
      <c r="S170" s="409"/>
      <c r="T170" s="409"/>
    </row>
    <row r="171" spans="1:21">
      <c r="A171" s="435">
        <f t="shared" si="6"/>
        <v>13</v>
      </c>
      <c r="B171" s="471"/>
      <c r="C171" s="435"/>
      <c r="D171" s="507" t="s">
        <v>148</v>
      </c>
      <c r="E171" s="248"/>
      <c r="F171" s="244">
        <f>'A6 Adds'!Q163</f>
        <v>4608.7416666666668</v>
      </c>
      <c r="G171" s="487"/>
      <c r="P171" s="409"/>
      <c r="Q171" s="409"/>
      <c r="S171" s="409"/>
      <c r="T171" s="409"/>
    </row>
    <row r="172" spans="1:21">
      <c r="A172" s="435">
        <f t="shared" si="6"/>
        <v>14</v>
      </c>
      <c r="B172" s="471"/>
      <c r="C172" s="435"/>
      <c r="D172" s="507" t="s">
        <v>149</v>
      </c>
      <c r="E172" s="248"/>
      <c r="F172" s="244">
        <f>'A6 Adds'!Q167</f>
        <v>-243.29444444444448</v>
      </c>
      <c r="G172" s="487"/>
      <c r="P172" s="409"/>
      <c r="Q172" s="409"/>
      <c r="S172" s="409"/>
      <c r="T172" s="409"/>
    </row>
    <row r="173" spans="1:21">
      <c r="A173" s="435">
        <f t="shared" si="6"/>
        <v>15</v>
      </c>
      <c r="B173" s="471"/>
      <c r="C173" s="435"/>
      <c r="D173" s="507" t="s">
        <v>197</v>
      </c>
      <c r="E173" s="248"/>
      <c r="F173" s="244">
        <f>'A6 Adds'!Q171</f>
        <v>364.85833333333335</v>
      </c>
      <c r="G173" s="487"/>
      <c r="P173" s="409"/>
      <c r="Q173" s="409"/>
      <c r="S173" s="409"/>
      <c r="T173" s="409"/>
    </row>
    <row r="174" spans="1:21">
      <c r="A174" s="435">
        <f t="shared" si="6"/>
        <v>16</v>
      </c>
      <c r="B174" s="471"/>
      <c r="C174" s="435"/>
      <c r="D174" s="844" t="s">
        <v>894</v>
      </c>
      <c r="E174" s="300">
        <f>SUM(E103:E160)</f>
        <v>137408.35521089664</v>
      </c>
      <c r="F174" s="300">
        <f>SUM(F160:F173)+SUM(F103:F144)</f>
        <v>124224.95396436735</v>
      </c>
      <c r="G174" s="487"/>
      <c r="P174" s="409"/>
      <c r="Q174" s="409"/>
      <c r="S174" s="409"/>
      <c r="T174" s="409"/>
    </row>
    <row r="175" spans="1:21">
      <c r="A175" s="435">
        <f t="shared" si="6"/>
        <v>17</v>
      </c>
      <c r="B175" s="471"/>
      <c r="C175" s="435"/>
      <c r="D175" s="242"/>
      <c r="E175" s="248"/>
      <c r="F175" s="244"/>
      <c r="G175" s="487"/>
      <c r="P175" s="409"/>
      <c r="Q175" s="409"/>
      <c r="S175" s="409"/>
      <c r="T175" s="409"/>
    </row>
    <row r="176" spans="1:21">
      <c r="A176" s="435">
        <f t="shared" si="6"/>
        <v>18</v>
      </c>
      <c r="B176" s="471"/>
      <c r="C176" s="435"/>
      <c r="D176" s="288" t="s">
        <v>1233</v>
      </c>
      <c r="E176" s="248"/>
      <c r="F176" s="248"/>
      <c r="G176" s="487"/>
      <c r="P176" s="409"/>
      <c r="Q176" s="409"/>
      <c r="S176" s="409"/>
      <c r="T176" s="409"/>
    </row>
    <row r="177" spans="1:9">
      <c r="A177" s="435">
        <f t="shared" si="6"/>
        <v>19</v>
      </c>
      <c r="D177" s="336" t="s">
        <v>378</v>
      </c>
      <c r="E177" s="244" t="e">
        <f>SUM('PF Adds'!#REF!)</f>
        <v>#REF!</v>
      </c>
      <c r="F177" s="244"/>
      <c r="H177" s="474"/>
    </row>
    <row r="178" spans="1:9">
      <c r="A178" s="435">
        <f t="shared" si="6"/>
        <v>20</v>
      </c>
      <c r="D178" s="336" t="s">
        <v>380</v>
      </c>
      <c r="E178" s="244" t="e">
        <f>SUM('PF Adds'!#REF!)</f>
        <v>#REF!</v>
      </c>
      <c r="F178" s="244"/>
    </row>
    <row r="179" spans="1:9">
      <c r="A179" s="435">
        <f t="shared" si="6"/>
        <v>21</v>
      </c>
      <c r="D179" s="336" t="s">
        <v>381</v>
      </c>
      <c r="E179" s="244" t="e">
        <f>SUM('PF Adds'!#REF!)</f>
        <v>#REF!</v>
      </c>
      <c r="F179" s="244"/>
      <c r="H179" s="474"/>
    </row>
    <row r="180" spans="1:9">
      <c r="A180" s="435">
        <f t="shared" si="6"/>
        <v>22</v>
      </c>
      <c r="D180" s="336" t="s">
        <v>387</v>
      </c>
      <c r="E180" s="244" t="e">
        <f>+'PF Adds'!#REF!+'PF Adds'!#REF!</f>
        <v>#REF!</v>
      </c>
      <c r="F180" s="244"/>
    </row>
    <row r="181" spans="1:9">
      <c r="A181" s="435">
        <f t="shared" si="6"/>
        <v>23</v>
      </c>
      <c r="D181" s="336" t="s">
        <v>392</v>
      </c>
      <c r="E181" s="244" t="e">
        <f>+'PF Adds'!#REF!+'PF Adds'!#REF!</f>
        <v>#REF!</v>
      </c>
      <c r="F181" s="244"/>
      <c r="H181" s="474"/>
    </row>
    <row r="182" spans="1:9">
      <c r="A182" s="435">
        <f t="shared" si="6"/>
        <v>24</v>
      </c>
      <c r="D182" s="336" t="s">
        <v>393</v>
      </c>
      <c r="E182" s="244" t="e">
        <f>SUM('PF Adds'!#REF!)</f>
        <v>#REF!</v>
      </c>
      <c r="F182" s="244"/>
      <c r="H182" s="474"/>
    </row>
    <row r="183" spans="1:9">
      <c r="A183" s="435">
        <f t="shared" si="6"/>
        <v>25</v>
      </c>
      <c r="D183" s="336" t="s">
        <v>68</v>
      </c>
      <c r="E183" s="244" t="e">
        <f>ROUND(('PF Adds'!#REF!+'PF Adds'!#REF!)*J3,0)</f>
        <v>#REF!</v>
      </c>
      <c r="F183" s="244" t="e">
        <f>ROUND(('PF Adds'!#REF!+'PF Adds'!#REF!)*K3,0)</f>
        <v>#REF!</v>
      </c>
      <c r="H183" s="474"/>
    </row>
    <row r="184" spans="1:9">
      <c r="A184" s="435">
        <f t="shared" si="6"/>
        <v>26</v>
      </c>
      <c r="D184" s="336" t="s">
        <v>104</v>
      </c>
      <c r="E184" s="244"/>
      <c r="F184" s="244" t="e">
        <f>+'PF Adds'!#REF!</f>
        <v>#REF!</v>
      </c>
      <c r="H184" s="474"/>
    </row>
    <row r="185" spans="1:9">
      <c r="A185" s="435">
        <f t="shared" si="6"/>
        <v>27</v>
      </c>
      <c r="D185" s="336" t="s">
        <v>209</v>
      </c>
      <c r="E185" s="244"/>
      <c r="F185" s="244" t="e">
        <f>+'PF Adds'!#REF!</f>
        <v>#REF!</v>
      </c>
    </row>
    <row r="186" spans="1:9">
      <c r="A186" s="435">
        <f t="shared" si="6"/>
        <v>28</v>
      </c>
      <c r="D186" s="336" t="s">
        <v>363</v>
      </c>
      <c r="E186" s="244"/>
      <c r="F186" s="244" t="e">
        <f>SUM('PF Adds'!#REF!)</f>
        <v>#REF!</v>
      </c>
    </row>
    <row r="187" spans="1:9">
      <c r="A187" s="435">
        <f t="shared" si="6"/>
        <v>29</v>
      </c>
      <c r="D187" s="336" t="s">
        <v>364</v>
      </c>
      <c r="E187" s="244"/>
      <c r="F187" s="244" t="e">
        <f>SUM('PF Adds'!#REF!)</f>
        <v>#REF!</v>
      </c>
      <c r="H187" s="474"/>
    </row>
    <row r="188" spans="1:9">
      <c r="A188" s="435">
        <f t="shared" si="6"/>
        <v>30</v>
      </c>
      <c r="B188" s="471"/>
      <c r="C188" s="838"/>
      <c r="D188" s="336" t="s">
        <v>890</v>
      </c>
      <c r="E188" s="244"/>
      <c r="F188" s="423" t="e">
        <f>SUM('PF Adds'!#REF!)</f>
        <v>#REF!</v>
      </c>
      <c r="G188" s="287"/>
      <c r="I188" s="725"/>
    </row>
    <row r="189" spans="1:9">
      <c r="A189" s="435">
        <f t="shared" si="6"/>
        <v>31</v>
      </c>
      <c r="B189" s="471"/>
      <c r="C189" s="838"/>
      <c r="D189" s="336" t="s">
        <v>373</v>
      </c>
      <c r="E189" s="244"/>
      <c r="F189" s="423" t="e">
        <f>SUM('PF Adds'!#REF!)</f>
        <v>#REF!</v>
      </c>
      <c r="G189" s="287"/>
      <c r="I189" s="725"/>
    </row>
    <row r="190" spans="1:9">
      <c r="A190" s="435">
        <f t="shared" si="6"/>
        <v>32</v>
      </c>
      <c r="B190" s="471"/>
      <c r="C190" s="838"/>
      <c r="D190" s="336" t="s">
        <v>374</v>
      </c>
      <c r="E190" s="244"/>
      <c r="F190" s="423" t="e">
        <f>+'PF Adds'!#REF!+'PF Adds'!#REF!</f>
        <v>#REF!</v>
      </c>
      <c r="G190" s="287"/>
      <c r="I190" s="848"/>
    </row>
    <row r="191" spans="1:9">
      <c r="A191" s="435">
        <f t="shared" si="6"/>
        <v>33</v>
      </c>
      <c r="B191" s="471"/>
      <c r="C191" s="838"/>
      <c r="D191" s="336" t="s">
        <v>105</v>
      </c>
      <c r="E191" s="244"/>
      <c r="F191" s="423" t="e">
        <f>SUM('PF Adds'!#REF!)</f>
        <v>#REF!</v>
      </c>
      <c r="G191" s="287"/>
      <c r="H191" s="848"/>
      <c r="I191" s="848"/>
    </row>
    <row r="192" spans="1:9">
      <c r="A192" s="435">
        <f t="shared" si="6"/>
        <v>34</v>
      </c>
      <c r="B192" s="471"/>
      <c r="C192" s="838"/>
      <c r="D192" s="336" t="s">
        <v>106</v>
      </c>
      <c r="E192" s="244"/>
      <c r="F192" s="423" t="e">
        <f>+'PF Adds'!#REF!</f>
        <v>#REF!</v>
      </c>
      <c r="G192" s="287"/>
      <c r="H192" s="848"/>
      <c r="I192" s="848"/>
    </row>
    <row r="193" spans="1:20">
      <c r="A193" s="435">
        <f t="shared" si="6"/>
        <v>35</v>
      </c>
      <c r="B193" s="471"/>
      <c r="C193" s="471"/>
      <c r="D193" s="336" t="s">
        <v>891</v>
      </c>
      <c r="E193" s="244"/>
      <c r="F193" s="423" t="e">
        <f>SUM('PF Adds'!#REF!)</f>
        <v>#REF!</v>
      </c>
      <c r="G193" s="287"/>
      <c r="H193" s="848"/>
      <c r="I193" s="848"/>
    </row>
    <row r="194" spans="1:20">
      <c r="A194" s="435">
        <f t="shared" si="6"/>
        <v>36</v>
      </c>
      <c r="B194" s="471"/>
      <c r="C194" s="471"/>
      <c r="D194" s="844" t="s">
        <v>895</v>
      </c>
      <c r="E194" s="673" t="e">
        <f>SUM(E177:E193)</f>
        <v>#REF!</v>
      </c>
      <c r="F194" s="673" t="e">
        <f>SUM(F177:F193)</f>
        <v>#REF!</v>
      </c>
      <c r="G194" s="287"/>
      <c r="H194" s="848"/>
      <c r="I194" s="848"/>
    </row>
    <row r="195" spans="1:20">
      <c r="A195" s="435">
        <f t="shared" si="6"/>
        <v>37</v>
      </c>
      <c r="B195" s="471"/>
      <c r="C195" s="838"/>
      <c r="D195" s="475"/>
      <c r="E195" s="244"/>
      <c r="F195" s="244"/>
      <c r="G195" s="287"/>
      <c r="H195" s="848"/>
      <c r="I195" s="848"/>
      <c r="O195" s="250"/>
      <c r="P195" s="250"/>
      <c r="Q195" s="250"/>
      <c r="R195" s="250"/>
      <c r="S195" s="250"/>
      <c r="T195" s="250"/>
    </row>
    <row r="196" spans="1:20">
      <c r="A196" s="435">
        <f t="shared" si="6"/>
        <v>38</v>
      </c>
      <c r="B196" s="471"/>
      <c r="C196" s="471"/>
      <c r="D196" s="357" t="s">
        <v>1234</v>
      </c>
      <c r="E196" s="244"/>
      <c r="F196" s="244"/>
      <c r="G196" s="287"/>
      <c r="O196" s="250"/>
      <c r="P196" s="250"/>
      <c r="Q196" s="250"/>
      <c r="R196" s="250"/>
      <c r="S196" s="250"/>
      <c r="T196" s="250"/>
    </row>
    <row r="197" spans="1:20">
      <c r="A197" s="435">
        <f t="shared" si="6"/>
        <v>39</v>
      </c>
      <c r="D197" s="336" t="s">
        <v>378</v>
      </c>
      <c r="E197" s="244">
        <f>E47</f>
        <v>-106376.88888888889</v>
      </c>
      <c r="F197" s="244"/>
      <c r="H197" s="474"/>
    </row>
    <row r="198" spans="1:20">
      <c r="A198" s="435">
        <f t="shared" si="6"/>
        <v>40</v>
      </c>
      <c r="D198" s="336" t="s">
        <v>381</v>
      </c>
      <c r="E198" s="244">
        <f>E48</f>
        <v>-18626.519687964337</v>
      </c>
      <c r="F198" s="244"/>
      <c r="H198" s="474"/>
    </row>
    <row r="199" spans="1:20">
      <c r="A199" s="435">
        <f t="shared" si="6"/>
        <v>41</v>
      </c>
      <c r="D199" s="336" t="s">
        <v>387</v>
      </c>
      <c r="E199" s="244">
        <f>E49</f>
        <v>-27307.180851063829</v>
      </c>
      <c r="F199" s="244"/>
    </row>
    <row r="200" spans="1:20">
      <c r="A200" s="435">
        <f t="shared" si="6"/>
        <v>42</v>
      </c>
      <c r="D200" s="336" t="s">
        <v>392</v>
      </c>
      <c r="E200" s="244">
        <f>E50</f>
        <v>-21359.238845144358</v>
      </c>
      <c r="F200" s="244"/>
      <c r="H200" s="474"/>
    </row>
    <row r="201" spans="1:20">
      <c r="A201" s="435">
        <f t="shared" si="6"/>
        <v>43</v>
      </c>
      <c r="D201" s="336" t="s">
        <v>393</v>
      </c>
      <c r="E201" s="244">
        <f>E51</f>
        <v>-501685.20004646963</v>
      </c>
      <c r="F201" s="244"/>
      <c r="H201" s="474"/>
      <c r="J201" s="362"/>
      <c r="L201" s="283"/>
      <c r="N201" s="362"/>
      <c r="O201" s="283"/>
    </row>
    <row r="202" spans="1:20">
      <c r="A202" s="435">
        <f t="shared" si="6"/>
        <v>44</v>
      </c>
      <c r="D202" s="514" t="s">
        <v>1232</v>
      </c>
      <c r="E202" s="244" t="e">
        <f>E52+(14000*J3)</f>
        <v>#REF!</v>
      </c>
      <c r="F202" s="244" t="e">
        <f>F52+(14000*K3)</f>
        <v>#REF!</v>
      </c>
      <c r="H202" s="474"/>
    </row>
    <row r="203" spans="1:20">
      <c r="A203" s="435">
        <f>A201+1</f>
        <v>44</v>
      </c>
      <c r="D203" s="336" t="s">
        <v>104</v>
      </c>
      <c r="E203" s="244"/>
      <c r="F203" s="244">
        <f t="shared" ref="F203:F210" si="7">F53</f>
        <v>-247400.60517529215</v>
      </c>
      <c r="H203" s="474"/>
      <c r="L203" s="283"/>
      <c r="O203" s="283"/>
    </row>
    <row r="204" spans="1:20">
      <c r="A204" s="435">
        <f t="shared" si="6"/>
        <v>45</v>
      </c>
      <c r="D204" s="336" t="s">
        <v>363</v>
      </c>
      <c r="E204" s="244"/>
      <c r="F204" s="244">
        <f t="shared" si="7"/>
        <v>-905442.79806717648</v>
      </c>
      <c r="J204" s="362"/>
      <c r="L204" s="283"/>
      <c r="O204" s="283"/>
    </row>
    <row r="205" spans="1:20">
      <c r="A205" s="435">
        <f t="shared" si="6"/>
        <v>46</v>
      </c>
      <c r="D205" s="336" t="s">
        <v>364</v>
      </c>
      <c r="E205" s="244"/>
      <c r="F205" s="244">
        <f t="shared" si="7"/>
        <v>-122918.19047644468</v>
      </c>
      <c r="H205" s="474"/>
      <c r="L205" s="432"/>
      <c r="O205" s="432"/>
    </row>
    <row r="206" spans="1:20">
      <c r="A206" s="435">
        <f t="shared" si="6"/>
        <v>47</v>
      </c>
      <c r="B206" s="471"/>
      <c r="C206" s="838"/>
      <c r="D206" s="336" t="s">
        <v>890</v>
      </c>
      <c r="E206" s="244"/>
      <c r="F206" s="244">
        <f t="shared" si="7"/>
        <v>-94777.713631156934</v>
      </c>
      <c r="G206" s="287"/>
      <c r="I206" s="725"/>
    </row>
    <row r="207" spans="1:20">
      <c r="A207" s="435">
        <f t="shared" si="6"/>
        <v>48</v>
      </c>
      <c r="B207" s="471"/>
      <c r="C207" s="838"/>
      <c r="D207" s="336" t="s">
        <v>373</v>
      </c>
      <c r="E207" s="244"/>
      <c r="F207" s="244">
        <f t="shared" si="7"/>
        <v>-682551.10517529212</v>
      </c>
      <c r="G207" s="287"/>
      <c r="I207" s="725"/>
    </row>
    <row r="208" spans="1:20">
      <c r="A208" s="435">
        <f t="shared" si="6"/>
        <v>49</v>
      </c>
      <c r="B208" s="471"/>
      <c r="C208" s="838"/>
      <c r="D208" s="336" t="s">
        <v>374</v>
      </c>
      <c r="E208" s="244"/>
      <c r="F208" s="244">
        <f t="shared" si="7"/>
        <v>-273146.35958395246</v>
      </c>
      <c r="G208" s="287"/>
      <c r="I208" s="725"/>
    </row>
    <row r="209" spans="1:11">
      <c r="A209" s="435">
        <f t="shared" si="6"/>
        <v>50</v>
      </c>
      <c r="B209" s="471"/>
      <c r="C209" s="838"/>
      <c r="D209" s="336" t="s">
        <v>105</v>
      </c>
      <c r="E209" s="244"/>
      <c r="F209" s="244">
        <f t="shared" si="7"/>
        <v>-5421765.3933067555</v>
      </c>
      <c r="G209" s="287"/>
      <c r="I209" s="725"/>
    </row>
    <row r="210" spans="1:11">
      <c r="A210" s="435">
        <f t="shared" si="6"/>
        <v>51</v>
      </c>
      <c r="B210" s="471"/>
      <c r="C210" s="838"/>
      <c r="D210" s="336" t="s">
        <v>106</v>
      </c>
      <c r="E210" s="244"/>
      <c r="F210" s="244">
        <f t="shared" si="7"/>
        <v>-460358.0185566108</v>
      </c>
      <c r="G210" s="287"/>
      <c r="I210" s="725"/>
      <c r="J210" s="853"/>
      <c r="K210" s="853"/>
    </row>
    <row r="211" spans="1:11">
      <c r="A211" s="435">
        <f t="shared" si="6"/>
        <v>52</v>
      </c>
      <c r="B211" s="477"/>
      <c r="C211" s="446"/>
      <c r="D211" s="550" t="s">
        <v>896</v>
      </c>
      <c r="E211" s="673" t="e">
        <f>SUM(E197:E210)</f>
        <v>#REF!</v>
      </c>
      <c r="F211" s="673" t="e">
        <f>SUM(F197:F210)</f>
        <v>#REF!</v>
      </c>
      <c r="G211" s="287"/>
      <c r="I211" s="853"/>
      <c r="J211" s="853"/>
      <c r="K211" s="853"/>
    </row>
    <row r="212" spans="1:11">
      <c r="A212" s="435">
        <f t="shared" si="6"/>
        <v>53</v>
      </c>
      <c r="B212" s="471"/>
      <c r="C212" s="471"/>
      <c r="G212" s="287"/>
      <c r="I212" s="853"/>
      <c r="J212" s="853"/>
      <c r="K212" s="853"/>
    </row>
    <row r="213" spans="1:11">
      <c r="A213" s="435">
        <f t="shared" si="6"/>
        <v>54</v>
      </c>
      <c r="B213" s="477"/>
      <c r="C213" s="460"/>
      <c r="D213" s="842" t="s">
        <v>897</v>
      </c>
      <c r="E213" s="840" t="e">
        <f>+E174+E194+E211</f>
        <v>#REF!</v>
      </c>
      <c r="F213" s="840" t="e">
        <f>+F174+F194+F211</f>
        <v>#REF!</v>
      </c>
      <c r="G213" s="287"/>
      <c r="I213" s="853"/>
      <c r="J213" s="853"/>
      <c r="K213" s="853"/>
    </row>
    <row r="214" spans="1:11">
      <c r="A214" s="435">
        <f t="shared" si="6"/>
        <v>55</v>
      </c>
      <c r="B214" s="471"/>
      <c r="C214" s="471"/>
      <c r="D214" s="483"/>
      <c r="E214" s="468"/>
      <c r="F214" s="468"/>
      <c r="G214" s="487"/>
    </row>
    <row r="215" spans="1:11" ht="12.75" thickBot="1">
      <c r="A215" s="435">
        <f t="shared" si="6"/>
        <v>56</v>
      </c>
      <c r="C215" s="471"/>
      <c r="D215" s="515" t="s">
        <v>67</v>
      </c>
      <c r="E215" s="481" t="e">
        <f>E99+E213</f>
        <v>#REF!</v>
      </c>
      <c r="F215" s="481" t="e">
        <f>F99+F213</f>
        <v>#REF!</v>
      </c>
      <c r="G215" s="487"/>
    </row>
    <row r="216" spans="1:11" ht="12.75" thickTop="1">
      <c r="A216" s="435"/>
      <c r="C216" s="471"/>
      <c r="D216" s="515"/>
      <c r="E216" s="304"/>
      <c r="F216" s="304"/>
      <c r="G216" s="487"/>
    </row>
    <row r="217" spans="1:11">
      <c r="A217" s="246" t="s">
        <v>249</v>
      </c>
      <c r="B217" s="246"/>
      <c r="C217" s="246"/>
      <c r="D217" s="446"/>
      <c r="F217" s="289" t="s">
        <v>84</v>
      </c>
      <c r="G217" s="848"/>
      <c r="H217" s="848"/>
      <c r="I217" s="848"/>
      <c r="J217" s="848"/>
      <c r="K217" s="848"/>
    </row>
    <row r="218" spans="1:11">
      <c r="A218" s="246"/>
      <c r="B218" s="246"/>
      <c r="C218" s="246"/>
      <c r="D218" s="446"/>
      <c r="F218" s="289"/>
      <c r="G218" s="848"/>
      <c r="H218" s="848"/>
      <c r="I218" s="848"/>
      <c r="J218" s="848"/>
      <c r="K218" s="848"/>
    </row>
    <row r="219" spans="1:11">
      <c r="A219" s="246" t="s">
        <v>565</v>
      </c>
      <c r="B219" s="246"/>
      <c r="C219" s="246"/>
      <c r="D219" s="446"/>
      <c r="F219" s="260" t="s">
        <v>250</v>
      </c>
      <c r="G219" s="848"/>
      <c r="H219" s="848"/>
      <c r="I219" s="848"/>
      <c r="J219" s="848"/>
      <c r="K219" s="848"/>
    </row>
    <row r="220" spans="1:11">
      <c r="A220" s="246" t="s">
        <v>705</v>
      </c>
      <c r="B220" s="246"/>
      <c r="C220" s="246"/>
      <c r="D220" s="446"/>
      <c r="F220" s="260" t="s">
        <v>857</v>
      </c>
      <c r="G220" s="848"/>
      <c r="H220" s="848"/>
      <c r="I220" s="848"/>
      <c r="J220" s="848"/>
      <c r="K220" s="848"/>
    </row>
    <row r="221" spans="1:11">
      <c r="A221" s="246" t="s">
        <v>566</v>
      </c>
      <c r="B221" s="246"/>
      <c r="C221" s="246"/>
      <c r="D221" s="446"/>
      <c r="F221" s="260"/>
      <c r="G221" s="848"/>
      <c r="H221" s="848"/>
      <c r="I221" s="848"/>
      <c r="J221" s="848"/>
      <c r="K221" s="848"/>
    </row>
    <row r="222" spans="1:11">
      <c r="A222" s="246" t="s">
        <v>86</v>
      </c>
      <c r="B222" s="272"/>
      <c r="C222" s="272"/>
      <c r="D222" s="446"/>
      <c r="F222" s="260" t="s">
        <v>558</v>
      </c>
      <c r="G222" s="848"/>
      <c r="H222" s="848"/>
      <c r="I222" s="848"/>
      <c r="J222" s="848"/>
      <c r="K222" s="848"/>
    </row>
    <row r="223" spans="1:11">
      <c r="A223" s="272" t="s">
        <v>248</v>
      </c>
      <c r="B223" s="246"/>
      <c r="C223" s="246"/>
      <c r="D223" s="446"/>
      <c r="E223" s="246"/>
      <c r="F223" s="279"/>
      <c r="G223" s="848"/>
      <c r="H223" s="848"/>
      <c r="I223" s="848"/>
      <c r="J223" s="848"/>
      <c r="K223" s="848"/>
    </row>
    <row r="224" spans="1:11">
      <c r="A224" s="272"/>
      <c r="B224" s="246"/>
      <c r="C224" s="246"/>
      <c r="D224" s="446"/>
      <c r="E224" s="246"/>
      <c r="F224" s="279"/>
      <c r="G224" s="848"/>
      <c r="H224" s="848"/>
      <c r="I224" s="848"/>
      <c r="J224" s="848"/>
      <c r="K224" s="848"/>
    </row>
    <row r="225" spans="1:28" ht="11.25" customHeight="1">
      <c r="A225" s="993" t="s">
        <v>297</v>
      </c>
      <c r="B225" s="993"/>
      <c r="C225" s="993"/>
      <c r="D225" s="993"/>
      <c r="E225" s="993"/>
      <c r="F225" s="993"/>
      <c r="G225" s="848"/>
      <c r="H225" s="848"/>
      <c r="I225" s="848"/>
      <c r="J225" s="848"/>
      <c r="K225" s="848"/>
      <c r="L225" s="848"/>
      <c r="M225" s="848"/>
      <c r="N225" s="848"/>
      <c r="O225" s="848"/>
      <c r="P225" s="848"/>
      <c r="Q225" s="848"/>
      <c r="R225" s="848"/>
      <c r="S225" s="848"/>
      <c r="T225" s="848"/>
      <c r="U225" s="848"/>
      <c r="V225" s="848"/>
      <c r="W225" s="848"/>
      <c r="X225" s="848"/>
      <c r="Y225" s="848"/>
      <c r="Z225" s="848"/>
      <c r="AA225" s="848"/>
      <c r="AB225" s="848"/>
    </row>
    <row r="226" spans="1:28" ht="12.75" thickBot="1">
      <c r="A226" s="273"/>
      <c r="B226" s="273"/>
      <c r="C226" s="273"/>
      <c r="D226" s="455"/>
      <c r="E226" s="273"/>
      <c r="F226" s="433"/>
      <c r="G226" s="848"/>
      <c r="H226" s="848"/>
      <c r="I226" s="848"/>
      <c r="J226" s="848"/>
      <c r="K226" s="848"/>
      <c r="L226" s="848"/>
      <c r="M226" s="848"/>
      <c r="N226" s="848"/>
      <c r="O226" s="848"/>
      <c r="P226" s="848"/>
      <c r="Q226" s="848"/>
      <c r="R226" s="848"/>
      <c r="S226" s="848"/>
      <c r="T226" s="848"/>
      <c r="U226" s="848"/>
      <c r="V226" s="848"/>
      <c r="W226" s="848"/>
      <c r="X226" s="848"/>
      <c r="Y226" s="848"/>
      <c r="Z226" s="848"/>
      <c r="AA226" s="848"/>
      <c r="AB226" s="848"/>
    </row>
    <row r="227" spans="1:28">
      <c r="A227" s="274" t="s">
        <v>289</v>
      </c>
      <c r="B227" s="274"/>
      <c r="C227" s="274"/>
      <c r="D227" s="446"/>
      <c r="E227" s="246"/>
      <c r="F227" s="456"/>
    </row>
    <row r="228" spans="1:28">
      <c r="A228" s="457" t="s">
        <v>351</v>
      </c>
      <c r="B228" s="457"/>
      <c r="C228" s="457"/>
      <c r="D228" s="458" t="s">
        <v>352</v>
      </c>
      <c r="E228" s="457" t="s">
        <v>251</v>
      </c>
      <c r="F228" s="459" t="s">
        <v>252</v>
      </c>
    </row>
    <row r="229" spans="1:28" ht="12.75" thickBot="1">
      <c r="A229" s="435">
        <f>A216+1</f>
        <v>1</v>
      </c>
      <c r="B229" s="477" t="s">
        <v>282</v>
      </c>
      <c r="C229" s="486" t="s">
        <v>561</v>
      </c>
      <c r="D229" s="483"/>
      <c r="E229" s="305"/>
      <c r="F229" s="305"/>
      <c r="G229" s="487"/>
      <c r="J229" s="250"/>
    </row>
    <row r="230" spans="1:28">
      <c r="A230" s="435">
        <f t="shared" ref="A230:A305" si="8">A229+1</f>
        <v>2</v>
      </c>
      <c r="B230" s="477"/>
      <c r="C230" s="488" t="s">
        <v>426</v>
      </c>
      <c r="D230" s="469" t="s">
        <v>852</v>
      </c>
      <c r="E230" s="305"/>
      <c r="G230" s="487"/>
      <c r="I230" s="516"/>
      <c r="J230" s="517"/>
      <c r="K230" s="517"/>
      <c r="L230" s="517"/>
      <c r="M230" s="517"/>
      <c r="N230" s="518"/>
      <c r="O230" s="519"/>
      <c r="P230" s="518"/>
      <c r="Q230" s="518"/>
      <c r="R230" s="517"/>
      <c r="S230" s="517"/>
      <c r="T230" s="517" t="s">
        <v>812</v>
      </c>
      <c r="U230" s="517"/>
      <c r="V230" s="520" t="s">
        <v>810</v>
      </c>
      <c r="W230" s="520"/>
      <c r="X230" s="521"/>
    </row>
    <row r="231" spans="1:28">
      <c r="A231" s="435">
        <f t="shared" si="8"/>
        <v>3</v>
      </c>
      <c r="B231" s="477"/>
      <c r="C231" s="486"/>
      <c r="D231" s="522" t="s">
        <v>806</v>
      </c>
      <c r="E231" s="257">
        <f>(45349-46741)+(1084/2)</f>
        <v>-850</v>
      </c>
      <c r="F231" s="257">
        <f>'A 12-14 (I)'!M22-'A 12-14 (I)'!M55</f>
        <v>-33139</v>
      </c>
      <c r="G231" s="487"/>
      <c r="I231" s="494" t="s">
        <v>580</v>
      </c>
      <c r="J231" s="492"/>
      <c r="K231" s="492"/>
      <c r="L231" s="492"/>
      <c r="M231" s="492"/>
      <c r="N231" s="492"/>
      <c r="O231" s="492"/>
      <c r="P231" s="492"/>
      <c r="Q231" s="492"/>
      <c r="R231" s="492"/>
      <c r="S231" s="492"/>
      <c r="T231" s="523" t="s">
        <v>813</v>
      </c>
      <c r="U231" s="495" t="s">
        <v>814</v>
      </c>
      <c r="V231" s="523" t="s">
        <v>410</v>
      </c>
      <c r="W231" s="492" t="s">
        <v>811</v>
      </c>
      <c r="X231" s="493"/>
    </row>
    <row r="232" spans="1:28">
      <c r="A232" s="435">
        <f t="shared" si="8"/>
        <v>4</v>
      </c>
      <c r="B232" s="477"/>
      <c r="C232" s="486"/>
      <c r="D232" s="522" t="s">
        <v>805</v>
      </c>
      <c r="E232" s="305"/>
      <c r="F232" s="244">
        <v>-472697</v>
      </c>
      <c r="G232" s="287"/>
      <c r="I232" s="524">
        <v>3500</v>
      </c>
      <c r="J232" s="492" t="s">
        <v>245</v>
      </c>
      <c r="K232" s="492"/>
      <c r="L232" s="492"/>
      <c r="M232" s="523">
        <v>-1680726.86</v>
      </c>
      <c r="N232" s="492"/>
      <c r="O232" s="525">
        <v>4050</v>
      </c>
      <c r="P232" s="492" t="s">
        <v>808</v>
      </c>
      <c r="Q232" s="492"/>
      <c r="R232" s="492"/>
      <c r="S232" s="523">
        <v>1953104.02</v>
      </c>
      <c r="T232" s="523">
        <f>S232+M232</f>
        <v>272377.15999999992</v>
      </c>
      <c r="U232" s="523">
        <f>T232+(W232*6)</f>
        <v>238762.5799999999</v>
      </c>
      <c r="V232" s="523">
        <v>-67229.16</v>
      </c>
      <c r="W232" s="498">
        <f>V232/12</f>
        <v>-5602.43</v>
      </c>
      <c r="X232" s="499">
        <f>M232/30</f>
        <v>-56024.22866666667</v>
      </c>
    </row>
    <row r="233" spans="1:28">
      <c r="A233" s="435">
        <f t="shared" si="8"/>
        <v>5</v>
      </c>
      <c r="B233" s="477"/>
      <c r="C233" s="486"/>
      <c r="D233" s="522" t="s">
        <v>817</v>
      </c>
      <c r="E233" s="305"/>
      <c r="F233" s="425">
        <f>-U232</f>
        <v>-238762.5799999999</v>
      </c>
      <c r="G233" s="287"/>
      <c r="I233" s="524">
        <v>3505</v>
      </c>
      <c r="J233" s="492" t="s">
        <v>807</v>
      </c>
      <c r="K233" s="492"/>
      <c r="L233" s="492"/>
      <c r="M233" s="523">
        <v>-3300163.98</v>
      </c>
      <c r="N233" s="492"/>
      <c r="O233" s="525">
        <v>4055</v>
      </c>
      <c r="P233" s="492" t="s">
        <v>809</v>
      </c>
      <c r="Q233" s="492"/>
      <c r="R233" s="492"/>
      <c r="S233" s="523">
        <v>3896608.2</v>
      </c>
      <c r="T233" s="523">
        <f>S233+M233</f>
        <v>596444.2200000002</v>
      </c>
      <c r="U233" s="523">
        <f>T233+(W233*6)</f>
        <v>544744.50000000023</v>
      </c>
      <c r="V233" s="523">
        <v>-103399.44</v>
      </c>
      <c r="W233" s="498">
        <f>V233/12</f>
        <v>-8616.6200000000008</v>
      </c>
      <c r="X233" s="499">
        <f>M233/30</f>
        <v>-110005.466</v>
      </c>
    </row>
    <row r="234" spans="1:28">
      <c r="A234" s="435">
        <f t="shared" si="8"/>
        <v>6</v>
      </c>
      <c r="B234" s="477"/>
      <c r="C234" s="486"/>
      <c r="D234" s="522" t="s">
        <v>815</v>
      </c>
      <c r="E234" s="305"/>
      <c r="F234" s="425">
        <f>-U233</f>
        <v>-544744.50000000023</v>
      </c>
      <c r="G234" s="287"/>
      <c r="I234" s="524">
        <v>3555</v>
      </c>
      <c r="J234" s="492" t="s">
        <v>70</v>
      </c>
      <c r="K234" s="492"/>
      <c r="L234" s="492"/>
      <c r="M234" s="523">
        <v>-5775781.0700000003</v>
      </c>
      <c r="N234" s="492"/>
      <c r="O234" s="525">
        <v>4105</v>
      </c>
      <c r="P234" s="492" t="s">
        <v>473</v>
      </c>
      <c r="Q234" s="492"/>
      <c r="R234" s="492"/>
      <c r="S234" s="523">
        <v>6015122.7800000003</v>
      </c>
      <c r="T234" s="523">
        <f>S234+M234</f>
        <v>239341.70999999996</v>
      </c>
      <c r="U234" s="523">
        <f>T234+(W234*6)</f>
        <v>175284.98999999996</v>
      </c>
      <c r="V234" s="523">
        <v>-128113.44</v>
      </c>
      <c r="W234" s="498">
        <f>V234/12</f>
        <v>-10676.12</v>
      </c>
      <c r="X234" s="499">
        <f>M234/40</f>
        <v>-144394.52675000002</v>
      </c>
      <c r="AA234" s="409"/>
      <c r="AB234" s="409"/>
    </row>
    <row r="235" spans="1:28">
      <c r="A235" s="435">
        <f t="shared" si="8"/>
        <v>7</v>
      </c>
      <c r="B235" s="477"/>
      <c r="C235" s="486"/>
      <c r="D235" s="522" t="s">
        <v>818</v>
      </c>
      <c r="E235" s="305"/>
      <c r="F235" s="425">
        <f>-U234</f>
        <v>-175284.98999999996</v>
      </c>
      <c r="G235" s="287"/>
      <c r="I235" s="494"/>
      <c r="J235" s="492"/>
      <c r="K235" s="492"/>
      <c r="L235" s="492"/>
      <c r="M235" s="492"/>
      <c r="N235" s="523"/>
      <c r="O235" s="525"/>
      <c r="P235" s="492"/>
      <c r="Q235" s="492"/>
      <c r="R235" s="492"/>
      <c r="S235" s="523"/>
      <c r="T235" s="523"/>
      <c r="U235" s="523">
        <f>SUM(U232:U234)</f>
        <v>958792.07000000007</v>
      </c>
      <c r="V235" s="523">
        <f>SUM(V232:V234)</f>
        <v>-298742.04000000004</v>
      </c>
      <c r="W235" s="498"/>
      <c r="X235" s="499"/>
    </row>
    <row r="236" spans="1:28" ht="12.75" thickBot="1">
      <c r="A236" s="435">
        <f t="shared" si="8"/>
        <v>8</v>
      </c>
      <c r="B236" s="471"/>
      <c r="C236" s="471"/>
      <c r="D236" s="246"/>
      <c r="E236" s="526">
        <f>SUM(E231:E233)</f>
        <v>-850</v>
      </c>
      <c r="F236" s="526">
        <f>SUM(F231:F235)</f>
        <v>-1464628.07</v>
      </c>
      <c r="G236" s="287"/>
      <c r="I236" s="494"/>
      <c r="J236" s="492"/>
      <c r="K236" s="492"/>
      <c r="L236" s="492"/>
      <c r="M236" s="492"/>
      <c r="N236" s="523"/>
      <c r="O236" s="492"/>
      <c r="P236" s="525"/>
      <c r="Q236" s="492"/>
      <c r="R236" s="492"/>
      <c r="S236" s="492"/>
      <c r="T236" s="492"/>
      <c r="U236" s="523"/>
      <c r="V236" s="492"/>
      <c r="W236" s="492"/>
      <c r="X236" s="493"/>
    </row>
    <row r="237" spans="1:28" ht="12.75" thickTop="1">
      <c r="A237" s="435">
        <f t="shared" si="8"/>
        <v>9</v>
      </c>
      <c r="C237" s="488" t="s">
        <v>427</v>
      </c>
      <c r="D237" s="469" t="s">
        <v>898</v>
      </c>
      <c r="F237" s="242"/>
      <c r="G237" s="287"/>
      <c r="I237" s="524"/>
      <c r="J237" s="523">
        <f t="shared" ref="J237:U237" si="9">K237+$W232</f>
        <v>205148</v>
      </c>
      <c r="K237" s="523">
        <f t="shared" si="9"/>
        <v>210750.43</v>
      </c>
      <c r="L237" s="523">
        <f t="shared" si="9"/>
        <v>216352.86</v>
      </c>
      <c r="M237" s="523">
        <f t="shared" si="9"/>
        <v>221955.28999999998</v>
      </c>
      <c r="N237" s="523">
        <f t="shared" si="9"/>
        <v>227557.71999999997</v>
      </c>
      <c r="O237" s="523">
        <f t="shared" si="9"/>
        <v>233160.14999999997</v>
      </c>
      <c r="P237" s="523">
        <f t="shared" si="9"/>
        <v>238762.57999999996</v>
      </c>
      <c r="Q237" s="523">
        <f t="shared" si="9"/>
        <v>244365.00999999995</v>
      </c>
      <c r="R237" s="523">
        <f t="shared" si="9"/>
        <v>249967.43999999994</v>
      </c>
      <c r="S237" s="523">
        <f t="shared" si="9"/>
        <v>255569.86999999994</v>
      </c>
      <c r="T237" s="523">
        <f t="shared" si="9"/>
        <v>261172.29999999993</v>
      </c>
      <c r="U237" s="523">
        <f t="shared" si="9"/>
        <v>266774.72999999992</v>
      </c>
      <c r="V237" s="523">
        <f>T232</f>
        <v>272377.15999999992</v>
      </c>
      <c r="W237" s="523">
        <f>AVERAGE(J237:V237)</f>
        <v>238762.57999999993</v>
      </c>
      <c r="X237" s="493"/>
    </row>
    <row r="238" spans="1:28">
      <c r="A238" s="435">
        <f t="shared" si="8"/>
        <v>10</v>
      </c>
      <c r="C238" s="486"/>
      <c r="D238" s="336" t="s">
        <v>393</v>
      </c>
      <c r="E238" s="244">
        <f>-SUM('Ret CIAC'!L4:L5)</f>
        <v>-87827.165354330704</v>
      </c>
      <c r="F238" s="242"/>
      <c r="G238" s="287"/>
      <c r="I238" s="524"/>
      <c r="J238" s="523">
        <f t="shared" ref="J238:U238" si="10">K238+$W233</f>
        <v>493044.78000000026</v>
      </c>
      <c r="K238" s="523">
        <f t="shared" si="10"/>
        <v>501661.40000000026</v>
      </c>
      <c r="L238" s="523">
        <f t="shared" si="10"/>
        <v>510278.02000000025</v>
      </c>
      <c r="M238" s="523">
        <f t="shared" si="10"/>
        <v>518894.64000000025</v>
      </c>
      <c r="N238" s="523">
        <f t="shared" si="10"/>
        <v>527511.26000000024</v>
      </c>
      <c r="O238" s="523">
        <f t="shared" si="10"/>
        <v>536127.88000000024</v>
      </c>
      <c r="P238" s="523">
        <f t="shared" si="10"/>
        <v>544744.50000000023</v>
      </c>
      <c r="Q238" s="523">
        <f t="shared" si="10"/>
        <v>553361.12000000023</v>
      </c>
      <c r="R238" s="523">
        <f t="shared" si="10"/>
        <v>561977.74000000022</v>
      </c>
      <c r="S238" s="523">
        <f t="shared" si="10"/>
        <v>570594.36000000022</v>
      </c>
      <c r="T238" s="523">
        <f t="shared" si="10"/>
        <v>579210.98000000021</v>
      </c>
      <c r="U238" s="523">
        <f t="shared" si="10"/>
        <v>587827.60000000021</v>
      </c>
      <c r="V238" s="523">
        <f>T233</f>
        <v>596444.2200000002</v>
      </c>
      <c r="W238" s="523">
        <f>AVERAGE(J238:V238)</f>
        <v>544744.50000000023</v>
      </c>
      <c r="X238" s="493"/>
    </row>
    <row r="239" spans="1:28" ht="12.75" thickBot="1">
      <c r="A239" s="435">
        <f t="shared" si="8"/>
        <v>11</v>
      </c>
      <c r="C239" s="486"/>
      <c r="D239" s="336" t="s">
        <v>363</v>
      </c>
      <c r="F239" s="244">
        <f>-SUM('Ret CIAC'!L8:L10)</f>
        <v>-163456.02641363311</v>
      </c>
      <c r="G239" s="287"/>
      <c r="I239" s="508"/>
      <c r="J239" s="527">
        <f t="shared" ref="J239:U239" si="11">K239+$W234</f>
        <v>111228.27000000002</v>
      </c>
      <c r="K239" s="527">
        <f t="shared" si="11"/>
        <v>121904.39000000001</v>
      </c>
      <c r="L239" s="527">
        <f t="shared" si="11"/>
        <v>132580.51</v>
      </c>
      <c r="M239" s="527">
        <f t="shared" si="11"/>
        <v>143256.63</v>
      </c>
      <c r="N239" s="527">
        <f t="shared" si="11"/>
        <v>153932.75</v>
      </c>
      <c r="O239" s="527">
        <f t="shared" si="11"/>
        <v>164608.87</v>
      </c>
      <c r="P239" s="527">
        <f t="shared" si="11"/>
        <v>175284.99</v>
      </c>
      <c r="Q239" s="527">
        <f t="shared" si="11"/>
        <v>185961.11</v>
      </c>
      <c r="R239" s="527">
        <f t="shared" si="11"/>
        <v>196637.22999999998</v>
      </c>
      <c r="S239" s="527">
        <f t="shared" si="11"/>
        <v>207313.34999999998</v>
      </c>
      <c r="T239" s="527">
        <f t="shared" si="11"/>
        <v>217989.46999999997</v>
      </c>
      <c r="U239" s="527">
        <f t="shared" si="11"/>
        <v>228665.58999999997</v>
      </c>
      <c r="V239" s="527">
        <f>T234</f>
        <v>239341.70999999996</v>
      </c>
      <c r="W239" s="527">
        <f>AVERAGE(J239:V239)</f>
        <v>175284.99000000002</v>
      </c>
      <c r="X239" s="528"/>
      <c r="Y239" s="529"/>
    </row>
    <row r="240" spans="1:28">
      <c r="A240" s="435">
        <f t="shared" si="8"/>
        <v>12</v>
      </c>
      <c r="C240" s="486"/>
      <c r="D240" s="336" t="s">
        <v>364</v>
      </c>
      <c r="F240" s="244">
        <f>-SUM('Ret CIAC'!L11:L12)</f>
        <v>-52052.04874416122</v>
      </c>
      <c r="G240" s="287"/>
      <c r="P240" s="409"/>
      <c r="Q240" s="409"/>
      <c r="R240" s="362"/>
      <c r="S240" s="409"/>
      <c r="T240" s="409"/>
    </row>
    <row r="241" spans="1:20">
      <c r="A241" s="435">
        <f t="shared" si="8"/>
        <v>13</v>
      </c>
      <c r="B241" s="477"/>
      <c r="C241" s="486"/>
      <c r="D241" s="336" t="s">
        <v>890</v>
      </c>
      <c r="E241" s="468"/>
      <c r="F241" s="244">
        <f>-SUM('Ret CIAC'!L13:L14)</f>
        <v>-35996.270332187858</v>
      </c>
      <c r="G241" s="287"/>
      <c r="P241" s="409"/>
      <c r="Q241" s="409"/>
      <c r="R241" s="362"/>
      <c r="S241" s="409"/>
      <c r="T241" s="409"/>
    </row>
    <row r="242" spans="1:20">
      <c r="A242" s="435">
        <f t="shared" si="8"/>
        <v>14</v>
      </c>
      <c r="B242" s="477"/>
      <c r="C242" s="486"/>
      <c r="D242" s="336" t="s">
        <v>373</v>
      </c>
      <c r="E242" s="468"/>
      <c r="F242" s="468">
        <f>-SUM('Ret CIAC'!L15:L17)</f>
        <v>-474597.48455759604</v>
      </c>
      <c r="G242" s="287"/>
      <c r="P242" s="409"/>
      <c r="Q242" s="409"/>
      <c r="R242" s="362"/>
      <c r="S242" s="409"/>
      <c r="T242" s="409"/>
    </row>
    <row r="243" spans="1:20">
      <c r="A243" s="435">
        <f t="shared" si="8"/>
        <v>15</v>
      </c>
      <c r="B243" s="477"/>
      <c r="C243" s="486"/>
      <c r="D243" s="336" t="s">
        <v>374</v>
      </c>
      <c r="E243" s="468"/>
      <c r="F243" s="468">
        <f>-'Ret CIAC'!L18</f>
        <v>-27118.127786032688</v>
      </c>
      <c r="G243" s="287"/>
      <c r="P243" s="409"/>
      <c r="Q243" s="409"/>
      <c r="R243" s="362"/>
      <c r="S243" s="409"/>
      <c r="T243" s="409"/>
    </row>
    <row r="244" spans="1:20" ht="12.75" thickBot="1">
      <c r="A244" s="435">
        <f t="shared" si="8"/>
        <v>16</v>
      </c>
      <c r="B244" s="477"/>
      <c r="C244" s="486"/>
      <c r="D244" s="260" t="s">
        <v>899</v>
      </c>
      <c r="E244" s="530">
        <f>SUM(E238:E243)</f>
        <v>-87827.165354330704</v>
      </c>
      <c r="F244" s="530">
        <f>SUM(F238:F243)</f>
        <v>-753219.95783361094</v>
      </c>
      <c r="G244" s="287"/>
      <c r="I244" s="848"/>
      <c r="P244" s="409"/>
      <c r="Q244" s="409"/>
      <c r="R244" s="362"/>
      <c r="S244" s="409"/>
      <c r="T244" s="409"/>
    </row>
    <row r="245" spans="1:20" ht="12.75" thickTop="1">
      <c r="A245" s="435">
        <f t="shared" si="8"/>
        <v>17</v>
      </c>
      <c r="B245" s="477"/>
      <c r="D245" s="242"/>
      <c r="E245" s="468"/>
      <c r="F245" s="468"/>
      <c r="G245" s="287"/>
      <c r="I245" s="848"/>
      <c r="P245" s="409"/>
      <c r="Q245" s="409"/>
      <c r="R245" s="362"/>
      <c r="S245" s="409"/>
      <c r="T245" s="409"/>
    </row>
    <row r="246" spans="1:20">
      <c r="A246" s="435">
        <f t="shared" si="8"/>
        <v>18</v>
      </c>
      <c r="B246" s="477"/>
      <c r="C246" s="488" t="s">
        <v>326</v>
      </c>
      <c r="D246" s="469" t="s">
        <v>900</v>
      </c>
      <c r="E246" s="468"/>
      <c r="F246" s="468"/>
      <c r="G246" s="287"/>
      <c r="I246" s="848"/>
      <c r="P246" s="409"/>
      <c r="Q246" s="409"/>
      <c r="R246" s="362"/>
      <c r="S246" s="409"/>
      <c r="T246" s="409"/>
    </row>
    <row r="247" spans="1:20">
      <c r="A247" s="435">
        <f t="shared" si="8"/>
        <v>19</v>
      </c>
      <c r="B247" s="477"/>
      <c r="C247" s="486"/>
      <c r="D247" s="336" t="s">
        <v>393</v>
      </c>
      <c r="E247" s="244">
        <f>E238</f>
        <v>-87827.165354330704</v>
      </c>
      <c r="F247" s="468"/>
      <c r="G247" s="287"/>
      <c r="I247" s="848"/>
    </row>
    <row r="248" spans="1:20">
      <c r="A248" s="435">
        <f t="shared" si="8"/>
        <v>20</v>
      </c>
      <c r="B248" s="477"/>
      <c r="C248" s="486"/>
      <c r="D248" s="336" t="s">
        <v>363</v>
      </c>
      <c r="E248" s="468"/>
      <c r="F248" s="244">
        <f>F239</f>
        <v>-163456.02641363311</v>
      </c>
      <c r="G248" s="287"/>
      <c r="I248" s="848"/>
    </row>
    <row r="249" spans="1:20">
      <c r="A249" s="435">
        <f t="shared" si="8"/>
        <v>21</v>
      </c>
      <c r="C249" s="486"/>
      <c r="D249" s="336" t="s">
        <v>364</v>
      </c>
      <c r="F249" s="244">
        <f>F240</f>
        <v>-52052.04874416122</v>
      </c>
      <c r="G249" s="287"/>
      <c r="I249" s="848"/>
    </row>
    <row r="250" spans="1:20">
      <c r="A250" s="435">
        <f t="shared" si="8"/>
        <v>22</v>
      </c>
      <c r="C250" s="486"/>
      <c r="D250" s="336" t="s">
        <v>890</v>
      </c>
      <c r="F250" s="244">
        <f>F241</f>
        <v>-35996.270332187858</v>
      </c>
      <c r="G250" s="287"/>
      <c r="I250" s="848"/>
    </row>
    <row r="251" spans="1:20">
      <c r="A251" s="435">
        <f t="shared" si="8"/>
        <v>23</v>
      </c>
      <c r="C251" s="486"/>
      <c r="D251" s="336" t="s">
        <v>373</v>
      </c>
      <c r="F251" s="244">
        <f>F242</f>
        <v>-474597.48455759604</v>
      </c>
      <c r="G251" s="287"/>
      <c r="I251" s="848"/>
    </row>
    <row r="252" spans="1:20">
      <c r="A252" s="435">
        <f t="shared" si="8"/>
        <v>24</v>
      </c>
      <c r="C252" s="486"/>
      <c r="D252" s="336" t="s">
        <v>374</v>
      </c>
      <c r="F252" s="244">
        <f>F243</f>
        <v>-27118.127786032688</v>
      </c>
      <c r="G252" s="287"/>
      <c r="I252" s="848"/>
    </row>
    <row r="253" spans="1:20" ht="12.75" thickBot="1">
      <c r="A253" s="435">
        <f t="shared" si="8"/>
        <v>25</v>
      </c>
      <c r="D253" s="531" t="s">
        <v>901</v>
      </c>
      <c r="E253" s="530">
        <f>SUM(E247:E252)</f>
        <v>-87827.165354330704</v>
      </c>
      <c r="F253" s="530">
        <f>SUM(F247:F252)</f>
        <v>-753219.95783361094</v>
      </c>
      <c r="G253" s="287"/>
      <c r="I253" s="848"/>
    </row>
    <row r="254" spans="1:20" ht="12" customHeight="1" thickTop="1">
      <c r="A254" s="435">
        <f t="shared" si="8"/>
        <v>26</v>
      </c>
      <c r="B254" s="471"/>
      <c r="C254" s="471"/>
      <c r="D254" s="246"/>
      <c r="E254" s="301"/>
      <c r="F254" s="301"/>
      <c r="G254" s="287"/>
    </row>
    <row r="255" spans="1:20">
      <c r="A255" s="435">
        <f t="shared" si="8"/>
        <v>27</v>
      </c>
      <c r="B255" s="477" t="s">
        <v>458</v>
      </c>
      <c r="C255" s="480" t="s">
        <v>562</v>
      </c>
      <c r="D255" s="483"/>
      <c r="E255" s="305"/>
      <c r="F255" s="305"/>
      <c r="G255" s="287"/>
    </row>
    <row r="256" spans="1:20">
      <c r="A256" s="435">
        <f t="shared" si="8"/>
        <v>28</v>
      </c>
      <c r="B256" s="477"/>
      <c r="C256" s="354" t="s">
        <v>542</v>
      </c>
      <c r="D256" s="246"/>
      <c r="E256" s="305"/>
      <c r="F256" s="305"/>
      <c r="G256" s="287"/>
      <c r="H256" s="287"/>
    </row>
    <row r="257" spans="1:8">
      <c r="A257" s="435">
        <f t="shared" si="8"/>
        <v>29</v>
      </c>
      <c r="B257" s="532"/>
      <c r="D257" s="246"/>
      <c r="E257" s="468"/>
      <c r="F257" s="468"/>
      <c r="G257" s="287"/>
      <c r="H257" s="287"/>
    </row>
    <row r="258" spans="1:8" ht="12.75" thickBot="1">
      <c r="A258" s="435">
        <f t="shared" si="8"/>
        <v>30</v>
      </c>
      <c r="B258" s="532"/>
      <c r="D258" s="242" t="s">
        <v>206</v>
      </c>
      <c r="E258" s="533">
        <v>-56355.38</v>
      </c>
      <c r="F258" s="533">
        <v>-1238783.8492307693</v>
      </c>
      <c r="G258" s="287"/>
      <c r="H258" s="287"/>
    </row>
    <row r="259" spans="1:8" ht="12.75" thickTop="1">
      <c r="A259" s="435">
        <f t="shared" si="8"/>
        <v>31</v>
      </c>
      <c r="B259" s="534"/>
      <c r="C259" s="535"/>
      <c r="D259" s="242"/>
      <c r="E259" s="468"/>
      <c r="F259" s="468"/>
      <c r="G259" s="287"/>
      <c r="H259" s="287"/>
    </row>
    <row r="260" spans="1:8" ht="12.75" thickBot="1">
      <c r="A260" s="435">
        <f t="shared" si="8"/>
        <v>32</v>
      </c>
      <c r="B260" s="839"/>
      <c r="C260" s="536"/>
      <c r="D260" s="242" t="s">
        <v>207</v>
      </c>
      <c r="E260" s="533">
        <v>-192642.14384615386</v>
      </c>
      <c r="F260" s="533">
        <v>163693.33076923076</v>
      </c>
      <c r="G260" s="287"/>
      <c r="H260" s="287"/>
    </row>
    <row r="261" spans="1:8" ht="12.75" thickTop="1">
      <c r="A261" s="435">
        <f t="shared" si="8"/>
        <v>33</v>
      </c>
      <c r="E261" s="536"/>
      <c r="F261" s="537"/>
      <c r="G261" s="287"/>
      <c r="H261" s="287"/>
    </row>
    <row r="262" spans="1:8">
      <c r="A262" s="435">
        <f t="shared" si="8"/>
        <v>34</v>
      </c>
      <c r="B262" s="538" t="s">
        <v>494</v>
      </c>
      <c r="C262" s="480" t="s">
        <v>466</v>
      </c>
      <c r="D262" s="539"/>
      <c r="E262" s="540">
        <v>1744812.9560022729</v>
      </c>
      <c r="F262" s="540">
        <v>2303384.0439977278</v>
      </c>
      <c r="G262" s="287"/>
      <c r="H262" s="287"/>
    </row>
    <row r="263" spans="1:8">
      <c r="A263" s="435">
        <f t="shared" si="8"/>
        <v>35</v>
      </c>
      <c r="B263" s="538"/>
      <c r="C263" s="541" t="s">
        <v>44</v>
      </c>
      <c r="D263" s="539"/>
      <c r="E263" s="257"/>
      <c r="G263" s="287"/>
      <c r="H263" s="287"/>
    </row>
    <row r="264" spans="1:8">
      <c r="A264" s="435">
        <f t="shared" si="8"/>
        <v>36</v>
      </c>
      <c r="B264" s="538"/>
      <c r="C264" s="488" t="s">
        <v>426</v>
      </c>
      <c r="D264" s="255" t="s">
        <v>1185</v>
      </c>
      <c r="E264" s="257"/>
      <c r="G264" s="287"/>
      <c r="H264" s="287"/>
    </row>
    <row r="265" spans="1:8">
      <c r="A265" s="435">
        <f t="shared" si="8"/>
        <v>37</v>
      </c>
      <c r="B265" s="538"/>
      <c r="C265" s="488"/>
      <c r="D265" s="542" t="s">
        <v>1186</v>
      </c>
      <c r="E265" s="257"/>
      <c r="G265" s="287"/>
      <c r="H265" s="287"/>
    </row>
    <row r="266" spans="1:8">
      <c r="A266" s="435">
        <f t="shared" si="8"/>
        <v>38</v>
      </c>
      <c r="B266" s="538"/>
      <c r="C266" s="488"/>
      <c r="D266" s="543" t="s">
        <v>1187</v>
      </c>
      <c r="E266" s="257"/>
      <c r="G266" s="287"/>
      <c r="H266" s="287"/>
    </row>
    <row r="267" spans="1:8">
      <c r="A267" s="435">
        <f t="shared" si="8"/>
        <v>39</v>
      </c>
      <c r="B267" s="538"/>
      <c r="C267" s="488"/>
      <c r="D267" s="544" t="s">
        <v>576</v>
      </c>
      <c r="E267" s="257">
        <f>'Prior RCE'!C43</f>
        <v>1008.9686718441488</v>
      </c>
      <c r="F267" s="257">
        <f>'Prior RCE'!D43</f>
        <v>1001.0313281558512</v>
      </c>
      <c r="G267" s="287"/>
      <c r="H267" s="287"/>
    </row>
    <row r="268" spans="1:8">
      <c r="A268" s="435">
        <f t="shared" si="8"/>
        <v>40</v>
      </c>
      <c r="B268" s="538"/>
      <c r="C268" s="488"/>
      <c r="D268" s="544" t="s">
        <v>581</v>
      </c>
      <c r="E268" s="257">
        <f>'Prior RCE'!C44</f>
        <v>0</v>
      </c>
      <c r="F268" s="257">
        <f>'Prior RCE'!D44</f>
        <v>4611.9230769230771</v>
      </c>
      <c r="G268" s="287"/>
      <c r="H268" s="287"/>
    </row>
    <row r="269" spans="1:8">
      <c r="A269" s="435">
        <f t="shared" si="8"/>
        <v>41</v>
      </c>
      <c r="B269" s="538"/>
      <c r="C269" s="488"/>
      <c r="D269" s="544" t="s">
        <v>580</v>
      </c>
      <c r="E269" s="257">
        <f>'Prior RCE'!C45</f>
        <v>9942.2718723499584</v>
      </c>
      <c r="F269" s="257">
        <f>'Prior RCE'!D45</f>
        <v>7998.7281276500416</v>
      </c>
      <c r="G269" s="287"/>
      <c r="H269" s="287"/>
    </row>
    <row r="270" spans="1:8">
      <c r="A270" s="435">
        <f t="shared" si="8"/>
        <v>42</v>
      </c>
      <c r="B270" s="538"/>
      <c r="C270" s="488"/>
      <c r="D270" s="544" t="s">
        <v>1138</v>
      </c>
      <c r="E270" s="257">
        <f>'Prior RCE'!C46</f>
        <v>1601.3981659202389</v>
      </c>
      <c r="F270" s="257">
        <f>'Prior RCE'!D46</f>
        <v>222.93516741309438</v>
      </c>
      <c r="G270" s="287"/>
      <c r="H270" s="287"/>
    </row>
    <row r="271" spans="1:8">
      <c r="A271" s="435">
        <f t="shared" si="8"/>
        <v>43</v>
      </c>
      <c r="B271" s="538"/>
      <c r="C271" s="488"/>
      <c r="D271" s="544" t="s">
        <v>1139</v>
      </c>
      <c r="E271" s="257">
        <f>'Prior RCE'!C47</f>
        <v>1358.5569358178052</v>
      </c>
      <c r="F271" s="257">
        <f>'Prior RCE'!D47</f>
        <v>738.77639751552783</v>
      </c>
      <c r="G271" s="287"/>
      <c r="H271" s="287"/>
    </row>
    <row r="272" spans="1:8">
      <c r="A272" s="435">
        <f t="shared" si="8"/>
        <v>44</v>
      </c>
      <c r="B272" s="538"/>
      <c r="C272" s="488"/>
      <c r="D272" s="544" t="s">
        <v>1140</v>
      </c>
      <c r="E272" s="257">
        <f>'Prior RCE'!C48</f>
        <v>6926.5296072617693</v>
      </c>
      <c r="F272" s="257">
        <f>'Prior RCE'!D48</f>
        <v>3005.7203927382311</v>
      </c>
      <c r="G272" s="287"/>
      <c r="H272" s="287"/>
    </row>
    <row r="273" spans="1:8">
      <c r="A273" s="435">
        <f t="shared" si="8"/>
        <v>45</v>
      </c>
      <c r="B273" s="538"/>
      <c r="C273" s="488"/>
      <c r="D273" s="542" t="s">
        <v>1188</v>
      </c>
      <c r="E273" s="257"/>
      <c r="G273" s="287"/>
      <c r="H273" s="287"/>
    </row>
    <row r="274" spans="1:8">
      <c r="A274" s="435">
        <f t="shared" si="8"/>
        <v>46</v>
      </c>
      <c r="B274" s="538"/>
      <c r="C274" s="488"/>
      <c r="D274" s="544" t="s">
        <v>579</v>
      </c>
      <c r="E274" s="257">
        <f>'Prior RCE'!M16</f>
        <v>1396.5694826457097</v>
      </c>
      <c r="F274" s="257">
        <f>'Prior RCE'!N16</f>
        <v>1329.0971840209554</v>
      </c>
      <c r="G274" s="287"/>
      <c r="H274" s="287"/>
    </row>
    <row r="275" spans="1:8">
      <c r="A275" s="435">
        <f t="shared" si="8"/>
        <v>47</v>
      </c>
      <c r="B275" s="538"/>
      <c r="C275" s="488"/>
      <c r="D275" s="544" t="s">
        <v>577</v>
      </c>
      <c r="E275" s="257">
        <f>'Prior RCE'!M17</f>
        <v>0</v>
      </c>
      <c r="F275" s="257">
        <f>'Prior RCE'!N17</f>
        <v>2821</v>
      </c>
      <c r="G275" s="287"/>
      <c r="H275" s="287"/>
    </row>
    <row r="276" spans="1:8">
      <c r="A276" s="435">
        <f t="shared" si="8"/>
        <v>48</v>
      </c>
      <c r="B276" s="538"/>
      <c r="C276" s="488"/>
      <c r="D276" s="544" t="s">
        <v>575</v>
      </c>
      <c r="E276" s="257">
        <f>'Prior RCE'!M18</f>
        <v>146.26570048309185</v>
      </c>
      <c r="F276" s="257">
        <f>'Prior RCE'!N18</f>
        <v>148.40096618357495</v>
      </c>
      <c r="G276" s="287"/>
      <c r="H276" s="287"/>
    </row>
    <row r="277" spans="1:8">
      <c r="A277" s="435">
        <f t="shared" si="8"/>
        <v>49</v>
      </c>
      <c r="B277" s="538"/>
      <c r="C277" s="488"/>
      <c r="D277" s="544" t="s">
        <v>571</v>
      </c>
      <c r="E277" s="257">
        <f>'Prior RCE'!M19</f>
        <v>11921.224873624738</v>
      </c>
      <c r="F277" s="257">
        <f>'Prior RCE'!N19</f>
        <v>3686.3584597085937</v>
      </c>
      <c r="G277" s="287"/>
      <c r="H277" s="287"/>
    </row>
    <row r="278" spans="1:8">
      <c r="A278" s="435">
        <f t="shared" si="8"/>
        <v>50</v>
      </c>
      <c r="B278" s="538"/>
      <c r="C278" s="488"/>
      <c r="D278" s="544" t="s">
        <v>574</v>
      </c>
      <c r="E278" s="257">
        <f>'Prior RCE'!M20</f>
        <v>0</v>
      </c>
      <c r="F278" s="257">
        <f>'Prior RCE'!N20</f>
        <v>1948.9166666666665</v>
      </c>
      <c r="G278" s="287"/>
      <c r="H278" s="287"/>
    </row>
    <row r="279" spans="1:8">
      <c r="A279" s="435">
        <f t="shared" si="8"/>
        <v>51</v>
      </c>
      <c r="B279" s="538"/>
      <c r="C279" s="488"/>
      <c r="D279" s="544" t="s">
        <v>650</v>
      </c>
      <c r="E279" s="257">
        <f>'Prior RCE'!M21</f>
        <v>0</v>
      </c>
      <c r="F279" s="257">
        <f>'Prior RCE'!N21</f>
        <v>3761.875</v>
      </c>
      <c r="G279" s="287"/>
      <c r="H279" s="287"/>
    </row>
    <row r="280" spans="1:8">
      <c r="A280" s="435">
        <f t="shared" si="8"/>
        <v>52</v>
      </c>
      <c r="B280" s="538"/>
      <c r="C280" s="488"/>
      <c r="D280" s="544" t="s">
        <v>572</v>
      </c>
      <c r="E280" s="257">
        <f>'Prior RCE'!M22</f>
        <v>1653.4643824325919</v>
      </c>
      <c r="F280" s="257">
        <f>'Prior RCE'!N22</f>
        <v>1378.243950900742</v>
      </c>
      <c r="G280" s="287"/>
      <c r="H280" s="287"/>
    </row>
    <row r="281" spans="1:8">
      <c r="A281" s="435">
        <f t="shared" si="8"/>
        <v>53</v>
      </c>
      <c r="B281" s="538"/>
      <c r="C281" s="488"/>
      <c r="D281" s="544" t="s">
        <v>578</v>
      </c>
      <c r="E281" s="257">
        <f>'Prior RCE'!M23</f>
        <v>0</v>
      </c>
      <c r="F281" s="257">
        <f>'Prior RCE'!N23</f>
        <v>2347.5833333333344</v>
      </c>
      <c r="G281" s="287"/>
      <c r="H281" s="287"/>
    </row>
    <row r="282" spans="1:8">
      <c r="A282" s="435">
        <f t="shared" si="8"/>
        <v>54</v>
      </c>
      <c r="B282" s="538"/>
      <c r="C282" s="488"/>
      <c r="D282" s="544" t="s">
        <v>1159</v>
      </c>
      <c r="E282" s="257">
        <f>'Prior RCE'!M24</f>
        <v>7447.7175620483786</v>
      </c>
      <c r="F282" s="257">
        <f>'Prior RCE'!N24</f>
        <v>3230.699104618282</v>
      </c>
      <c r="G282" s="287"/>
      <c r="H282" s="287"/>
    </row>
    <row r="283" spans="1:8">
      <c r="A283" s="435">
        <f t="shared" si="8"/>
        <v>55</v>
      </c>
      <c r="B283" s="538"/>
      <c r="C283" s="488"/>
      <c r="D283" s="271" t="s">
        <v>1185</v>
      </c>
      <c r="E283" s="545">
        <f>SUM(E267:E282)</f>
        <v>43402.967254428426</v>
      </c>
      <c r="F283" s="545">
        <f>SUM(F267:F282)</f>
        <v>38231.289155827973</v>
      </c>
      <c r="G283" s="287"/>
      <c r="H283" s="287"/>
    </row>
    <row r="284" spans="1:8">
      <c r="A284" s="246" t="s">
        <v>249</v>
      </c>
      <c r="B284" s="246"/>
      <c r="C284" s="246"/>
      <c r="D284" s="446"/>
      <c r="F284" s="289" t="s">
        <v>84</v>
      </c>
    </row>
    <row r="285" spans="1:8">
      <c r="A285" s="246"/>
      <c r="B285" s="246"/>
      <c r="C285" s="246"/>
      <c r="D285" s="446"/>
      <c r="F285" s="289"/>
    </row>
    <row r="286" spans="1:8">
      <c r="A286" s="246" t="s">
        <v>565</v>
      </c>
      <c r="B286" s="246"/>
      <c r="C286" s="246"/>
      <c r="D286" s="446"/>
      <c r="F286" s="260" t="s">
        <v>250</v>
      </c>
    </row>
    <row r="287" spans="1:8">
      <c r="A287" s="246" t="s">
        <v>705</v>
      </c>
      <c r="B287" s="246"/>
      <c r="C287" s="246"/>
      <c r="D287" s="446"/>
      <c r="F287" s="260" t="s">
        <v>858</v>
      </c>
    </row>
    <row r="288" spans="1:8">
      <c r="A288" s="246" t="s">
        <v>566</v>
      </c>
      <c r="B288" s="246"/>
      <c r="C288" s="246"/>
      <c r="D288" s="446"/>
      <c r="F288" s="260"/>
    </row>
    <row r="289" spans="1:8">
      <c r="A289" s="246" t="s">
        <v>86</v>
      </c>
      <c r="B289" s="272"/>
      <c r="C289" s="272"/>
      <c r="D289" s="446"/>
      <c r="F289" s="260" t="s">
        <v>558</v>
      </c>
    </row>
    <row r="290" spans="1:8">
      <c r="A290" s="272" t="s">
        <v>248</v>
      </c>
      <c r="B290" s="246"/>
      <c r="C290" s="246"/>
      <c r="D290" s="446"/>
      <c r="E290" s="246"/>
      <c r="F290" s="279"/>
    </row>
    <row r="291" spans="1:8">
      <c r="A291" s="272"/>
      <c r="B291" s="246"/>
      <c r="C291" s="246"/>
      <c r="D291" s="446"/>
      <c r="E291" s="246"/>
      <c r="F291" s="279"/>
    </row>
    <row r="292" spans="1:8" ht="11.25" customHeight="1">
      <c r="A292" s="993" t="s">
        <v>297</v>
      </c>
      <c r="B292" s="993"/>
      <c r="C292" s="993"/>
      <c r="D292" s="993"/>
      <c r="E292" s="993"/>
      <c r="F292" s="993"/>
    </row>
    <row r="293" spans="1:8" ht="12.75" thickBot="1">
      <c r="A293" s="273"/>
      <c r="B293" s="273"/>
      <c r="C293" s="273"/>
      <c r="D293" s="455"/>
      <c r="E293" s="273"/>
      <c r="F293" s="433"/>
    </row>
    <row r="294" spans="1:8">
      <c r="A294" s="274" t="s">
        <v>289</v>
      </c>
      <c r="B294" s="274"/>
      <c r="C294" s="274"/>
      <c r="D294" s="446"/>
      <c r="E294" s="246"/>
      <c r="F294" s="456"/>
    </row>
    <row r="295" spans="1:8">
      <c r="A295" s="457" t="s">
        <v>351</v>
      </c>
      <c r="B295" s="457"/>
      <c r="C295" s="457"/>
      <c r="D295" s="458" t="s">
        <v>352</v>
      </c>
      <c r="E295" s="457" t="s">
        <v>251</v>
      </c>
      <c r="F295" s="459" t="s">
        <v>252</v>
      </c>
    </row>
    <row r="296" spans="1:8">
      <c r="A296" s="435">
        <v>1</v>
      </c>
      <c r="B296" s="538"/>
      <c r="C296" s="488" t="s">
        <v>427</v>
      </c>
      <c r="D296" s="276" t="s">
        <v>1204</v>
      </c>
      <c r="E296" s="257"/>
      <c r="G296" s="287"/>
      <c r="H296" s="287"/>
    </row>
    <row r="297" spans="1:8">
      <c r="A297" s="435">
        <f t="shared" si="8"/>
        <v>2</v>
      </c>
      <c r="B297" s="538"/>
      <c r="C297" s="488"/>
      <c r="D297" s="336" t="s">
        <v>579</v>
      </c>
      <c r="E297" s="257">
        <f>ROUND('Prior RCE'!K67,0)</f>
        <v>3887</v>
      </c>
      <c r="F297" s="257">
        <f>ROUND('Prior RCE'!L67,0)</f>
        <v>3568</v>
      </c>
      <c r="G297" s="287"/>
      <c r="H297" s="287"/>
    </row>
    <row r="298" spans="1:8">
      <c r="A298" s="435">
        <f t="shared" si="8"/>
        <v>3</v>
      </c>
      <c r="B298" s="538"/>
      <c r="C298" s="488"/>
      <c r="D298" s="336" t="s">
        <v>577</v>
      </c>
      <c r="E298" s="257">
        <f>ROUND('Prior RCE'!K68,0)</f>
        <v>0</v>
      </c>
      <c r="F298" s="257">
        <f>ROUND('Prior RCE'!L68,0)</f>
        <v>1853</v>
      </c>
      <c r="G298" s="287"/>
      <c r="H298" s="287"/>
    </row>
    <row r="299" spans="1:8">
      <c r="A299" s="435">
        <f t="shared" si="8"/>
        <v>4</v>
      </c>
      <c r="B299" s="538"/>
      <c r="C299" s="488"/>
      <c r="D299" s="336" t="s">
        <v>1207</v>
      </c>
      <c r="E299" s="257">
        <f>ROUND('Prior RCE'!K69,0)</f>
        <v>373</v>
      </c>
      <c r="F299" s="257">
        <f>ROUND('Prior RCE'!L69,0)</f>
        <v>417</v>
      </c>
      <c r="G299" s="287"/>
      <c r="H299" s="287"/>
    </row>
    <row r="300" spans="1:8">
      <c r="A300" s="435">
        <f t="shared" si="8"/>
        <v>5</v>
      </c>
      <c r="B300" s="538"/>
      <c r="C300" s="488"/>
      <c r="D300" s="336" t="s">
        <v>572</v>
      </c>
      <c r="E300" s="257">
        <f>ROUND('Prior RCE'!K70,0)</f>
        <v>-603</v>
      </c>
      <c r="F300" s="257">
        <f>ROUND('Prior RCE'!L70,0)</f>
        <v>-483</v>
      </c>
      <c r="G300" s="287"/>
      <c r="H300" s="287"/>
    </row>
    <row r="301" spans="1:8">
      <c r="A301" s="435">
        <f t="shared" si="8"/>
        <v>6</v>
      </c>
      <c r="B301" s="538"/>
      <c r="C301" s="488"/>
      <c r="D301" s="336" t="s">
        <v>1159</v>
      </c>
      <c r="E301" s="257">
        <f>ROUND(SUM('Prior RCE'!K72:K75),0)</f>
        <v>4060</v>
      </c>
      <c r="F301" s="257">
        <f>ROUND(SUM('Prior RCE'!L72:L75),0)</f>
        <v>1746</v>
      </c>
      <c r="G301" s="287"/>
      <c r="H301" s="287"/>
    </row>
    <row r="302" spans="1:8">
      <c r="A302" s="435">
        <f t="shared" si="8"/>
        <v>7</v>
      </c>
      <c r="B302" s="538"/>
      <c r="C302" s="488"/>
      <c r="D302" s="546" t="s">
        <v>1208</v>
      </c>
      <c r="E302" s="545">
        <f>SUM(E297:E301)</f>
        <v>7717</v>
      </c>
      <c r="F302" s="545">
        <f>SUM(F297:F301)</f>
        <v>7101</v>
      </c>
      <c r="G302" s="287"/>
      <c r="H302" s="287"/>
    </row>
    <row r="303" spans="1:8">
      <c r="A303" s="435">
        <f t="shared" si="8"/>
        <v>8</v>
      </c>
      <c r="B303" s="538"/>
      <c r="C303" s="488"/>
      <c r="D303" s="544"/>
      <c r="E303" s="257"/>
      <c r="G303" s="287"/>
      <c r="H303" s="287"/>
    </row>
    <row r="304" spans="1:8">
      <c r="A304" s="435">
        <f t="shared" si="8"/>
        <v>9</v>
      </c>
      <c r="B304" s="538"/>
      <c r="C304" s="488"/>
      <c r="D304" s="428" t="s">
        <v>1205</v>
      </c>
      <c r="E304" s="845">
        <f>E283+E302</f>
        <v>51119.967254428426</v>
      </c>
      <c r="F304" s="845">
        <f>F283+F302</f>
        <v>45332.289155827973</v>
      </c>
      <c r="G304" s="287"/>
      <c r="H304" s="287"/>
    </row>
    <row r="305" spans="1:9">
      <c r="A305" s="435">
        <f t="shared" si="8"/>
        <v>10</v>
      </c>
      <c r="B305" s="538"/>
      <c r="C305" s="488"/>
      <c r="D305" s="428"/>
      <c r="E305" s="268"/>
      <c r="F305" s="268"/>
      <c r="G305" s="287"/>
      <c r="H305" s="287"/>
    </row>
    <row r="306" spans="1:9">
      <c r="A306" s="435">
        <f t="shared" ref="A306:A314" si="12">A305+1</f>
        <v>11</v>
      </c>
      <c r="B306" s="538"/>
      <c r="C306" s="547" t="s">
        <v>1203</v>
      </c>
      <c r="D306" s="428"/>
      <c r="E306" s="268"/>
      <c r="F306" s="268"/>
      <c r="G306" s="287"/>
      <c r="H306" s="287"/>
    </row>
    <row r="307" spans="1:9">
      <c r="A307" s="435">
        <f t="shared" si="12"/>
        <v>12</v>
      </c>
      <c r="B307" s="538"/>
      <c r="C307" s="488" t="s">
        <v>326</v>
      </c>
      <c r="D307" s="548" t="s">
        <v>1115</v>
      </c>
      <c r="E307" s="257">
        <f>'Working Capital_PerAR'!G83</f>
        <v>2355199.0392857534</v>
      </c>
      <c r="F307" s="257">
        <f>'Working Capital_PerAR'!G84</f>
        <v>3061123.0760236718</v>
      </c>
      <c r="G307" s="287"/>
      <c r="H307" s="287"/>
    </row>
    <row r="308" spans="1:9">
      <c r="A308" s="435">
        <f t="shared" si="12"/>
        <v>13</v>
      </c>
      <c r="C308" s="488" t="s">
        <v>327</v>
      </c>
      <c r="D308" s="242" t="s">
        <v>902</v>
      </c>
      <c r="F308" s="242"/>
      <c r="G308" s="487"/>
      <c r="I308" s="250"/>
    </row>
    <row r="309" spans="1:9">
      <c r="A309" s="435">
        <f t="shared" si="12"/>
        <v>14</v>
      </c>
      <c r="D309" s="336" t="s">
        <v>903</v>
      </c>
      <c r="F309" s="257" t="e">
        <f>+'PF Adds'!#REF!</f>
        <v>#REF!</v>
      </c>
      <c r="G309" s="287"/>
      <c r="H309" s="287"/>
      <c r="I309" s="250"/>
    </row>
    <row r="310" spans="1:9">
      <c r="A310" s="435">
        <f t="shared" si="12"/>
        <v>15</v>
      </c>
      <c r="D310" s="336" t="s">
        <v>1218</v>
      </c>
      <c r="F310" s="257" t="e">
        <f>+'PF Adds'!#REF!+'PF Adds'!#REF!</f>
        <v>#REF!</v>
      </c>
      <c r="G310" s="287"/>
      <c r="H310" s="287"/>
    </row>
    <row r="311" spans="1:9">
      <c r="A311" s="435">
        <f t="shared" si="12"/>
        <v>16</v>
      </c>
      <c r="D311" s="336" t="s">
        <v>1229</v>
      </c>
      <c r="E311" s="549"/>
      <c r="F311" s="540" t="e">
        <f>'PF Adds'!#REF!*0.9</f>
        <v>#REF!</v>
      </c>
      <c r="G311" s="287"/>
      <c r="H311" s="287"/>
    </row>
    <row r="312" spans="1:9">
      <c r="A312" s="435">
        <f t="shared" si="12"/>
        <v>17</v>
      </c>
      <c r="D312" s="551" t="s">
        <v>1206</v>
      </c>
      <c r="E312" s="846">
        <f>SUM(E307:E310)</f>
        <v>2355199.0392857534</v>
      </c>
      <c r="F312" s="846" t="e">
        <f>SUM(F307:F310)</f>
        <v>#REF!</v>
      </c>
      <c r="G312" s="287"/>
    </row>
    <row r="313" spans="1:9">
      <c r="A313" s="435">
        <f t="shared" si="12"/>
        <v>18</v>
      </c>
      <c r="D313" s="550"/>
      <c r="G313" s="287"/>
    </row>
    <row r="314" spans="1:9" ht="12.75" thickBot="1">
      <c r="A314" s="435">
        <f t="shared" si="12"/>
        <v>19</v>
      </c>
      <c r="D314" s="551" t="s">
        <v>904</v>
      </c>
      <c r="E314" s="533">
        <f>E262+E304+E312</f>
        <v>4151131.9625424547</v>
      </c>
      <c r="F314" s="533" t="e">
        <f>F262+F304+F312</f>
        <v>#REF!</v>
      </c>
      <c r="G314" s="287"/>
    </row>
    <row r="315" spans="1:9" ht="12.75" thickTop="1">
      <c r="D315" s="242"/>
      <c r="F315" s="242"/>
      <c r="G315" s="287"/>
    </row>
    <row r="316" spans="1:9">
      <c r="D316" s="242"/>
      <c r="F316" s="242"/>
    </row>
    <row r="317" spans="1:9">
      <c r="D317" s="242"/>
      <c r="F317" s="242"/>
      <c r="G317" s="287"/>
      <c r="H317" s="287"/>
    </row>
    <row r="318" spans="1:9">
      <c r="A318" s="276"/>
      <c r="D318" s="242"/>
      <c r="F318" s="242"/>
      <c r="G318" s="287"/>
    </row>
    <row r="319" spans="1:9">
      <c r="A319" s="276"/>
      <c r="D319" s="242"/>
      <c r="F319" s="242"/>
      <c r="G319" s="287"/>
    </row>
  </sheetData>
  <mergeCells count="6">
    <mergeCell ref="A292:F292"/>
    <mergeCell ref="A155:F155"/>
    <mergeCell ref="A225:F225"/>
    <mergeCell ref="A9:F9"/>
    <mergeCell ref="H89:T89"/>
    <mergeCell ref="A82:F82"/>
  </mergeCells>
  <phoneticPr fontId="41" type="noConversion"/>
  <printOptions horizontalCentered="1"/>
  <pageMargins left="0.5" right="0.25" top="0.5" bottom="0.25" header="0.05" footer="0.05"/>
  <pageSetup scale="84" fitToHeight="4" orientation="portrait" r:id="rId1"/>
  <rowBreaks count="4" manualBreakCount="4">
    <brk id="73" max="5" man="1"/>
    <brk id="146" max="5" man="1"/>
    <brk id="216" max="5" man="1"/>
    <brk id="28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H51"/>
  <sheetViews>
    <sheetView tabSelected="1" view="pageBreakPreview" zoomScale="60" zoomScaleNormal="100" workbookViewId="0">
      <selection activeCell="F13" sqref="F13"/>
    </sheetView>
  </sheetViews>
  <sheetFormatPr defaultColWidth="9.28515625" defaultRowHeight="15"/>
  <cols>
    <col min="1" max="1" width="12" style="195" customWidth="1" collapsed="1"/>
    <col min="2" max="2" width="45.42578125" style="191" customWidth="1"/>
    <col min="3" max="3" width="9" style="195" hidden="1" customWidth="1"/>
    <col min="4" max="4" width="14.28515625" style="195" customWidth="1"/>
    <col min="5" max="5" width="20.7109375" style="195" customWidth="1"/>
    <col min="6" max="6" width="10.7109375" style="195" customWidth="1"/>
    <col min="7" max="7" width="19.85546875" style="196" customWidth="1"/>
    <col min="8" max="16384" width="9.28515625" style="191"/>
  </cols>
  <sheetData>
    <row r="1" spans="1:8" ht="15.75">
      <c r="A1" s="975"/>
      <c r="B1" s="975"/>
      <c r="C1" s="975"/>
      <c r="D1" s="975"/>
      <c r="E1" s="975"/>
      <c r="F1" s="975"/>
      <c r="G1" s="975"/>
      <c r="H1" s="975"/>
    </row>
    <row r="2" spans="1:8" ht="19.5" customHeight="1">
      <c r="A2" s="975"/>
      <c r="B2" s="975"/>
      <c r="C2" s="975"/>
      <c r="D2" s="975"/>
      <c r="E2" s="975"/>
      <c r="F2" s="976" t="s">
        <v>1238</v>
      </c>
      <c r="G2" s="975"/>
      <c r="H2" s="975"/>
    </row>
    <row r="3" spans="1:8" ht="19.5" customHeight="1">
      <c r="A3" s="975"/>
      <c r="B3" s="975"/>
      <c r="C3" s="975"/>
      <c r="D3" s="975"/>
      <c r="E3" s="975"/>
      <c r="F3" s="976" t="s">
        <v>1239</v>
      </c>
      <c r="G3" s="975"/>
      <c r="H3" s="975"/>
    </row>
    <row r="4" spans="1:8" ht="19.5" customHeight="1">
      <c r="A4" s="975"/>
      <c r="B4" s="977"/>
      <c r="C4" s="975"/>
      <c r="D4" s="975"/>
      <c r="E4" s="975"/>
      <c r="F4" s="976" t="s">
        <v>150</v>
      </c>
      <c r="G4" s="978"/>
      <c r="H4" s="977"/>
    </row>
    <row r="5" spans="1:8" ht="19.5" customHeight="1">
      <c r="A5" s="975"/>
      <c r="B5" s="977"/>
      <c r="C5" s="975"/>
      <c r="D5" s="975"/>
      <c r="E5" s="975"/>
      <c r="F5" s="976"/>
      <c r="G5" s="978"/>
      <c r="H5" s="977"/>
    </row>
    <row r="6" spans="1:8" ht="19.5" customHeight="1">
      <c r="A6" s="975"/>
      <c r="B6" s="977"/>
      <c r="C6" s="975"/>
      <c r="D6" s="975"/>
      <c r="E6" s="975"/>
      <c r="F6" s="976"/>
      <c r="G6" s="978"/>
      <c r="H6" s="977"/>
    </row>
    <row r="7" spans="1:8" ht="19.5" customHeight="1">
      <c r="A7" s="975"/>
      <c r="B7" s="977"/>
      <c r="C7" s="975"/>
      <c r="D7" s="975"/>
      <c r="E7" s="975"/>
      <c r="F7" s="976"/>
      <c r="G7" s="978"/>
      <c r="H7" s="977"/>
    </row>
    <row r="8" spans="1:8" ht="19.5" customHeight="1">
      <c r="A8" s="974" t="s">
        <v>1241</v>
      </c>
      <c r="B8" s="979"/>
      <c r="C8" s="979"/>
      <c r="D8" s="979"/>
      <c r="E8" s="979"/>
      <c r="F8" s="979"/>
      <c r="G8" s="980"/>
      <c r="H8" s="979"/>
    </row>
    <row r="9" spans="1:8" ht="19.5" customHeight="1">
      <c r="A9" s="974" t="s">
        <v>1242</v>
      </c>
      <c r="B9" s="979"/>
      <c r="C9" s="979"/>
      <c r="D9" s="979"/>
      <c r="E9" s="979"/>
      <c r="F9" s="979"/>
      <c r="G9" s="980"/>
      <c r="H9" s="979"/>
    </row>
    <row r="10" spans="1:8" ht="19.5" customHeight="1">
      <c r="A10" s="975"/>
      <c r="B10" s="977"/>
      <c r="C10" s="975"/>
      <c r="D10" s="975"/>
      <c r="E10" s="975"/>
      <c r="F10" s="976"/>
      <c r="G10" s="978"/>
      <c r="H10" s="977"/>
    </row>
    <row r="11" spans="1:8" ht="19.5" customHeight="1">
      <c r="A11" s="975"/>
      <c r="B11" s="977"/>
      <c r="C11" s="975"/>
      <c r="D11" s="975"/>
      <c r="E11" s="975"/>
      <c r="F11" s="976"/>
      <c r="G11" s="978"/>
      <c r="H11" s="977"/>
    </row>
    <row r="12" spans="1:8" ht="19.5" customHeight="1">
      <c r="A12" s="975"/>
      <c r="B12" s="977"/>
      <c r="C12" s="975"/>
      <c r="D12" s="975"/>
      <c r="E12" s="975"/>
      <c r="F12" s="975"/>
      <c r="G12" s="978"/>
      <c r="H12" s="977"/>
    </row>
    <row r="13" spans="1:8" ht="54.75" customHeight="1">
      <c r="A13" s="981" t="s">
        <v>1240</v>
      </c>
      <c r="B13" s="982" t="s">
        <v>963</v>
      </c>
      <c r="C13" s="982" t="s">
        <v>962</v>
      </c>
      <c r="D13" s="982" t="s">
        <v>1024</v>
      </c>
      <c r="E13" s="982" t="s">
        <v>958</v>
      </c>
      <c r="F13" s="981" t="s">
        <v>1243</v>
      </c>
      <c r="G13" s="983" t="s">
        <v>1017</v>
      </c>
      <c r="H13" s="977"/>
    </row>
    <row r="14" spans="1:8" ht="20.100000000000001" customHeight="1">
      <c r="A14" s="975">
        <v>13</v>
      </c>
      <c r="B14" s="977" t="s">
        <v>987</v>
      </c>
      <c r="C14" s="975">
        <v>251</v>
      </c>
      <c r="D14" s="975" t="s">
        <v>931</v>
      </c>
      <c r="E14" s="975" t="s">
        <v>571</v>
      </c>
      <c r="F14" s="984" t="s">
        <v>7</v>
      </c>
      <c r="G14" s="985">
        <v>380000</v>
      </c>
      <c r="H14" s="977"/>
    </row>
    <row r="15" spans="1:8" ht="20.100000000000001" customHeight="1">
      <c r="A15" s="975">
        <v>14</v>
      </c>
      <c r="B15" s="977" t="s">
        <v>1235</v>
      </c>
      <c r="C15" s="975"/>
      <c r="D15" s="975" t="s">
        <v>513</v>
      </c>
      <c r="E15" s="975" t="s">
        <v>934</v>
      </c>
      <c r="F15" s="984" t="s">
        <v>7</v>
      </c>
      <c r="G15" s="986">
        <v>2103578</v>
      </c>
      <c r="H15" s="977"/>
    </row>
    <row r="16" spans="1:8" ht="20.100000000000001" customHeight="1">
      <c r="A16" s="975">
        <v>16</v>
      </c>
      <c r="B16" s="977" t="s">
        <v>992</v>
      </c>
      <c r="C16" s="975">
        <v>250</v>
      </c>
      <c r="D16" s="975" t="s">
        <v>513</v>
      </c>
      <c r="E16" s="975" t="s">
        <v>934</v>
      </c>
      <c r="F16" s="984" t="s">
        <v>7</v>
      </c>
      <c r="G16" s="985">
        <v>700027</v>
      </c>
      <c r="H16" s="977"/>
    </row>
    <row r="17" spans="1:8" ht="20.100000000000001" customHeight="1">
      <c r="A17" s="975">
        <v>17</v>
      </c>
      <c r="B17" s="977" t="s">
        <v>935</v>
      </c>
      <c r="C17" s="975">
        <v>250</v>
      </c>
      <c r="D17" s="975" t="s">
        <v>513</v>
      </c>
      <c r="E17" s="975" t="s">
        <v>934</v>
      </c>
      <c r="F17" s="984" t="s">
        <v>7</v>
      </c>
      <c r="G17" s="985">
        <v>2424782</v>
      </c>
      <c r="H17" s="977"/>
    </row>
    <row r="18" spans="1:8" ht="20.100000000000001" customHeight="1">
      <c r="A18" s="975">
        <v>18</v>
      </c>
      <c r="B18" s="977" t="s">
        <v>937</v>
      </c>
      <c r="C18" s="975">
        <v>250</v>
      </c>
      <c r="D18" s="975" t="s">
        <v>513</v>
      </c>
      <c r="E18" s="975" t="s">
        <v>934</v>
      </c>
      <c r="F18" s="984" t="s">
        <v>7</v>
      </c>
      <c r="G18" s="985">
        <v>55750</v>
      </c>
      <c r="H18" s="977"/>
    </row>
    <row r="19" spans="1:8" ht="20.100000000000001" customHeight="1">
      <c r="A19" s="975">
        <v>20</v>
      </c>
      <c r="B19" s="977" t="s">
        <v>1212</v>
      </c>
      <c r="C19" s="975">
        <v>256</v>
      </c>
      <c r="D19" s="975" t="s">
        <v>978</v>
      </c>
      <c r="E19" s="975" t="s">
        <v>581</v>
      </c>
      <c r="F19" s="984" t="s">
        <v>7</v>
      </c>
      <c r="G19" s="987">
        <v>127907</v>
      </c>
      <c r="H19" s="977"/>
    </row>
    <row r="20" spans="1:8" ht="20.100000000000001" customHeight="1">
      <c r="A20" s="975">
        <v>23</v>
      </c>
      <c r="B20" s="977" t="s">
        <v>936</v>
      </c>
      <c r="C20" s="975">
        <v>255</v>
      </c>
      <c r="D20" s="975" t="s">
        <v>514</v>
      </c>
      <c r="E20" s="975" t="s">
        <v>580</v>
      </c>
      <c r="F20" s="984" t="s">
        <v>7</v>
      </c>
      <c r="G20" s="985">
        <v>2479877</v>
      </c>
      <c r="H20" s="977"/>
    </row>
    <row r="21" spans="1:8" ht="20.100000000000001" customHeight="1">
      <c r="A21" s="975">
        <v>28</v>
      </c>
      <c r="B21" s="977" t="s">
        <v>928</v>
      </c>
      <c r="C21" s="975">
        <v>255</v>
      </c>
      <c r="D21" s="975" t="s">
        <v>514</v>
      </c>
      <c r="E21" s="975" t="s">
        <v>580</v>
      </c>
      <c r="F21" s="984" t="s">
        <v>251</v>
      </c>
      <c r="G21" s="985">
        <v>444026</v>
      </c>
      <c r="H21" s="977"/>
    </row>
    <row r="22" spans="1:8" ht="20.100000000000001" customHeight="1">
      <c r="A22" s="975">
        <v>29</v>
      </c>
      <c r="B22" s="988" t="s">
        <v>941</v>
      </c>
      <c r="C22" s="975">
        <v>255</v>
      </c>
      <c r="D22" s="975" t="s">
        <v>514</v>
      </c>
      <c r="E22" s="975" t="s">
        <v>580</v>
      </c>
      <c r="F22" s="984" t="s">
        <v>7</v>
      </c>
      <c r="G22" s="985">
        <v>510040</v>
      </c>
      <c r="H22" s="977"/>
    </row>
    <row r="23" spans="1:8" ht="20.100000000000001" customHeight="1">
      <c r="A23" s="975">
        <v>31</v>
      </c>
      <c r="B23" s="988" t="s">
        <v>1236</v>
      </c>
      <c r="C23" s="975"/>
      <c r="D23" s="975" t="s">
        <v>514</v>
      </c>
      <c r="E23" s="975" t="s">
        <v>580</v>
      </c>
      <c r="F23" s="984" t="s">
        <v>251</v>
      </c>
      <c r="G23" s="985">
        <v>145919</v>
      </c>
      <c r="H23" s="977"/>
    </row>
    <row r="24" spans="1:8" ht="20.100000000000001" customHeight="1">
      <c r="A24" s="975">
        <v>33</v>
      </c>
      <c r="B24" s="977" t="s">
        <v>927</v>
      </c>
      <c r="C24" s="975">
        <v>241</v>
      </c>
      <c r="D24" s="975" t="s">
        <v>513</v>
      </c>
      <c r="E24" s="975" t="s">
        <v>926</v>
      </c>
      <c r="F24" s="984" t="s">
        <v>7</v>
      </c>
      <c r="G24" s="985">
        <v>503130</v>
      </c>
      <c r="H24" s="977"/>
    </row>
    <row r="25" spans="1:8" ht="15.75">
      <c r="A25" s="975"/>
      <c r="B25" s="977"/>
      <c r="C25" s="975"/>
      <c r="D25" s="975"/>
      <c r="E25" s="975"/>
      <c r="F25" s="975"/>
      <c r="G25" s="978"/>
      <c r="H25" s="977"/>
    </row>
    <row r="26" spans="1:8" ht="20.100000000000001" customHeight="1">
      <c r="A26" s="989"/>
      <c r="B26" s="990"/>
      <c r="C26" s="975"/>
      <c r="D26" s="975"/>
      <c r="E26" s="975"/>
      <c r="F26" s="984"/>
      <c r="G26" s="991"/>
      <c r="H26" s="977"/>
    </row>
    <row r="27" spans="1:8" ht="20.100000000000001" customHeight="1">
      <c r="A27" s="989"/>
      <c r="B27" s="990"/>
      <c r="C27" s="975"/>
      <c r="D27" s="975"/>
      <c r="E27" s="975"/>
      <c r="F27" s="984"/>
      <c r="G27" s="991">
        <f>SUM(G14:G24)</f>
        <v>9875036</v>
      </c>
      <c r="H27" s="977"/>
    </row>
    <row r="28" spans="1:8" ht="20.100000000000001" customHeight="1">
      <c r="A28" s="975"/>
      <c r="B28" s="977"/>
      <c r="C28" s="975"/>
      <c r="D28" s="975"/>
      <c r="E28" s="975"/>
      <c r="F28" s="984"/>
      <c r="G28" s="992"/>
      <c r="H28" s="977"/>
    </row>
    <row r="29" spans="1:8" ht="20.100000000000001" customHeight="1">
      <c r="A29" s="975"/>
      <c r="B29" s="977"/>
      <c r="C29" s="975"/>
      <c r="D29" s="975"/>
      <c r="E29" s="975"/>
      <c r="F29" s="984"/>
      <c r="G29" s="991"/>
      <c r="H29" s="977"/>
    </row>
    <row r="30" spans="1:8" ht="20.100000000000001" customHeight="1">
      <c r="A30" s="975"/>
      <c r="B30" s="977"/>
      <c r="C30" s="975"/>
      <c r="D30" s="975"/>
      <c r="E30" s="975"/>
      <c r="F30" s="984"/>
      <c r="G30" s="991"/>
      <c r="H30" s="977"/>
    </row>
    <row r="31" spans="1:8" ht="20.100000000000001" customHeight="1">
      <c r="A31" s="975"/>
      <c r="B31" s="977"/>
      <c r="C31" s="975"/>
      <c r="D31" s="975"/>
      <c r="E31" s="975"/>
      <c r="F31" s="984"/>
      <c r="G31" s="991"/>
      <c r="H31" s="977"/>
    </row>
    <row r="32" spans="1:8" ht="20.100000000000001" customHeight="1">
      <c r="A32" s="975"/>
      <c r="B32" s="977"/>
      <c r="C32" s="975"/>
      <c r="D32" s="975"/>
      <c r="E32" s="975"/>
      <c r="F32" s="984"/>
      <c r="G32" s="991"/>
      <c r="H32" s="977"/>
    </row>
    <row r="33" spans="1:8" ht="20.100000000000001" customHeight="1">
      <c r="A33" s="975"/>
      <c r="B33" s="977"/>
      <c r="C33" s="975"/>
      <c r="D33" s="975"/>
      <c r="E33" s="975"/>
      <c r="F33" s="984"/>
      <c r="G33" s="991"/>
      <c r="H33" s="977"/>
    </row>
    <row r="34" spans="1:8" ht="20.100000000000001" customHeight="1">
      <c r="A34" s="975"/>
      <c r="B34" s="977"/>
      <c r="C34" s="975"/>
      <c r="D34" s="975"/>
      <c r="E34" s="975"/>
      <c r="F34" s="984"/>
      <c r="G34" s="991"/>
      <c r="H34" s="977"/>
    </row>
    <row r="35" spans="1:8" ht="20.100000000000001" customHeight="1">
      <c r="A35" s="975"/>
      <c r="B35" s="977"/>
      <c r="C35" s="975"/>
      <c r="D35" s="975"/>
      <c r="E35" s="975"/>
      <c r="F35" s="984"/>
      <c r="G35" s="991"/>
      <c r="H35" s="977"/>
    </row>
    <row r="36" spans="1:8" ht="15.75">
      <c r="A36" s="976" t="s">
        <v>1237</v>
      </c>
      <c r="B36" s="977"/>
      <c r="C36" s="975"/>
      <c r="D36" s="975"/>
      <c r="E36" s="975"/>
      <c r="F36" s="975"/>
      <c r="G36" s="978"/>
      <c r="H36" s="977"/>
    </row>
    <row r="37" spans="1:8" ht="20.100000000000001" customHeight="1">
      <c r="A37" s="975"/>
      <c r="B37" s="977"/>
      <c r="C37" s="975"/>
      <c r="D37" s="975"/>
      <c r="E37" s="975"/>
      <c r="F37" s="984"/>
      <c r="G37" s="991"/>
      <c r="H37" s="977"/>
    </row>
    <row r="38" spans="1:8" ht="20.100000000000001" customHeight="1">
      <c r="A38" s="172">
        <v>1</v>
      </c>
      <c r="B38" s="175" t="s">
        <v>918</v>
      </c>
      <c r="C38" s="172">
        <v>248</v>
      </c>
      <c r="D38" s="172" t="s">
        <v>977</v>
      </c>
      <c r="E38" s="172" t="s">
        <v>579</v>
      </c>
      <c r="F38" s="174" t="s">
        <v>251</v>
      </c>
      <c r="G38" s="968">
        <v>50000</v>
      </c>
    </row>
    <row r="39" spans="1:8" ht="20.100000000000001" customHeight="1">
      <c r="A39" s="172">
        <v>1</v>
      </c>
      <c r="B39" s="175" t="s">
        <v>920</v>
      </c>
      <c r="C39" s="172">
        <v>252</v>
      </c>
      <c r="D39" s="172" t="s">
        <v>512</v>
      </c>
      <c r="E39" s="172" t="s">
        <v>970</v>
      </c>
      <c r="F39" s="174" t="s">
        <v>7</v>
      </c>
      <c r="G39" s="968">
        <v>27481.05</v>
      </c>
    </row>
    <row r="40" spans="1:8" ht="20.100000000000001" customHeight="1">
      <c r="A40" s="965">
        <v>1</v>
      </c>
      <c r="B40" s="964" t="s">
        <v>917</v>
      </c>
      <c r="C40" s="965">
        <v>259</v>
      </c>
      <c r="D40" s="965" t="s">
        <v>512</v>
      </c>
      <c r="E40" s="965" t="s">
        <v>576</v>
      </c>
      <c r="F40" s="966" t="s">
        <v>7</v>
      </c>
      <c r="G40" s="967">
        <v>40636.06</v>
      </c>
    </row>
    <row r="41" spans="1:8" ht="20.100000000000001" customHeight="1">
      <c r="A41" s="172">
        <v>1</v>
      </c>
      <c r="B41" s="175" t="s">
        <v>918</v>
      </c>
      <c r="C41" s="172">
        <v>256</v>
      </c>
      <c r="D41" s="172" t="s">
        <v>978</v>
      </c>
      <c r="E41" s="172" t="s">
        <v>581</v>
      </c>
      <c r="F41" s="174" t="s">
        <v>251</v>
      </c>
      <c r="G41" s="968">
        <v>61846.544999999998</v>
      </c>
      <c r="H41" s="164"/>
    </row>
    <row r="42" spans="1:8" s="963" customFormat="1" ht="20.100000000000001" customHeight="1">
      <c r="A42" s="970">
        <v>1</v>
      </c>
      <c r="B42" s="969" t="s">
        <v>994</v>
      </c>
      <c r="C42" s="970">
        <v>255</v>
      </c>
      <c r="D42" s="970" t="s">
        <v>514</v>
      </c>
      <c r="E42" s="970" t="s">
        <v>580</v>
      </c>
      <c r="F42" s="971" t="s">
        <v>7</v>
      </c>
      <c r="G42" s="972">
        <v>194500</v>
      </c>
    </row>
    <row r="43" spans="1:8" s="963" customFormat="1" ht="20.100000000000001" customHeight="1">
      <c r="A43" s="970">
        <v>2019088</v>
      </c>
      <c r="B43" s="969" t="s">
        <v>915</v>
      </c>
      <c r="C43" s="970">
        <v>255</v>
      </c>
      <c r="D43" s="970" t="s">
        <v>514</v>
      </c>
      <c r="E43" s="970" t="s">
        <v>580</v>
      </c>
      <c r="F43" s="971" t="s">
        <v>7</v>
      </c>
      <c r="G43" s="972">
        <v>83500</v>
      </c>
    </row>
    <row r="44" spans="1:8" ht="20.100000000000001" customHeight="1">
      <c r="A44" s="172">
        <v>2019174</v>
      </c>
      <c r="B44" s="175" t="s">
        <v>919</v>
      </c>
      <c r="C44" s="172">
        <v>252</v>
      </c>
      <c r="D44" s="172" t="s">
        <v>512</v>
      </c>
      <c r="E44" s="172" t="s">
        <v>970</v>
      </c>
      <c r="F44" s="174" t="s">
        <v>251</v>
      </c>
      <c r="G44" s="973">
        <v>52000</v>
      </c>
    </row>
    <row r="45" spans="1:8" ht="20.100000000000001" customHeight="1">
      <c r="A45" s="970">
        <v>1</v>
      </c>
      <c r="B45" s="969" t="s">
        <v>946</v>
      </c>
      <c r="C45" s="970">
        <v>252</v>
      </c>
      <c r="D45" s="970" t="s">
        <v>514</v>
      </c>
      <c r="E45" s="970" t="s">
        <v>945</v>
      </c>
      <c r="F45" s="971" t="s">
        <v>251</v>
      </c>
      <c r="G45" s="972">
        <v>22000</v>
      </c>
    </row>
    <row r="46" spans="1:8" ht="20.100000000000001" customHeight="1">
      <c r="B46" s="209" t="s">
        <v>975</v>
      </c>
      <c r="F46" s="202"/>
    </row>
    <row r="47" spans="1:8" ht="20.100000000000001" customHeight="1">
      <c r="B47" s="209"/>
      <c r="F47" s="210"/>
      <c r="G47" s="211">
        <f>SUM(G38:G45)</f>
        <v>531963.65500000003</v>
      </c>
    </row>
    <row r="48" spans="1:8" ht="20.100000000000001" customHeight="1">
      <c r="F48" s="202"/>
      <c r="G48" s="194"/>
    </row>
    <row r="49" spans="1:7" ht="20.100000000000001" customHeight="1">
      <c r="A49" s="212"/>
      <c r="B49" s="197"/>
      <c r="C49" s="212"/>
      <c r="D49" s="212"/>
      <c r="E49" s="212"/>
      <c r="F49" s="213"/>
      <c r="G49" s="193">
        <f>+G47+G27</f>
        <v>10406999.654999999</v>
      </c>
    </row>
    <row r="50" spans="1:7" ht="20.100000000000001" customHeight="1">
      <c r="F50" s="202"/>
      <c r="G50" s="211"/>
    </row>
    <row r="51" spans="1:7" ht="20.100000000000001" customHeight="1">
      <c r="F51" s="202"/>
      <c r="G51" s="211">
        <f>+G40+G42+G43+G45</f>
        <v>340636.06</v>
      </c>
    </row>
  </sheetData>
  <pageMargins left="0.7" right="0.7" top="0.75" bottom="0.75" header="0.3" footer="0.3"/>
  <pageSetup scale="6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X53"/>
  <sheetViews>
    <sheetView topLeftCell="A34" workbookViewId="0">
      <selection activeCell="H5" sqref="H5"/>
    </sheetView>
  </sheetViews>
  <sheetFormatPr defaultColWidth="9.28515625" defaultRowHeight="15"/>
  <cols>
    <col min="1" max="1" width="3.28515625" style="191" bestFit="1" customWidth="1"/>
    <col min="2" max="2" width="12" style="191" customWidth="1" collapsed="1"/>
    <col min="3" max="3" width="45.42578125" style="191" customWidth="1"/>
    <col min="4" max="4" width="9" style="195" hidden="1" customWidth="1"/>
    <col min="5" max="5" width="9" style="195" customWidth="1"/>
    <col min="6" max="6" width="14.28515625" style="191" customWidth="1"/>
    <col min="7" max="7" width="8.5703125" style="195" customWidth="1"/>
    <col min="8" max="9" width="16.28515625" style="196" customWidth="1"/>
    <col min="10" max="10" width="14" style="195" customWidth="1"/>
    <col min="11" max="11" width="12.28515625" style="191" customWidth="1"/>
    <col min="12" max="12" width="0" style="191" hidden="1" customWidth="1"/>
    <col min="13" max="13" width="2.5703125" style="191" hidden="1" customWidth="1"/>
    <col min="14" max="14" width="12.7109375" style="191" hidden="1" customWidth="1"/>
    <col min="15" max="15" width="10" style="191" bestFit="1" customWidth="1"/>
    <col min="16" max="16" width="11" style="191" hidden="1" customWidth="1"/>
    <col min="17" max="17" width="5.28515625" style="191" hidden="1" customWidth="1"/>
    <col min="18" max="18" width="12.5703125" style="191" hidden="1" customWidth="1"/>
    <col min="19" max="19" width="12.42578125" style="191" hidden="1" customWidth="1"/>
    <col min="20" max="20" width="2.7109375" style="191" hidden="1" customWidth="1"/>
    <col min="21" max="21" width="0" style="191" hidden="1" customWidth="1"/>
    <col min="22" max="22" width="10.28515625" style="191" bestFit="1" customWidth="1"/>
    <col min="23" max="23" width="9.5703125" style="191" bestFit="1" customWidth="1"/>
    <col min="24" max="24" width="12.5703125" style="197" bestFit="1" customWidth="1"/>
    <col min="25" max="16384" width="9.28515625" style="191"/>
  </cols>
  <sheetData>
    <row r="1" spans="1:24" ht="20.100000000000001" customHeight="1">
      <c r="B1" s="191" t="s">
        <v>1022</v>
      </c>
      <c r="F1" s="191" t="s">
        <v>1021</v>
      </c>
    </row>
    <row r="2" spans="1:24" ht="19.5" customHeight="1">
      <c r="K2" s="198" t="s">
        <v>1020</v>
      </c>
      <c r="L2" s="198"/>
      <c r="N2" s="191" t="s">
        <v>1019</v>
      </c>
      <c r="O2" s="198" t="s">
        <v>731</v>
      </c>
      <c r="P2" s="198"/>
      <c r="R2" s="195" t="s">
        <v>803</v>
      </c>
      <c r="S2" s="195" t="s">
        <v>1018</v>
      </c>
      <c r="T2" s="191" t="s">
        <v>582</v>
      </c>
    </row>
    <row r="3" spans="1:24" ht="20.100000000000001" customHeight="1">
      <c r="B3" s="199" t="s">
        <v>964</v>
      </c>
      <c r="C3" s="199" t="s">
        <v>963</v>
      </c>
      <c r="D3" s="200" t="s">
        <v>962</v>
      </c>
      <c r="E3" s="200" t="s">
        <v>1024</v>
      </c>
      <c r="F3" s="199" t="s">
        <v>958</v>
      </c>
      <c r="G3" s="200" t="s">
        <v>958</v>
      </c>
      <c r="H3" s="201" t="s">
        <v>1017</v>
      </c>
      <c r="I3" s="201" t="s">
        <v>853</v>
      </c>
      <c r="J3" s="200" t="s">
        <v>472</v>
      </c>
      <c r="K3" s="200" t="s">
        <v>1015</v>
      </c>
      <c r="L3" s="200" t="s">
        <v>656</v>
      </c>
      <c r="M3" s="199"/>
      <c r="N3" s="200" t="s">
        <v>737</v>
      </c>
      <c r="O3" s="200" t="s">
        <v>1015</v>
      </c>
      <c r="P3" s="200" t="s">
        <v>656</v>
      </c>
      <c r="Q3" s="199"/>
      <c r="R3" s="200" t="s">
        <v>423</v>
      </c>
      <c r="S3" s="200" t="s">
        <v>277</v>
      </c>
      <c r="U3" s="195" t="s">
        <v>1014</v>
      </c>
      <c r="V3" s="191" t="s">
        <v>1013</v>
      </c>
      <c r="W3" s="191" t="s">
        <v>1012</v>
      </c>
      <c r="X3" s="197" t="s">
        <v>853</v>
      </c>
    </row>
    <row r="4" spans="1:24" ht="20.100000000000001" customHeight="1">
      <c r="A4" s="197" t="s">
        <v>1010</v>
      </c>
      <c r="H4" s="215"/>
      <c r="I4" s="215"/>
      <c r="K4" s="195"/>
      <c r="L4" s="195"/>
      <c r="N4" s="194"/>
      <c r="O4" s="195"/>
      <c r="P4" s="195"/>
      <c r="R4" s="195"/>
      <c r="S4" s="195"/>
    </row>
    <row r="5" spans="1:24" ht="20.100000000000001" customHeight="1">
      <c r="A5" s="191">
        <v>21</v>
      </c>
      <c r="B5" s="191">
        <v>1</v>
      </c>
      <c r="C5" s="191" t="s">
        <v>956</v>
      </c>
      <c r="D5" s="195">
        <v>255</v>
      </c>
      <c r="E5" s="195" t="s">
        <v>514</v>
      </c>
      <c r="F5" s="191" t="s">
        <v>580</v>
      </c>
      <c r="G5" s="202" t="s">
        <v>251</v>
      </c>
      <c r="H5" s="194" t="e">
        <f>+'PF Adds'!#REF!</f>
        <v>#REF!</v>
      </c>
      <c r="I5" s="194">
        <v>36560.185185185182</v>
      </c>
      <c r="J5" s="195">
        <v>307.2</v>
      </c>
      <c r="K5" s="195">
        <v>30</v>
      </c>
      <c r="L5" s="195">
        <v>25</v>
      </c>
      <c r="N5" s="194">
        <v>1218.67</v>
      </c>
      <c r="O5" s="194">
        <v>1218.67</v>
      </c>
      <c r="P5" s="194">
        <v>1462.41</v>
      </c>
      <c r="R5" s="203">
        <v>0.25345000000000001</v>
      </c>
      <c r="S5" s="194">
        <v>243.74</v>
      </c>
      <c r="U5" s="191">
        <v>1080</v>
      </c>
      <c r="V5" s="191">
        <v>486</v>
      </c>
      <c r="W5" s="204">
        <v>238.5</v>
      </c>
      <c r="X5" s="205">
        <v>36560.185185185182</v>
      </c>
    </row>
    <row r="6" spans="1:24" ht="20.100000000000001" customHeight="1">
      <c r="A6" s="191">
        <v>38</v>
      </c>
      <c r="B6" s="191">
        <v>2020041</v>
      </c>
      <c r="C6" s="191" t="s">
        <v>955</v>
      </c>
      <c r="D6" s="195">
        <v>252</v>
      </c>
      <c r="E6" s="195" t="s">
        <v>512</v>
      </c>
      <c r="F6" s="191" t="s">
        <v>954</v>
      </c>
      <c r="G6" s="202" t="s">
        <v>251</v>
      </c>
      <c r="H6" s="194" t="e">
        <f>+'PF Adds'!#REF!</f>
        <v>#REF!</v>
      </c>
      <c r="I6" s="194">
        <v>46408.370370370372</v>
      </c>
      <c r="J6" s="195">
        <v>307.2</v>
      </c>
      <c r="K6" s="195">
        <v>30</v>
      </c>
      <c r="L6" s="195">
        <v>25</v>
      </c>
      <c r="N6" s="194">
        <v>1546.95</v>
      </c>
      <c r="O6" s="194">
        <v>1546.95</v>
      </c>
      <c r="P6" s="194">
        <v>1856.33</v>
      </c>
      <c r="R6" s="203">
        <v>0.25345000000000001</v>
      </c>
      <c r="S6" s="194">
        <v>309.37999999999988</v>
      </c>
      <c r="U6" s="191">
        <v>1080</v>
      </c>
      <c r="V6" s="191">
        <v>486</v>
      </c>
      <c r="W6" s="204">
        <v>238.5</v>
      </c>
      <c r="X6" s="205">
        <v>46408.370370370372</v>
      </c>
    </row>
    <row r="7" spans="1:24" ht="20.100000000000001" customHeight="1">
      <c r="B7" s="191">
        <v>2020004</v>
      </c>
      <c r="C7" s="191" t="s">
        <v>953</v>
      </c>
      <c r="D7" s="195">
        <v>252</v>
      </c>
      <c r="E7" s="195" t="s">
        <v>512</v>
      </c>
      <c r="F7" s="191" t="s">
        <v>951</v>
      </c>
      <c r="G7" s="202" t="s">
        <v>251</v>
      </c>
      <c r="H7" s="194" t="e">
        <f>+'PF Adds'!#REF!</f>
        <v>#REF!</v>
      </c>
      <c r="I7" s="194">
        <v>23408.333333333332</v>
      </c>
      <c r="J7" s="195">
        <v>307.2</v>
      </c>
      <c r="K7" s="195">
        <v>30</v>
      </c>
      <c r="L7" s="195">
        <v>25</v>
      </c>
      <c r="N7" s="194">
        <v>780.28</v>
      </c>
      <c r="O7" s="194">
        <v>780.28</v>
      </c>
      <c r="P7" s="194">
        <v>936.33</v>
      </c>
      <c r="R7" s="203">
        <v>0.25345000000000001</v>
      </c>
      <c r="S7" s="194">
        <v>156.05000000000007</v>
      </c>
      <c r="U7" s="191">
        <v>1080</v>
      </c>
      <c r="V7" s="191">
        <v>486</v>
      </c>
      <c r="W7" s="204">
        <v>238.5</v>
      </c>
      <c r="X7" s="205">
        <v>23408.333333333332</v>
      </c>
    </row>
    <row r="8" spans="1:24" ht="20.100000000000001" customHeight="1">
      <c r="A8" s="191">
        <v>20</v>
      </c>
      <c r="B8" s="191">
        <v>2020004</v>
      </c>
      <c r="C8" s="191" t="s">
        <v>1002</v>
      </c>
      <c r="D8" s="195">
        <v>252</v>
      </c>
      <c r="E8" s="195" t="s">
        <v>512</v>
      </c>
      <c r="F8" s="191" t="s">
        <v>951</v>
      </c>
      <c r="G8" s="202" t="s">
        <v>251</v>
      </c>
      <c r="H8" s="206" t="e">
        <f>+'PF Adds'!#REF!</f>
        <v>#REF!</v>
      </c>
      <c r="I8" s="194">
        <v>18626.519687964337</v>
      </c>
      <c r="J8" s="195">
        <v>310.2</v>
      </c>
      <c r="K8" s="195">
        <v>20</v>
      </c>
      <c r="L8" s="195">
        <v>25</v>
      </c>
      <c r="N8" s="194">
        <v>931.33</v>
      </c>
      <c r="O8" s="194">
        <v>931.33</v>
      </c>
      <c r="P8" s="194">
        <v>745.06</v>
      </c>
      <c r="R8" s="203">
        <v>0.25345000000000001</v>
      </c>
      <c r="S8" s="194">
        <v>-186.2700000000001</v>
      </c>
      <c r="U8" s="191">
        <v>1095</v>
      </c>
      <c r="V8" s="191">
        <v>1346</v>
      </c>
      <c r="W8" s="204">
        <v>529.5</v>
      </c>
      <c r="X8" s="205">
        <v>18626.519687964337</v>
      </c>
    </row>
    <row r="9" spans="1:24" ht="20.100000000000001" customHeight="1">
      <c r="B9" s="191">
        <v>2020029</v>
      </c>
      <c r="C9" s="191" t="s">
        <v>950</v>
      </c>
      <c r="D9" s="195">
        <v>251</v>
      </c>
      <c r="E9" s="195" t="s">
        <v>931</v>
      </c>
      <c r="F9" s="191" t="s">
        <v>571</v>
      </c>
      <c r="G9" s="202" t="s">
        <v>251</v>
      </c>
      <c r="H9" s="206" t="e">
        <f>+'PF Adds'!#REF!</f>
        <v>#REF!</v>
      </c>
      <c r="I9" s="194">
        <v>27307.180851063829</v>
      </c>
      <c r="J9" s="195">
        <v>320.3</v>
      </c>
      <c r="K9" s="195">
        <v>22</v>
      </c>
      <c r="L9" s="195">
        <v>25</v>
      </c>
      <c r="N9" s="194">
        <v>1241.24</v>
      </c>
      <c r="O9" s="194">
        <v>1241.24</v>
      </c>
      <c r="P9" s="194">
        <v>1092.29</v>
      </c>
      <c r="R9" s="203">
        <v>0.25345000000000001</v>
      </c>
      <c r="S9" s="194">
        <v>-148.95000000000005</v>
      </c>
      <c r="U9" s="191">
        <v>1115</v>
      </c>
      <c r="V9" s="191">
        <v>752</v>
      </c>
      <c r="W9" s="204">
        <v>342.25</v>
      </c>
      <c r="X9" s="205">
        <v>27307.180851063829</v>
      </c>
    </row>
    <row r="10" spans="1:24" ht="20.100000000000001" customHeight="1">
      <c r="A10" s="191">
        <v>54</v>
      </c>
      <c r="B10" s="191">
        <v>2020004</v>
      </c>
      <c r="C10" s="191" t="s">
        <v>952</v>
      </c>
      <c r="D10" s="195">
        <v>252</v>
      </c>
      <c r="E10" s="195" t="s">
        <v>512</v>
      </c>
      <c r="F10" s="191" t="s">
        <v>951</v>
      </c>
      <c r="G10" s="202" t="s">
        <v>251</v>
      </c>
      <c r="H10" s="206" t="e">
        <f>+'PF Adds'!#REF!</f>
        <v>#REF!</v>
      </c>
      <c r="I10" s="194">
        <v>21359.238845144358</v>
      </c>
      <c r="J10" s="195">
        <v>330.4</v>
      </c>
      <c r="K10" s="195">
        <v>37</v>
      </c>
      <c r="L10" s="195">
        <v>25</v>
      </c>
      <c r="N10" s="194">
        <v>577.28</v>
      </c>
      <c r="O10" s="194">
        <v>577.28</v>
      </c>
      <c r="P10" s="194">
        <v>854.37</v>
      </c>
      <c r="R10" s="203">
        <v>0.25345000000000001</v>
      </c>
      <c r="S10" s="194">
        <v>277.09000000000003</v>
      </c>
      <c r="U10" s="191">
        <v>1120</v>
      </c>
      <c r="V10" s="191">
        <v>762</v>
      </c>
      <c r="W10" s="204">
        <v>236</v>
      </c>
      <c r="X10" s="205">
        <v>21359.238845144358</v>
      </c>
    </row>
    <row r="11" spans="1:24" ht="20.100000000000001" customHeight="1">
      <c r="B11" s="191">
        <v>2019146</v>
      </c>
      <c r="C11" s="191" t="s">
        <v>949</v>
      </c>
      <c r="D11" s="195">
        <v>252</v>
      </c>
      <c r="E11" s="195" t="s">
        <v>511</v>
      </c>
      <c r="F11" s="191" t="s">
        <v>947</v>
      </c>
      <c r="G11" s="202" t="s">
        <v>251</v>
      </c>
      <c r="H11" s="206" t="e">
        <f>+'PF Adds'!#REF!</f>
        <v>#REF!</v>
      </c>
      <c r="I11" s="194">
        <v>33308.729291338583</v>
      </c>
      <c r="J11" s="195">
        <v>331.4</v>
      </c>
      <c r="K11" s="195">
        <v>43</v>
      </c>
      <c r="L11" s="195">
        <v>25</v>
      </c>
      <c r="N11" s="194">
        <v>774.62</v>
      </c>
      <c r="O11" s="194">
        <v>774.62</v>
      </c>
      <c r="P11" s="194">
        <v>1332.35</v>
      </c>
      <c r="R11" s="203">
        <v>0.25345000000000001</v>
      </c>
      <c r="S11" s="194">
        <v>557.7299999999999</v>
      </c>
      <c r="U11" s="191">
        <v>1125</v>
      </c>
      <c r="V11" s="191">
        <v>762</v>
      </c>
      <c r="W11" s="191">
        <v>164</v>
      </c>
      <c r="X11" s="205">
        <v>33308.729291338583</v>
      </c>
    </row>
    <row r="12" spans="1:24" ht="20.100000000000001" customHeight="1">
      <c r="B12" s="191">
        <v>1</v>
      </c>
      <c r="C12" s="191" t="s">
        <v>948</v>
      </c>
      <c r="D12" s="195">
        <v>252</v>
      </c>
      <c r="E12" s="195" t="s">
        <v>511</v>
      </c>
      <c r="F12" s="191" t="s">
        <v>947</v>
      </c>
      <c r="G12" s="202" t="s">
        <v>251</v>
      </c>
      <c r="H12" s="206" t="e">
        <f>+'PF Adds'!#REF!</f>
        <v>#REF!</v>
      </c>
      <c r="I12" s="194">
        <v>16141.732283464567</v>
      </c>
      <c r="J12" s="195">
        <v>331.4</v>
      </c>
      <c r="K12" s="195">
        <v>43</v>
      </c>
      <c r="L12" s="195">
        <v>25</v>
      </c>
      <c r="N12" s="194">
        <v>375.39</v>
      </c>
      <c r="O12" s="194">
        <v>375.39</v>
      </c>
      <c r="P12" s="194">
        <v>645.66999999999996</v>
      </c>
      <c r="R12" s="203">
        <v>0.25345000000000001</v>
      </c>
      <c r="S12" s="194">
        <v>270.27999999999997</v>
      </c>
      <c r="U12" s="191">
        <v>1125</v>
      </c>
      <c r="V12" s="191">
        <v>762</v>
      </c>
      <c r="W12" s="191">
        <v>164</v>
      </c>
      <c r="X12" s="205">
        <v>16141.732283464567</v>
      </c>
    </row>
    <row r="13" spans="1:24" ht="20.100000000000001" customHeight="1">
      <c r="B13" s="191">
        <v>1</v>
      </c>
      <c r="C13" s="191" t="s">
        <v>946</v>
      </c>
      <c r="D13" s="195">
        <v>252</v>
      </c>
      <c r="E13" s="195" t="s">
        <v>511</v>
      </c>
      <c r="F13" s="191" t="s">
        <v>947</v>
      </c>
      <c r="G13" s="202" t="s">
        <v>251</v>
      </c>
      <c r="H13" s="206" t="e">
        <f>+'PF Adds'!#REF!</f>
        <v>#REF!</v>
      </c>
      <c r="I13" s="194">
        <v>4734.9081364829399</v>
      </c>
      <c r="J13" s="195">
        <v>331.4</v>
      </c>
      <c r="K13" s="195">
        <v>43</v>
      </c>
      <c r="L13" s="195">
        <v>25</v>
      </c>
      <c r="N13" s="194">
        <v>110.11</v>
      </c>
      <c r="O13" s="194">
        <v>110.11</v>
      </c>
      <c r="P13" s="194">
        <v>189.4</v>
      </c>
      <c r="R13" s="203">
        <v>0.25345000000000001</v>
      </c>
      <c r="S13" s="194">
        <v>79.290000000000006</v>
      </c>
      <c r="U13" s="191">
        <v>1125</v>
      </c>
      <c r="V13" s="191">
        <v>762</v>
      </c>
      <c r="W13" s="191">
        <v>164</v>
      </c>
      <c r="X13" s="205">
        <v>4734.9081364829399</v>
      </c>
    </row>
    <row r="14" spans="1:24" ht="20.100000000000001" customHeight="1">
      <c r="A14" s="191">
        <v>45</v>
      </c>
      <c r="B14" s="191">
        <v>1</v>
      </c>
      <c r="C14" s="191" t="s">
        <v>929</v>
      </c>
      <c r="D14" s="195">
        <v>255</v>
      </c>
      <c r="E14" s="195" t="s">
        <v>514</v>
      </c>
      <c r="F14" s="191" t="s">
        <v>580</v>
      </c>
      <c r="G14" s="202" t="s">
        <v>251</v>
      </c>
      <c r="H14" s="206" t="e">
        <f>+'PF Adds'!#REF!</f>
        <v>#REF!</v>
      </c>
      <c r="I14" s="194">
        <v>354033.38582677167</v>
      </c>
      <c r="J14" s="195">
        <v>331.4</v>
      </c>
      <c r="K14" s="195">
        <v>43</v>
      </c>
      <c r="L14" s="195">
        <v>25</v>
      </c>
      <c r="N14" s="194">
        <v>8233.33</v>
      </c>
      <c r="O14" s="194">
        <v>8233.33</v>
      </c>
      <c r="P14" s="194">
        <v>14161.34</v>
      </c>
      <c r="R14" s="203">
        <v>0.25345000000000001</v>
      </c>
      <c r="S14" s="194"/>
      <c r="U14" s="191">
        <v>1125</v>
      </c>
      <c r="V14" s="191">
        <v>762</v>
      </c>
      <c r="W14" s="204">
        <v>164</v>
      </c>
      <c r="X14" s="205">
        <v>354033.38582677167</v>
      </c>
    </row>
    <row r="15" spans="1:24" ht="20.100000000000001" customHeight="1">
      <c r="A15" s="191">
        <v>14</v>
      </c>
      <c r="B15" s="191">
        <v>2019109</v>
      </c>
      <c r="C15" s="191" t="s">
        <v>938</v>
      </c>
      <c r="D15" s="195">
        <v>255</v>
      </c>
      <c r="E15" s="195" t="s">
        <v>514</v>
      </c>
      <c r="F15" s="191" t="s">
        <v>580</v>
      </c>
      <c r="G15" s="202" t="s">
        <v>251</v>
      </c>
      <c r="H15" s="194" t="e">
        <f>+'PF Adds'!#REF!</f>
        <v>#REF!</v>
      </c>
      <c r="I15" s="194">
        <v>21781.011437545716</v>
      </c>
      <c r="J15" s="195">
        <v>331.4</v>
      </c>
      <c r="K15" s="207">
        <v>42.916666666666664</v>
      </c>
      <c r="L15" s="195">
        <v>25</v>
      </c>
      <c r="N15" s="194">
        <v>507.52</v>
      </c>
      <c r="O15" s="194">
        <v>507.52</v>
      </c>
      <c r="P15" s="194">
        <v>4048.08</v>
      </c>
      <c r="R15" s="203">
        <v>0.25345000000000001</v>
      </c>
      <c r="S15" s="194">
        <v>3540.56</v>
      </c>
      <c r="U15" s="191">
        <v>1125</v>
      </c>
      <c r="V15" s="191">
        <v>762</v>
      </c>
      <c r="W15" s="204">
        <v>164</v>
      </c>
      <c r="X15" s="205">
        <v>21781.011437545716</v>
      </c>
    </row>
    <row r="16" spans="1:24" ht="20.100000000000001" customHeight="1">
      <c r="A16" s="191">
        <v>28</v>
      </c>
      <c r="B16" s="191">
        <v>1</v>
      </c>
      <c r="C16" s="191" t="s">
        <v>928</v>
      </c>
      <c r="D16" s="195">
        <v>255</v>
      </c>
      <c r="E16" s="195" t="s">
        <v>514</v>
      </c>
      <c r="F16" s="191" t="s">
        <v>580</v>
      </c>
      <c r="G16" s="202" t="s">
        <v>251</v>
      </c>
      <c r="H16" s="194" t="e">
        <f>+'PF Adds'!#REF!</f>
        <v>#REF!</v>
      </c>
      <c r="I16" s="194">
        <v>71685.433070866144</v>
      </c>
      <c r="J16" s="195">
        <v>331.4</v>
      </c>
      <c r="K16" s="195">
        <v>43</v>
      </c>
      <c r="L16" s="195">
        <v>25</v>
      </c>
      <c r="N16" s="194">
        <v>1667.1</v>
      </c>
      <c r="O16" s="194">
        <v>1667.1</v>
      </c>
      <c r="P16" s="194">
        <v>2867.42</v>
      </c>
      <c r="R16" s="203">
        <v>0.25345000000000001</v>
      </c>
      <c r="S16" s="194"/>
      <c r="U16" s="191">
        <v>1125</v>
      </c>
      <c r="V16" s="191">
        <v>762</v>
      </c>
      <c r="W16" s="204">
        <v>164</v>
      </c>
      <c r="X16" s="205">
        <v>71685.433070866144</v>
      </c>
    </row>
    <row r="17" spans="1:24" ht="20.100000000000001" customHeight="1">
      <c r="G17" s="202"/>
      <c r="H17" s="194"/>
      <c r="I17" s="194"/>
      <c r="K17" s="195"/>
      <c r="L17" s="195"/>
      <c r="N17" s="194"/>
      <c r="O17" s="194"/>
      <c r="P17" s="194"/>
      <c r="R17" s="203"/>
      <c r="S17" s="194"/>
    </row>
    <row r="18" spans="1:24" ht="20.100000000000001" customHeight="1" thickBot="1">
      <c r="C18" s="209" t="s">
        <v>998</v>
      </c>
      <c r="G18" s="202"/>
      <c r="H18" s="225" t="e">
        <f>SUM(H5:H16)</f>
        <v>#REF!</v>
      </c>
      <c r="I18" s="225">
        <f>SUM(I5:I16)</f>
        <v>675355.02831953112</v>
      </c>
      <c r="K18" s="195"/>
      <c r="L18" s="195"/>
      <c r="N18" s="208">
        <f>SUM(N4:N17)</f>
        <v>17963.82</v>
      </c>
      <c r="O18" s="225">
        <f>SUM(O5:O16)</f>
        <v>17963.82</v>
      </c>
      <c r="P18" s="208">
        <f>SUM(P4:P17)</f>
        <v>30191.049999999996</v>
      </c>
      <c r="R18" s="203"/>
      <c r="S18" s="208">
        <f>SUM(S4:S17)</f>
        <v>5098.8999999999996</v>
      </c>
      <c r="X18" s="225">
        <f>SUM(X5:X16)</f>
        <v>675355.02831953112</v>
      </c>
    </row>
    <row r="19" spans="1:24" ht="20.100000000000001" customHeight="1">
      <c r="C19" s="197"/>
      <c r="G19" s="202"/>
      <c r="H19" s="194"/>
      <c r="I19" s="194"/>
      <c r="K19" s="195"/>
      <c r="L19" s="195"/>
      <c r="N19" s="194"/>
      <c r="O19" s="194"/>
      <c r="P19" s="194"/>
      <c r="R19" s="203"/>
      <c r="S19" s="194"/>
    </row>
    <row r="20" spans="1:24" ht="20.100000000000001" customHeight="1">
      <c r="A20" s="197" t="s">
        <v>997</v>
      </c>
      <c r="G20" s="202"/>
      <c r="H20" s="194"/>
      <c r="I20" s="194"/>
      <c r="K20" s="195"/>
      <c r="L20" s="195"/>
      <c r="N20" s="194"/>
      <c r="O20" s="194"/>
      <c r="P20" s="194"/>
      <c r="R20" s="203"/>
      <c r="S20" s="194"/>
    </row>
    <row r="21" spans="1:24" ht="20.100000000000001" customHeight="1">
      <c r="A21" s="191">
        <v>10</v>
      </c>
      <c r="B21" s="191">
        <v>2019175</v>
      </c>
      <c r="C21" s="191" t="s">
        <v>942</v>
      </c>
      <c r="D21" s="195">
        <v>249</v>
      </c>
      <c r="E21" s="195" t="s">
        <v>939</v>
      </c>
      <c r="F21" s="191" t="s">
        <v>577</v>
      </c>
      <c r="G21" s="202" t="s">
        <v>7</v>
      </c>
      <c r="H21" s="194" t="e">
        <f>+'PF Adds'!#REF!</f>
        <v>#REF!</v>
      </c>
      <c r="I21" s="194">
        <v>247400.60517529215</v>
      </c>
      <c r="J21" s="195">
        <v>354.4</v>
      </c>
      <c r="K21" s="195">
        <v>32</v>
      </c>
      <c r="L21" s="195">
        <v>25</v>
      </c>
      <c r="N21" s="194">
        <v>7731.27</v>
      </c>
      <c r="O21" s="194">
        <v>7731.27</v>
      </c>
      <c r="P21" s="194">
        <v>9896.02</v>
      </c>
      <c r="R21" s="203">
        <v>0.25345000000000001</v>
      </c>
      <c r="S21" s="194">
        <v>2164.75</v>
      </c>
      <c r="U21" s="191">
        <v>1300</v>
      </c>
      <c r="V21" s="191">
        <v>599</v>
      </c>
      <c r="W21" s="204">
        <v>225.5</v>
      </c>
      <c r="X21" s="205">
        <v>247400.60517529215</v>
      </c>
    </row>
    <row r="22" spans="1:24" ht="20.100000000000001" customHeight="1">
      <c r="A22" s="191">
        <v>27</v>
      </c>
      <c r="B22" s="191">
        <v>1</v>
      </c>
      <c r="C22" s="191" t="s">
        <v>937</v>
      </c>
      <c r="D22" s="195">
        <v>250</v>
      </c>
      <c r="E22" s="191" t="s">
        <v>513</v>
      </c>
      <c r="F22" s="191" t="s">
        <v>934</v>
      </c>
      <c r="G22" s="202" t="s">
        <v>7</v>
      </c>
      <c r="H22" s="194" t="e">
        <f>+'PF Adds'!#REF!</f>
        <v>#REF!</v>
      </c>
      <c r="I22" s="194">
        <v>20062.992125984252</v>
      </c>
      <c r="J22" s="195">
        <v>360.2</v>
      </c>
      <c r="K22" s="195">
        <v>30</v>
      </c>
      <c r="L22" s="195">
        <v>25</v>
      </c>
      <c r="N22" s="194">
        <v>668.77</v>
      </c>
      <c r="O22" s="194">
        <v>668.77</v>
      </c>
      <c r="P22" s="194">
        <v>802.52</v>
      </c>
      <c r="R22" s="203">
        <v>0.25345000000000001</v>
      </c>
      <c r="S22" s="194">
        <v>133.75</v>
      </c>
      <c r="U22" s="191">
        <v>1345</v>
      </c>
      <c r="V22" s="191">
        <v>762</v>
      </c>
      <c r="W22" s="204">
        <v>273</v>
      </c>
      <c r="X22" s="205">
        <v>20062.992125984252</v>
      </c>
    </row>
    <row r="23" spans="1:24" ht="20.100000000000001" customHeight="1">
      <c r="A23" s="191">
        <v>5</v>
      </c>
      <c r="B23" s="191">
        <v>2019145</v>
      </c>
      <c r="C23" s="191" t="s">
        <v>944</v>
      </c>
      <c r="D23" s="195">
        <v>250</v>
      </c>
      <c r="E23" s="191" t="s">
        <v>513</v>
      </c>
      <c r="F23" s="191" t="s">
        <v>934</v>
      </c>
      <c r="G23" s="202" t="s">
        <v>7</v>
      </c>
      <c r="H23" s="194" t="e">
        <f>+'PF Adds'!#REF!</f>
        <v>#REF!</v>
      </c>
      <c r="I23" s="194">
        <v>30094.488188976378</v>
      </c>
      <c r="J23" s="195">
        <v>360.2</v>
      </c>
      <c r="K23" s="195">
        <v>30</v>
      </c>
      <c r="L23" s="195">
        <v>25</v>
      </c>
      <c r="N23" s="194">
        <v>1003.15</v>
      </c>
      <c r="O23" s="194">
        <v>1003.15</v>
      </c>
      <c r="P23" s="194">
        <v>3360</v>
      </c>
      <c r="R23" s="203">
        <v>0.25345000000000001</v>
      </c>
      <c r="S23" s="194">
        <v>2356.85</v>
      </c>
      <c r="U23" s="191">
        <v>1345</v>
      </c>
      <c r="V23" s="191">
        <v>762</v>
      </c>
      <c r="W23" s="204">
        <v>273</v>
      </c>
      <c r="X23" s="205">
        <v>30094.488188976378</v>
      </c>
    </row>
    <row r="24" spans="1:24" ht="20.100000000000001" customHeight="1">
      <c r="B24" s="191">
        <v>1</v>
      </c>
      <c r="C24" s="191" t="s">
        <v>929</v>
      </c>
      <c r="D24" s="195">
        <v>255</v>
      </c>
      <c r="E24" s="195" t="s">
        <v>514</v>
      </c>
      <c r="F24" s="191" t="s">
        <v>580</v>
      </c>
      <c r="G24" s="202" t="s">
        <v>7</v>
      </c>
      <c r="H24" s="194" t="e">
        <f>+'PF Adds'!#REF!</f>
        <v>#REF!</v>
      </c>
      <c r="I24" s="194">
        <v>691829.29133858276</v>
      </c>
      <c r="J24" s="195">
        <v>360.2</v>
      </c>
      <c r="K24" s="195">
        <v>30</v>
      </c>
      <c r="L24" s="195">
        <v>25</v>
      </c>
      <c r="N24" s="194">
        <v>23060.98</v>
      </c>
      <c r="O24" s="194">
        <v>23060.98</v>
      </c>
      <c r="P24" s="194">
        <v>27673.17</v>
      </c>
      <c r="R24" s="203">
        <v>0.25345000000000001</v>
      </c>
      <c r="S24" s="194"/>
      <c r="U24" s="191">
        <v>1345</v>
      </c>
      <c r="V24" s="191">
        <v>762</v>
      </c>
      <c r="W24" s="204">
        <v>273</v>
      </c>
      <c r="X24" s="205">
        <v>691829.29133858276</v>
      </c>
    </row>
    <row r="25" spans="1:24" ht="20.100000000000001" customHeight="1">
      <c r="B25" s="191">
        <v>1</v>
      </c>
      <c r="C25" s="191" t="s">
        <v>928</v>
      </c>
      <c r="D25" s="195">
        <v>255</v>
      </c>
      <c r="E25" s="195" t="s">
        <v>514</v>
      </c>
      <c r="F25" s="191" t="s">
        <v>580</v>
      </c>
      <c r="G25" s="202" t="s">
        <v>7</v>
      </c>
      <c r="H25" s="194" t="e">
        <f>+'PF Adds'!#REF!</f>
        <v>#REF!</v>
      </c>
      <c r="I25" s="194">
        <v>39776.673228346459</v>
      </c>
      <c r="J25" s="195">
        <v>360.2</v>
      </c>
      <c r="K25" s="195">
        <v>30</v>
      </c>
      <c r="L25" s="195">
        <v>25</v>
      </c>
      <c r="N25" s="194">
        <v>1325.89</v>
      </c>
      <c r="O25" s="194">
        <v>1325.89</v>
      </c>
      <c r="P25" s="194">
        <v>1591.07</v>
      </c>
      <c r="R25" s="203">
        <v>0.25345000000000001</v>
      </c>
      <c r="S25" s="194"/>
      <c r="U25" s="191">
        <v>1345</v>
      </c>
      <c r="V25" s="191">
        <v>762</v>
      </c>
      <c r="W25" s="204">
        <v>273</v>
      </c>
      <c r="X25" s="205">
        <v>39776.673228346459</v>
      </c>
    </row>
    <row r="26" spans="1:24" ht="20.100000000000001" customHeight="1">
      <c r="A26" s="191">
        <v>8</v>
      </c>
      <c r="B26" s="191">
        <v>2019173</v>
      </c>
      <c r="C26" s="191" t="s">
        <v>943</v>
      </c>
      <c r="D26" s="195">
        <v>241</v>
      </c>
      <c r="E26" s="191" t="s">
        <v>513</v>
      </c>
      <c r="F26" s="191" t="s">
        <v>926</v>
      </c>
      <c r="G26" s="202" t="s">
        <v>7</v>
      </c>
      <c r="H26" s="194" t="e">
        <f>+'PF Adds'!#REF!</f>
        <v>#REF!</v>
      </c>
      <c r="I26" s="194">
        <v>2275</v>
      </c>
      <c r="J26" s="195">
        <v>360.2</v>
      </c>
      <c r="K26" s="195">
        <v>30</v>
      </c>
      <c r="L26" s="195">
        <v>25</v>
      </c>
      <c r="N26" s="194">
        <v>75.83</v>
      </c>
      <c r="O26" s="194">
        <v>75.83</v>
      </c>
      <c r="P26" s="194">
        <v>254</v>
      </c>
      <c r="R26" s="203">
        <v>0.25345000000000001</v>
      </c>
      <c r="S26" s="194">
        <v>178.17000000000002</v>
      </c>
      <c r="U26" s="191">
        <v>1345</v>
      </c>
      <c r="V26" s="191">
        <v>762</v>
      </c>
      <c r="W26" s="204">
        <v>273</v>
      </c>
      <c r="X26" s="205">
        <v>2275</v>
      </c>
    </row>
    <row r="27" spans="1:24" ht="20.100000000000001" customHeight="1">
      <c r="B27" s="191">
        <v>2019087</v>
      </c>
      <c r="C27" s="191" t="s">
        <v>927</v>
      </c>
      <c r="D27" s="195">
        <v>241</v>
      </c>
      <c r="E27" s="191" t="s">
        <v>513</v>
      </c>
      <c r="F27" s="191" t="s">
        <v>926</v>
      </c>
      <c r="G27" s="202" t="s">
        <v>7</v>
      </c>
      <c r="H27" s="194">
        <f>+'PF Adds'!G42</f>
        <v>194500</v>
      </c>
      <c r="I27" s="194">
        <v>121404.35318528666</v>
      </c>
      <c r="J27" s="195">
        <v>360.2</v>
      </c>
      <c r="K27" s="195">
        <v>30</v>
      </c>
      <c r="L27" s="195">
        <v>25</v>
      </c>
      <c r="N27" s="194">
        <v>4046.81</v>
      </c>
      <c r="O27" s="194">
        <v>4046.81</v>
      </c>
      <c r="P27" s="194">
        <v>4856.17</v>
      </c>
      <c r="R27" s="203">
        <v>0.25345000000000001</v>
      </c>
      <c r="S27" s="194">
        <v>809.36000000000013</v>
      </c>
      <c r="U27" s="191">
        <v>1345</v>
      </c>
      <c r="V27" s="191">
        <v>762</v>
      </c>
      <c r="W27" s="204">
        <v>273</v>
      </c>
      <c r="X27" s="205">
        <v>121404.35318528666</v>
      </c>
    </row>
    <row r="28" spans="1:24" ht="20.100000000000001" customHeight="1">
      <c r="B28" s="191">
        <v>2019145</v>
      </c>
      <c r="C28" s="191" t="s">
        <v>944</v>
      </c>
      <c r="D28" s="195">
        <v>250</v>
      </c>
      <c r="E28" s="191" t="s">
        <v>513</v>
      </c>
      <c r="F28" s="191" t="s">
        <v>934</v>
      </c>
      <c r="G28" s="202" t="s">
        <v>7</v>
      </c>
      <c r="H28" s="194">
        <f>+'PF Adds'!G17</f>
        <v>2424782</v>
      </c>
      <c r="I28" s="194">
        <v>70866.14173228346</v>
      </c>
      <c r="J28" s="195">
        <v>361.2</v>
      </c>
      <c r="K28" s="195">
        <v>45</v>
      </c>
      <c r="L28" s="195">
        <v>25</v>
      </c>
      <c r="N28" s="194">
        <v>1574.8</v>
      </c>
      <c r="O28" s="194">
        <v>1574.8</v>
      </c>
      <c r="P28" s="194">
        <v>14400</v>
      </c>
      <c r="R28" s="203">
        <v>0.25345000000000001</v>
      </c>
      <c r="S28" s="194">
        <v>12825.2</v>
      </c>
      <c r="U28" s="191">
        <v>1350</v>
      </c>
      <c r="V28" s="191">
        <v>762</v>
      </c>
      <c r="W28" s="204">
        <v>150</v>
      </c>
      <c r="X28" s="205">
        <v>70866.14173228346</v>
      </c>
    </row>
    <row r="29" spans="1:24" ht="20.100000000000001" customHeight="1">
      <c r="B29" s="191">
        <v>2019173</v>
      </c>
      <c r="C29" s="191" t="s">
        <v>943</v>
      </c>
      <c r="D29" s="195">
        <v>241</v>
      </c>
      <c r="E29" s="191" t="s">
        <v>513</v>
      </c>
      <c r="F29" s="191" t="s">
        <v>926</v>
      </c>
      <c r="G29" s="202" t="s">
        <v>7</v>
      </c>
      <c r="H29" s="194" t="e">
        <f>+'PF Adds'!#REF!</f>
        <v>#REF!</v>
      </c>
      <c r="I29" s="194">
        <v>18150.590551181103</v>
      </c>
      <c r="J29" s="195">
        <v>361.2</v>
      </c>
      <c r="K29" s="195">
        <v>45</v>
      </c>
      <c r="L29" s="195">
        <v>25</v>
      </c>
      <c r="N29" s="194">
        <v>403.35</v>
      </c>
      <c r="O29" s="194">
        <v>403.35</v>
      </c>
      <c r="P29" s="194">
        <v>3688.2</v>
      </c>
      <c r="R29" s="203">
        <v>0.25345000000000001</v>
      </c>
      <c r="S29" s="194">
        <v>3284.85</v>
      </c>
      <c r="U29" s="191">
        <v>1350</v>
      </c>
      <c r="V29" s="191">
        <v>762</v>
      </c>
      <c r="W29" s="204">
        <v>150</v>
      </c>
      <c r="X29" s="205">
        <v>18150.590551181103</v>
      </c>
    </row>
    <row r="30" spans="1:24" ht="20.100000000000001" customHeight="1">
      <c r="A30" s="191">
        <v>18</v>
      </c>
      <c r="B30" s="191">
        <v>2019087</v>
      </c>
      <c r="C30" s="191" t="s">
        <v>927</v>
      </c>
      <c r="D30" s="195">
        <v>241</v>
      </c>
      <c r="E30" s="191" t="s">
        <v>513</v>
      </c>
      <c r="F30" s="191" t="s">
        <v>926</v>
      </c>
      <c r="G30" s="202" t="s">
        <v>7</v>
      </c>
      <c r="H30" s="194">
        <f>+'PF Adds'!G21</f>
        <v>444026</v>
      </c>
      <c r="I30" s="194">
        <v>33901.458192980121</v>
      </c>
      <c r="J30" s="195">
        <v>361.2</v>
      </c>
      <c r="K30" s="195">
        <v>45</v>
      </c>
      <c r="L30" s="195">
        <v>25</v>
      </c>
      <c r="N30" s="194">
        <v>753.37</v>
      </c>
      <c r="O30" s="194">
        <v>753.37</v>
      </c>
      <c r="P30" s="194">
        <v>1356.06</v>
      </c>
      <c r="R30" s="203">
        <v>0.25345000000000001</v>
      </c>
      <c r="S30" s="194">
        <v>602.68999999999994</v>
      </c>
      <c r="U30" s="191">
        <v>1350</v>
      </c>
      <c r="V30" s="191">
        <v>762</v>
      </c>
      <c r="W30" s="204">
        <v>150</v>
      </c>
      <c r="X30" s="205">
        <v>33901.458192980121</v>
      </c>
    </row>
    <row r="31" spans="1:24" ht="20.100000000000001" customHeight="1">
      <c r="B31" s="191">
        <v>2019145</v>
      </c>
      <c r="C31" s="191" t="s">
        <v>944</v>
      </c>
      <c r="D31" s="195">
        <v>250</v>
      </c>
      <c r="E31" s="191" t="s">
        <v>513</v>
      </c>
      <c r="F31" s="191" t="s">
        <v>934</v>
      </c>
      <c r="G31" s="202" t="s">
        <v>7</v>
      </c>
      <c r="H31" s="194">
        <f>+'PF Adds'!G18</f>
        <v>55750</v>
      </c>
      <c r="I31" s="194">
        <v>58781.443298969069</v>
      </c>
      <c r="J31" s="195" t="s">
        <v>972</v>
      </c>
      <c r="K31" s="195">
        <v>30</v>
      </c>
      <c r="L31" s="195">
        <v>25</v>
      </c>
      <c r="N31" s="194">
        <v>1959.38</v>
      </c>
      <c r="O31" s="194">
        <v>1959.38</v>
      </c>
      <c r="P31" s="194">
        <v>7344</v>
      </c>
      <c r="R31" s="203">
        <v>0.25345000000000001</v>
      </c>
      <c r="S31" s="194">
        <v>5384.62</v>
      </c>
      <c r="U31" s="191">
        <v>1353</v>
      </c>
      <c r="V31" s="191">
        <v>873</v>
      </c>
      <c r="W31" s="204">
        <v>279.5</v>
      </c>
      <c r="X31" s="205">
        <v>58781.443298969069</v>
      </c>
    </row>
    <row r="32" spans="1:24" ht="20.100000000000001" customHeight="1">
      <c r="B32" s="191">
        <v>2019173</v>
      </c>
      <c r="C32" s="191" t="s">
        <v>943</v>
      </c>
      <c r="D32" s="195">
        <v>241</v>
      </c>
      <c r="E32" s="191" t="s">
        <v>513</v>
      </c>
      <c r="F32" s="191" t="s">
        <v>926</v>
      </c>
      <c r="G32" s="202" t="s">
        <v>7</v>
      </c>
      <c r="H32" s="194" t="e">
        <f>+'PF Adds'!#REF!</f>
        <v>#REF!</v>
      </c>
      <c r="I32" s="194">
        <v>23131.586483390609</v>
      </c>
      <c r="J32" s="195" t="s">
        <v>972</v>
      </c>
      <c r="K32" s="195">
        <v>30</v>
      </c>
      <c r="L32" s="195">
        <v>25</v>
      </c>
      <c r="N32" s="194">
        <v>771.05</v>
      </c>
      <c r="O32" s="194">
        <v>771.05</v>
      </c>
      <c r="P32" s="194">
        <v>2890</v>
      </c>
      <c r="R32" s="203">
        <v>0.25345000000000001</v>
      </c>
      <c r="S32" s="194">
        <v>2118.9499999999998</v>
      </c>
      <c r="U32" s="191">
        <v>1353</v>
      </c>
      <c r="V32" s="191">
        <v>873</v>
      </c>
      <c r="W32" s="204">
        <v>279.5</v>
      </c>
      <c r="X32" s="205">
        <v>23131.586483390609</v>
      </c>
    </row>
    <row r="33" spans="1:24" ht="20.100000000000001" customHeight="1">
      <c r="A33" s="191">
        <v>18</v>
      </c>
      <c r="B33" s="191">
        <v>2019087</v>
      </c>
      <c r="C33" s="191" t="s">
        <v>927</v>
      </c>
      <c r="D33" s="195">
        <v>241</v>
      </c>
      <c r="E33" s="191" t="s">
        <v>513</v>
      </c>
      <c r="F33" s="191" t="s">
        <v>926</v>
      </c>
      <c r="G33" s="202" t="s">
        <v>7</v>
      </c>
      <c r="H33" s="194" t="e">
        <f>+'PF Adds'!#REF!</f>
        <v>#REF!</v>
      </c>
      <c r="I33" s="194">
        <v>12864.683848797251</v>
      </c>
      <c r="J33" s="195" t="s">
        <v>972</v>
      </c>
      <c r="K33" s="195">
        <v>30</v>
      </c>
      <c r="L33" s="195">
        <v>25</v>
      </c>
      <c r="N33" s="194">
        <v>428.82</v>
      </c>
      <c r="O33" s="194">
        <v>428.82</v>
      </c>
      <c r="P33" s="194">
        <v>514.59</v>
      </c>
      <c r="R33" s="203">
        <v>0.25345000000000001</v>
      </c>
      <c r="S33" s="194">
        <v>85.770000000000039</v>
      </c>
      <c r="U33" s="191">
        <v>1353</v>
      </c>
      <c r="V33" s="191">
        <v>873</v>
      </c>
      <c r="W33" s="204">
        <v>279.5</v>
      </c>
      <c r="X33" s="205">
        <v>12864.683848797251</v>
      </c>
    </row>
    <row r="34" spans="1:24" ht="20.100000000000001" customHeight="1">
      <c r="A34" s="191">
        <v>30</v>
      </c>
      <c r="B34" s="191">
        <v>1</v>
      </c>
      <c r="C34" s="191" t="s">
        <v>940</v>
      </c>
      <c r="D34" s="195">
        <v>249</v>
      </c>
      <c r="E34" s="195" t="s">
        <v>939</v>
      </c>
      <c r="F34" s="191" t="s">
        <v>577</v>
      </c>
      <c r="G34" s="202" t="s">
        <v>7</v>
      </c>
      <c r="H34" s="194" t="e">
        <f>+'PF Adds'!#REF!</f>
        <v>#REF!</v>
      </c>
      <c r="I34" s="194">
        <v>39190.317195325544</v>
      </c>
      <c r="J34" s="195">
        <v>370.3</v>
      </c>
      <c r="K34" s="195">
        <v>30</v>
      </c>
      <c r="L34" s="195">
        <v>25</v>
      </c>
      <c r="N34" s="194">
        <v>1306.3399999999999</v>
      </c>
      <c r="O34" s="194">
        <v>1306.3399999999999</v>
      </c>
      <c r="P34" s="194">
        <v>1567.61</v>
      </c>
      <c r="R34" s="203">
        <v>0.25345000000000001</v>
      </c>
      <c r="S34" s="194">
        <v>261.27</v>
      </c>
      <c r="U34" s="191">
        <v>1375</v>
      </c>
      <c r="V34" s="191">
        <v>599</v>
      </c>
      <c r="W34" s="204">
        <v>234.75</v>
      </c>
      <c r="X34" s="205">
        <v>39190.317195325544</v>
      </c>
    </row>
    <row r="35" spans="1:24" ht="20.100000000000001" customHeight="1">
      <c r="B35" s="191">
        <v>2019145</v>
      </c>
      <c r="C35" s="191" t="s">
        <v>944</v>
      </c>
      <c r="D35" s="195">
        <v>250</v>
      </c>
      <c r="E35" s="191" t="s">
        <v>513</v>
      </c>
      <c r="F35" s="191" t="s">
        <v>934</v>
      </c>
      <c r="G35" s="202" t="s">
        <v>7</v>
      </c>
      <c r="H35" s="194">
        <f>+'PF Adds'!G19</f>
        <v>127907</v>
      </c>
      <c r="I35" s="194">
        <v>200856.2541736227</v>
      </c>
      <c r="J35" s="195">
        <v>370.3</v>
      </c>
      <c r="K35" s="195">
        <v>30</v>
      </c>
      <c r="L35" s="195">
        <v>25</v>
      </c>
      <c r="N35" s="194">
        <v>6695.21</v>
      </c>
      <c r="O35" s="194">
        <v>6695.21</v>
      </c>
      <c r="P35" s="194">
        <v>20500.599999999999</v>
      </c>
      <c r="R35" s="203">
        <v>0.25345000000000001</v>
      </c>
      <c r="S35" s="194">
        <v>13805.39</v>
      </c>
      <c r="U35" s="191">
        <v>1375</v>
      </c>
      <c r="V35" s="191">
        <v>599</v>
      </c>
      <c r="W35" s="204">
        <v>234.75</v>
      </c>
      <c r="X35" s="205">
        <v>200856.2541736227</v>
      </c>
    </row>
    <row r="36" spans="1:24" ht="20.100000000000001" customHeight="1">
      <c r="A36" s="191">
        <v>12</v>
      </c>
      <c r="B36" s="191">
        <v>1</v>
      </c>
      <c r="C36" s="191" t="s">
        <v>941</v>
      </c>
      <c r="D36" s="195">
        <v>255</v>
      </c>
      <c r="E36" s="195" t="s">
        <v>514</v>
      </c>
      <c r="F36" s="191" t="s">
        <v>580</v>
      </c>
      <c r="G36" s="202" t="s">
        <v>7</v>
      </c>
      <c r="H36" s="194">
        <f>+'PF Adds'!G22</f>
        <v>510040</v>
      </c>
      <c r="I36" s="194">
        <v>211627.71285475793</v>
      </c>
      <c r="J36" s="195">
        <v>370.3</v>
      </c>
      <c r="K36" s="195">
        <v>30</v>
      </c>
      <c r="L36" s="195">
        <v>25</v>
      </c>
      <c r="N36" s="194">
        <v>7054.26</v>
      </c>
      <c r="O36" s="194">
        <v>7054.26</v>
      </c>
      <c r="P36" s="194">
        <v>8465.11</v>
      </c>
      <c r="R36" s="203">
        <v>0.25345000000000001</v>
      </c>
      <c r="S36" s="194">
        <v>1410.8500000000004</v>
      </c>
      <c r="U36" s="191">
        <v>1375</v>
      </c>
      <c r="V36" s="191">
        <v>599</v>
      </c>
      <c r="W36" s="204">
        <v>234.75</v>
      </c>
      <c r="X36" s="205">
        <v>211627.71285475793</v>
      </c>
    </row>
    <row r="37" spans="1:24" ht="20.100000000000001" customHeight="1">
      <c r="B37" s="191">
        <v>2019173</v>
      </c>
      <c r="C37" s="191" t="s">
        <v>943</v>
      </c>
      <c r="D37" s="195">
        <v>241</v>
      </c>
      <c r="E37" s="191" t="s">
        <v>513</v>
      </c>
      <c r="F37" s="191" t="s">
        <v>926</v>
      </c>
      <c r="G37" s="202" t="s">
        <v>7</v>
      </c>
      <c r="H37" s="194" t="e">
        <f>+'PF Adds'!#REF!</f>
        <v>#REF!</v>
      </c>
      <c r="I37" s="194">
        <v>230876.82095158598</v>
      </c>
      <c r="J37" s="195">
        <v>370.3</v>
      </c>
      <c r="K37" s="195">
        <v>30</v>
      </c>
      <c r="L37" s="195">
        <v>25</v>
      </c>
      <c r="N37" s="194">
        <v>7695.89</v>
      </c>
      <c r="O37" s="194">
        <v>7695.89</v>
      </c>
      <c r="P37" s="194">
        <v>23564.68</v>
      </c>
      <c r="R37" s="203">
        <v>0.25345000000000001</v>
      </c>
      <c r="S37" s="194">
        <v>15868.79</v>
      </c>
      <c r="U37" s="191">
        <v>1375</v>
      </c>
      <c r="V37" s="191">
        <v>599</v>
      </c>
      <c r="W37" s="204">
        <v>234.75</v>
      </c>
      <c r="X37" s="205">
        <v>230876.82095158598</v>
      </c>
    </row>
    <row r="38" spans="1:24" ht="18.75" customHeight="1">
      <c r="B38" s="191">
        <v>2019145</v>
      </c>
      <c r="C38" s="191" t="s">
        <v>944</v>
      </c>
      <c r="D38" s="195">
        <v>250</v>
      </c>
      <c r="E38" s="191" t="s">
        <v>513</v>
      </c>
      <c r="F38" s="191" t="s">
        <v>934</v>
      </c>
      <c r="G38" s="202" t="s">
        <v>7</v>
      </c>
      <c r="H38" s="194">
        <f>+'PF Adds'!G20</f>
        <v>2479877</v>
      </c>
      <c r="I38" s="194">
        <v>246028.23179791975</v>
      </c>
      <c r="J38" s="195">
        <v>371.3</v>
      </c>
      <c r="K38" s="195">
        <v>18</v>
      </c>
      <c r="L38" s="195">
        <v>25</v>
      </c>
      <c r="N38" s="194">
        <v>13668.24</v>
      </c>
      <c r="O38" s="194">
        <v>13668.24</v>
      </c>
      <c r="P38" s="194">
        <v>25040</v>
      </c>
      <c r="R38" s="203">
        <v>0.25345000000000001</v>
      </c>
      <c r="S38" s="194">
        <v>11371.76</v>
      </c>
      <c r="U38" s="191">
        <v>1380</v>
      </c>
      <c r="V38" s="191">
        <v>1346</v>
      </c>
      <c r="W38" s="204">
        <v>529</v>
      </c>
      <c r="X38" s="205">
        <v>246028.23179791975</v>
      </c>
    </row>
    <row r="39" spans="1:24" ht="20.100000000000001" customHeight="1">
      <c r="B39" s="191">
        <v>2019173</v>
      </c>
      <c r="C39" s="191" t="s">
        <v>943</v>
      </c>
      <c r="D39" s="195">
        <v>241</v>
      </c>
      <c r="E39" s="191" t="s">
        <v>513</v>
      </c>
      <c r="F39" s="191" t="s">
        <v>926</v>
      </c>
      <c r="G39" s="202" t="s">
        <v>7</v>
      </c>
      <c r="H39" s="194" t="e">
        <f>+'PF Adds'!#REF!</f>
        <v>#REF!</v>
      </c>
      <c r="I39" s="194">
        <v>27118.127786032688</v>
      </c>
      <c r="J39" s="195">
        <v>371.3</v>
      </c>
      <c r="K39" s="195">
        <v>18</v>
      </c>
      <c r="L39" s="195">
        <v>25</v>
      </c>
      <c r="N39" s="194">
        <v>1506.56</v>
      </c>
      <c r="O39" s="194">
        <v>1506.56</v>
      </c>
      <c r="P39" s="194">
        <v>2760</v>
      </c>
      <c r="R39" s="203">
        <v>0.25345000000000001</v>
      </c>
      <c r="S39" s="194">
        <v>1253.44</v>
      </c>
      <c r="U39" s="191">
        <v>1380</v>
      </c>
      <c r="V39" s="191">
        <v>1346</v>
      </c>
      <c r="W39" s="204">
        <v>529</v>
      </c>
      <c r="X39" s="205">
        <v>27118.127786032688</v>
      </c>
    </row>
    <row r="40" spans="1:24" ht="20.100000000000001" customHeight="1">
      <c r="A40" s="191">
        <v>15</v>
      </c>
      <c r="B40" s="191">
        <v>1</v>
      </c>
      <c r="C40" s="191" t="s">
        <v>933</v>
      </c>
      <c r="D40" s="195">
        <v>251</v>
      </c>
      <c r="E40" s="195" t="s">
        <v>931</v>
      </c>
      <c r="F40" s="191" t="s">
        <v>571</v>
      </c>
      <c r="G40" s="202" t="s">
        <v>7</v>
      </c>
      <c r="H40" s="194" t="e">
        <f>+'PF Adds'!#REF!</f>
        <v>#REF!</v>
      </c>
      <c r="I40" s="194">
        <v>23023.603723404256</v>
      </c>
      <c r="J40" s="195">
        <v>380.4</v>
      </c>
      <c r="K40" s="195">
        <v>18</v>
      </c>
      <c r="L40" s="195">
        <v>25</v>
      </c>
      <c r="N40" s="194">
        <v>1279.0899999999999</v>
      </c>
      <c r="O40" s="194">
        <v>1279.0899999999999</v>
      </c>
      <c r="P40" s="194">
        <v>920.94</v>
      </c>
      <c r="R40" s="203">
        <v>0.25345000000000001</v>
      </c>
      <c r="S40" s="194">
        <v>-358.14999999999986</v>
      </c>
      <c r="U40" s="191">
        <v>1400</v>
      </c>
      <c r="V40" s="191">
        <v>752</v>
      </c>
      <c r="W40" s="204">
        <v>384.75</v>
      </c>
      <c r="X40" s="205">
        <v>23023.603723404256</v>
      </c>
    </row>
    <row r="41" spans="1:24" ht="20.100000000000001" customHeight="1">
      <c r="A41" s="191">
        <v>6</v>
      </c>
      <c r="B41" s="191">
        <v>2020080</v>
      </c>
      <c r="C41" s="191" t="s">
        <v>935</v>
      </c>
      <c r="D41" s="195">
        <v>250</v>
      </c>
      <c r="E41" s="191" t="s">
        <v>513</v>
      </c>
      <c r="F41" s="191" t="s">
        <v>934</v>
      </c>
      <c r="G41" s="202" t="s">
        <v>7</v>
      </c>
      <c r="H41" s="194" t="e">
        <f>+'PF Adds'!#REF!</f>
        <v>#REF!</v>
      </c>
      <c r="I41" s="194">
        <v>1558186.3364361702</v>
      </c>
      <c r="J41" s="195">
        <v>380.4</v>
      </c>
      <c r="K41" s="195">
        <v>18</v>
      </c>
      <c r="L41" s="195">
        <v>25</v>
      </c>
      <c r="N41" s="194">
        <v>86565.91</v>
      </c>
      <c r="O41" s="194">
        <v>86565.91</v>
      </c>
      <c r="P41" s="194">
        <v>62327.45</v>
      </c>
      <c r="R41" s="203">
        <v>0.25345000000000001</v>
      </c>
      <c r="S41" s="194">
        <v>-24238.460000000006</v>
      </c>
      <c r="U41" s="191">
        <v>1400</v>
      </c>
      <c r="V41" s="191">
        <v>752</v>
      </c>
      <c r="W41" s="204">
        <v>384.75</v>
      </c>
      <c r="X41" s="205">
        <v>1558186.3364361702</v>
      </c>
    </row>
    <row r="42" spans="1:24" ht="20.100000000000001" customHeight="1">
      <c r="A42" s="191">
        <v>13</v>
      </c>
      <c r="B42" s="191">
        <v>1</v>
      </c>
      <c r="C42" s="191" t="s">
        <v>932</v>
      </c>
      <c r="D42" s="195">
        <v>260</v>
      </c>
      <c r="E42" s="195" t="s">
        <v>931</v>
      </c>
      <c r="F42" s="191" t="s">
        <v>930</v>
      </c>
      <c r="G42" s="202" t="s">
        <v>7</v>
      </c>
      <c r="H42" s="194" t="e">
        <f>+'PF Adds'!#REF!</f>
        <v>#REF!</v>
      </c>
      <c r="I42" s="194">
        <v>17395.611702127659</v>
      </c>
      <c r="J42" s="195">
        <v>380.4</v>
      </c>
      <c r="K42" s="195">
        <v>18</v>
      </c>
      <c r="L42" s="195">
        <v>25</v>
      </c>
      <c r="N42" s="194">
        <v>966.42</v>
      </c>
      <c r="O42" s="194">
        <v>966.42</v>
      </c>
      <c r="P42" s="194">
        <v>695.82</v>
      </c>
      <c r="R42" s="203">
        <v>0.25345000000000001</v>
      </c>
      <c r="S42" s="194">
        <v>-270.59999999999991</v>
      </c>
      <c r="U42" s="191">
        <v>1400</v>
      </c>
      <c r="V42" s="191">
        <v>752</v>
      </c>
      <c r="W42" s="204">
        <v>384.75</v>
      </c>
      <c r="X42" s="205">
        <v>17395.611702127659</v>
      </c>
    </row>
    <row r="43" spans="1:24" ht="20.100000000000001" customHeight="1">
      <c r="A43" s="191">
        <v>44</v>
      </c>
      <c r="B43" s="191">
        <v>2019109</v>
      </c>
      <c r="C43" s="191" t="s">
        <v>938</v>
      </c>
      <c r="D43" s="195">
        <v>255</v>
      </c>
      <c r="E43" s="195" t="s">
        <v>514</v>
      </c>
      <c r="F43" s="191" t="s">
        <v>580</v>
      </c>
      <c r="G43" s="202" t="s">
        <v>7</v>
      </c>
      <c r="H43" s="194" t="e">
        <f>+'PF Adds'!#REF!</f>
        <v>#REF!</v>
      </c>
      <c r="I43" s="194">
        <v>2416161.8361259047</v>
      </c>
      <c r="J43" s="195">
        <v>380.4</v>
      </c>
      <c r="K43" s="195">
        <v>18</v>
      </c>
      <c r="L43" s="195">
        <v>25</v>
      </c>
      <c r="N43" s="194">
        <v>134231.21</v>
      </c>
      <c r="O43" s="194">
        <v>134231.21</v>
      </c>
      <c r="P43" s="194">
        <v>188897.07</v>
      </c>
      <c r="R43" s="203">
        <v>0.25345000000000001</v>
      </c>
      <c r="S43" s="194">
        <v>54665.860000000015</v>
      </c>
      <c r="U43" s="191">
        <v>1400</v>
      </c>
      <c r="V43" s="191">
        <v>752</v>
      </c>
      <c r="W43" s="204">
        <v>384.75</v>
      </c>
      <c r="X43" s="205">
        <v>2416161.8361259047</v>
      </c>
    </row>
    <row r="44" spans="1:24" ht="20.100000000000001" customHeight="1">
      <c r="A44" s="191">
        <v>4</v>
      </c>
      <c r="B44" s="191">
        <v>1</v>
      </c>
      <c r="C44" s="191" t="s">
        <v>936</v>
      </c>
      <c r="D44" s="195">
        <v>255</v>
      </c>
      <c r="E44" s="195" t="s">
        <v>514</v>
      </c>
      <c r="F44" s="191" t="s">
        <v>580</v>
      </c>
      <c r="G44" s="202" t="s">
        <v>7</v>
      </c>
      <c r="H44" s="194">
        <f>+'PF Adds'!G24</f>
        <v>503130</v>
      </c>
      <c r="I44" s="194">
        <v>1406998.005319149</v>
      </c>
      <c r="J44" s="195">
        <v>380.4</v>
      </c>
      <c r="K44" s="195">
        <v>18</v>
      </c>
      <c r="L44" s="195">
        <v>25</v>
      </c>
      <c r="N44" s="194">
        <v>78166.559999999998</v>
      </c>
      <c r="O44" s="194">
        <v>78166.559999999998</v>
      </c>
      <c r="P44" s="194">
        <v>56279.92</v>
      </c>
      <c r="R44" s="203">
        <v>0.25345000000000001</v>
      </c>
      <c r="S44" s="194">
        <v>-21886.639999999999</v>
      </c>
      <c r="U44" s="191">
        <v>1400</v>
      </c>
      <c r="V44" s="191">
        <v>752</v>
      </c>
      <c r="W44" s="204">
        <v>384.75</v>
      </c>
      <c r="X44" s="205">
        <v>1406998.005319149</v>
      </c>
    </row>
    <row r="45" spans="1:24" ht="20.100000000000001" customHeight="1">
      <c r="A45" s="191">
        <v>16</v>
      </c>
      <c r="B45" s="191">
        <v>2019109</v>
      </c>
      <c r="C45" s="191" t="s">
        <v>938</v>
      </c>
      <c r="D45" s="195">
        <v>255</v>
      </c>
      <c r="E45" s="195" t="s">
        <v>514</v>
      </c>
      <c r="F45" s="191" t="s">
        <v>580</v>
      </c>
      <c r="G45" s="202" t="s">
        <v>7</v>
      </c>
      <c r="H45" s="194" t="e">
        <f>+'PF Adds'!#REF!</f>
        <v>#REF!</v>
      </c>
      <c r="I45" s="194">
        <v>460358.0185566108</v>
      </c>
      <c r="J45" s="195">
        <v>381.4</v>
      </c>
      <c r="K45" s="195">
        <v>35</v>
      </c>
      <c r="L45" s="195">
        <v>25</v>
      </c>
      <c r="N45" s="194">
        <v>13153.09</v>
      </c>
      <c r="O45" s="194">
        <v>13153.09</v>
      </c>
      <c r="P45" s="194">
        <v>51542.89</v>
      </c>
      <c r="R45" s="203">
        <v>0.25345000000000001</v>
      </c>
      <c r="S45" s="194">
        <v>38389.800000000003</v>
      </c>
      <c r="U45" s="191">
        <v>1410</v>
      </c>
      <c r="V45" s="191">
        <v>599</v>
      </c>
      <c r="W45" s="204">
        <v>214</v>
      </c>
      <c r="X45" s="205">
        <v>460358.0185566108</v>
      </c>
    </row>
    <row r="46" spans="1:24" ht="20.100000000000001" customHeight="1">
      <c r="A46" s="191">
        <v>19</v>
      </c>
      <c r="G46" s="202"/>
      <c r="H46" s="194"/>
      <c r="I46" s="194"/>
      <c r="K46" s="195"/>
      <c r="L46" s="195"/>
      <c r="N46" s="194"/>
      <c r="O46" s="194"/>
      <c r="P46" s="194"/>
      <c r="R46" s="203"/>
      <c r="S46" s="194"/>
    </row>
    <row r="47" spans="1:24" ht="20.100000000000001" customHeight="1">
      <c r="A47" s="191">
        <v>25</v>
      </c>
      <c r="C47" s="209" t="s">
        <v>980</v>
      </c>
      <c r="G47" s="202"/>
      <c r="H47" s="208" t="e">
        <f>SUM(H20:H46)</f>
        <v>#REF!</v>
      </c>
      <c r="I47" s="208">
        <f>SUM(I20:I46)</f>
        <v>8208360.1839726819</v>
      </c>
      <c r="K47" s="195"/>
      <c r="L47" s="195"/>
      <c r="N47" s="208">
        <f>SUM(N20:N46)</f>
        <v>396092.25</v>
      </c>
      <c r="O47" s="208">
        <f>SUM(O20:O46)</f>
        <v>396092.25</v>
      </c>
      <c r="P47" s="208">
        <f>SUM(P20:P46)</f>
        <v>521187.89</v>
      </c>
      <c r="R47" s="203"/>
      <c r="S47" s="208">
        <f>SUM(S20:S46)</f>
        <v>120218.27000000002</v>
      </c>
      <c r="X47" s="193">
        <f>SUM(X20:X46)</f>
        <v>8208360.1839726819</v>
      </c>
    </row>
    <row r="48" spans="1:24" ht="20.100000000000001" customHeight="1">
      <c r="A48" s="191">
        <v>26</v>
      </c>
      <c r="C48" s="209"/>
      <c r="G48" s="202"/>
      <c r="H48" s="194"/>
      <c r="I48" s="194"/>
      <c r="K48" s="195"/>
      <c r="L48" s="195"/>
      <c r="N48" s="194"/>
      <c r="O48" s="194"/>
      <c r="P48" s="194"/>
      <c r="R48" s="203"/>
      <c r="S48" s="194"/>
    </row>
    <row r="49" spans="1:24" ht="20.100000000000001" customHeight="1">
      <c r="A49" s="191">
        <v>29</v>
      </c>
      <c r="C49" s="197" t="s">
        <v>1213</v>
      </c>
      <c r="G49" s="202"/>
      <c r="H49" s="194">
        <v>28076</v>
      </c>
      <c r="I49" s="194">
        <v>22529</v>
      </c>
      <c r="K49" s="195">
        <v>6</v>
      </c>
      <c r="L49" s="195"/>
      <c r="N49" s="194"/>
      <c r="O49" s="194">
        <v>3754.83</v>
      </c>
      <c r="P49" s="194"/>
      <c r="R49" s="203"/>
      <c r="S49" s="194"/>
      <c r="X49" s="197">
        <v>22529</v>
      </c>
    </row>
    <row r="50" spans="1:24" ht="20.100000000000001" customHeight="1">
      <c r="A50" s="191">
        <v>40</v>
      </c>
      <c r="B50" s="197" t="s">
        <v>974</v>
      </c>
      <c r="G50" s="202"/>
      <c r="H50" s="194"/>
      <c r="I50" s="194"/>
      <c r="K50" s="195"/>
      <c r="L50" s="195"/>
      <c r="O50" s="857"/>
      <c r="P50" s="194"/>
      <c r="R50" s="203"/>
      <c r="S50" s="194"/>
    </row>
    <row r="51" spans="1:24" ht="20.100000000000001" customHeight="1">
      <c r="G51" s="202"/>
      <c r="H51" s="194"/>
      <c r="I51" s="194"/>
      <c r="K51" s="195"/>
      <c r="L51" s="195"/>
      <c r="N51" s="194"/>
      <c r="O51" s="194"/>
      <c r="P51" s="194"/>
      <c r="R51" s="203"/>
      <c r="S51" s="194"/>
    </row>
    <row r="52" spans="1:24" ht="20.100000000000001" customHeight="1">
      <c r="B52" s="191" t="s">
        <v>73</v>
      </c>
      <c r="G52" s="210"/>
      <c r="H52" s="226" t="e">
        <f>+H47+H18</f>
        <v>#REF!</v>
      </c>
      <c r="I52" s="214">
        <f>+I47+I18+I49</f>
        <v>8906244.212292213</v>
      </c>
      <c r="K52" s="195"/>
      <c r="L52" s="195"/>
      <c r="N52" s="194"/>
      <c r="O52" s="226">
        <f>+O47+O18+O49</f>
        <v>417810.9</v>
      </c>
      <c r="P52" s="226">
        <f>+P47+P18</f>
        <v>551378.94000000006</v>
      </c>
      <c r="S52" s="194"/>
      <c r="X52" s="214">
        <f>SUM(X14:X47)/2+X49</f>
        <v>8792316.6133000385</v>
      </c>
    </row>
    <row r="53" spans="1:24" ht="20.100000000000001" customHeight="1">
      <c r="G53" s="210"/>
      <c r="H53" s="211"/>
      <c r="I53" s="211"/>
      <c r="K53" s="195"/>
      <c r="L53" s="195"/>
      <c r="N53" s="194"/>
      <c r="O53" s="194"/>
      <c r="P53" s="194"/>
      <c r="S53" s="19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D21"/>
  <sheetViews>
    <sheetView topLeftCell="B10" workbookViewId="0"/>
  </sheetViews>
  <sheetFormatPr defaultColWidth="9.28515625" defaultRowHeight="15" outlineLevelCol="1"/>
  <cols>
    <col min="1" max="1" width="3.28515625" style="191" bestFit="1" customWidth="1"/>
    <col min="2" max="2" width="12" style="191" customWidth="1" collapsed="1"/>
    <col min="3" max="3" width="45.42578125" style="191" customWidth="1"/>
    <col min="4" max="5" width="9" style="195" customWidth="1"/>
    <col min="6" max="6" width="13.28515625" style="191" customWidth="1"/>
    <col min="7" max="7" width="11.28515625" style="195" hidden="1" customWidth="1" outlineLevel="1"/>
    <col min="8" max="8" width="5.7109375" style="195" hidden="1" customWidth="1" outlineLevel="1"/>
    <col min="9" max="9" width="14.28515625" style="191" hidden="1" customWidth="1" collapsed="1"/>
    <col min="10" max="10" width="8.5703125" style="195" hidden="1" customWidth="1"/>
    <col min="11" max="12" width="16.28515625" style="196" customWidth="1"/>
    <col min="13" max="13" width="14" style="195" customWidth="1"/>
    <col min="14" max="14" width="12.28515625" style="191" customWidth="1"/>
    <col min="15" max="15" width="9.28515625" style="191" customWidth="1"/>
    <col min="16" max="16" width="2.5703125" style="191" customWidth="1"/>
    <col min="17" max="17" width="12.7109375" style="191" customWidth="1"/>
    <col min="18" max="18" width="10" style="191" bestFit="1" customWidth="1"/>
    <col min="19" max="19" width="11" style="191" customWidth="1"/>
    <col min="20" max="20" width="5.28515625" style="191" customWidth="1"/>
    <col min="21" max="21" width="12.5703125" style="191" customWidth="1"/>
    <col min="22" max="22" width="12.42578125" style="191" customWidth="1"/>
    <col min="23" max="23" width="2.7109375" style="191" customWidth="1"/>
    <col min="24" max="24" width="9.28515625" style="191" customWidth="1"/>
    <col min="25" max="25" width="10.28515625" style="191" bestFit="1" customWidth="1"/>
    <col min="26" max="26" width="9.5703125" style="191" bestFit="1" customWidth="1"/>
    <col min="27" max="27" width="11.5703125" style="197" bestFit="1" customWidth="1"/>
    <col min="28" max="16384" width="9.28515625" style="191"/>
  </cols>
  <sheetData>
    <row r="1" spans="1:30" ht="20.100000000000001" customHeight="1">
      <c r="A1" s="191" t="s">
        <v>1023</v>
      </c>
      <c r="N1" s="198" t="s">
        <v>1020</v>
      </c>
      <c r="O1" s="198"/>
      <c r="Q1" s="191" t="s">
        <v>1019</v>
      </c>
      <c r="R1" s="198" t="s">
        <v>280</v>
      </c>
      <c r="S1" s="198"/>
      <c r="U1" s="195" t="s">
        <v>803</v>
      </c>
      <c r="V1" s="195" t="s">
        <v>1018</v>
      </c>
      <c r="W1" s="191" t="s">
        <v>582</v>
      </c>
    </row>
    <row r="2" spans="1:30" ht="19.5" customHeight="1">
      <c r="B2" s="191" t="s">
        <v>964</v>
      </c>
      <c r="C2" s="191" t="s">
        <v>963</v>
      </c>
      <c r="D2" s="195" t="s">
        <v>962</v>
      </c>
      <c r="F2" s="191" t="s">
        <v>958</v>
      </c>
      <c r="G2" s="195" t="s">
        <v>961</v>
      </c>
      <c r="H2" s="195" t="s">
        <v>960</v>
      </c>
      <c r="I2" s="191" t="s">
        <v>959</v>
      </c>
      <c r="J2" s="195" t="s">
        <v>958</v>
      </c>
      <c r="K2" s="196" t="s">
        <v>957</v>
      </c>
      <c r="L2" s="196" t="s">
        <v>853</v>
      </c>
      <c r="M2" s="200" t="s">
        <v>472</v>
      </c>
      <c r="N2" s="200" t="s">
        <v>1015</v>
      </c>
      <c r="O2" s="200" t="s">
        <v>656</v>
      </c>
      <c r="P2" s="199"/>
      <c r="Q2" s="200" t="s">
        <v>737</v>
      </c>
      <c r="R2" s="200" t="s">
        <v>1015</v>
      </c>
      <c r="S2" s="200" t="s">
        <v>656</v>
      </c>
      <c r="T2" s="199"/>
      <c r="U2" s="200" t="s">
        <v>423</v>
      </c>
      <c r="V2" s="200" t="s">
        <v>277</v>
      </c>
      <c r="X2" s="195" t="s">
        <v>1014</v>
      </c>
      <c r="Y2" s="191" t="s">
        <v>1013</v>
      </c>
      <c r="Z2" s="191" t="s">
        <v>1012</v>
      </c>
      <c r="AA2" s="197" t="s">
        <v>853</v>
      </c>
    </row>
    <row r="3" spans="1:30" ht="20.100000000000001" customHeight="1">
      <c r="A3" s="197" t="s">
        <v>967</v>
      </c>
      <c r="B3" s="199"/>
      <c r="C3" s="199"/>
      <c r="D3" s="200"/>
      <c r="E3" s="200"/>
      <c r="F3" s="199"/>
      <c r="G3" s="200"/>
      <c r="H3" s="200"/>
      <c r="I3" s="199"/>
      <c r="J3" s="200"/>
      <c r="K3" s="201"/>
      <c r="L3" s="201"/>
      <c r="M3" s="200"/>
      <c r="N3" s="200"/>
      <c r="O3" s="200"/>
      <c r="P3" s="199"/>
      <c r="Q3" s="200"/>
      <c r="R3" s="200"/>
      <c r="S3" s="200"/>
      <c r="T3" s="199"/>
      <c r="U3" s="200"/>
      <c r="V3" s="200"/>
      <c r="X3" s="195"/>
      <c r="AD3" s="197"/>
    </row>
    <row r="4" spans="1:30" ht="20.100000000000001" customHeight="1">
      <c r="A4" s="191">
        <v>34</v>
      </c>
      <c r="B4" s="191">
        <v>1</v>
      </c>
      <c r="C4" s="191" t="s">
        <v>948</v>
      </c>
      <c r="D4" s="195">
        <v>252</v>
      </c>
      <c r="E4" s="195" t="s">
        <v>511</v>
      </c>
      <c r="F4" s="191" t="s">
        <v>947</v>
      </c>
      <c r="G4" s="195" t="s">
        <v>925</v>
      </c>
      <c r="H4" s="195" t="s">
        <v>925</v>
      </c>
      <c r="I4" s="191">
        <v>75</v>
      </c>
      <c r="J4" s="195" t="s">
        <v>251</v>
      </c>
      <c r="K4" s="194">
        <f>+'PF Sched'!K19</f>
        <v>75000</v>
      </c>
      <c r="L4" s="194">
        <f>+AA4</f>
        <v>16141.732283464567</v>
      </c>
      <c r="M4" s="195">
        <v>331.4</v>
      </c>
      <c r="N4" s="195">
        <v>43</v>
      </c>
      <c r="O4" s="195">
        <v>25</v>
      </c>
      <c r="Q4" s="194">
        <v>375.39</v>
      </c>
      <c r="R4" s="194">
        <v>375.39</v>
      </c>
      <c r="S4" s="194">
        <v>645.66999999999996</v>
      </c>
      <c r="U4" s="203">
        <v>0.25345000000000001</v>
      </c>
      <c r="V4" s="194">
        <v>270.27999999999997</v>
      </c>
      <c r="X4" s="191">
        <v>1125</v>
      </c>
      <c r="Y4" s="191">
        <v>762</v>
      </c>
      <c r="Z4" s="191">
        <v>164</v>
      </c>
      <c r="AA4" s="205">
        <v>16141.732283464567</v>
      </c>
    </row>
    <row r="5" spans="1:30" ht="20.100000000000001" customHeight="1">
      <c r="A5" s="191">
        <v>18</v>
      </c>
      <c r="B5" s="191">
        <v>1</v>
      </c>
      <c r="C5" s="191" t="s">
        <v>928</v>
      </c>
      <c r="D5" s="195">
        <v>255</v>
      </c>
      <c r="E5" s="195" t="s">
        <v>514</v>
      </c>
      <c r="F5" s="191" t="s">
        <v>580</v>
      </c>
      <c r="G5" s="195" t="s">
        <v>925</v>
      </c>
      <c r="H5" s="195" t="s">
        <v>925</v>
      </c>
      <c r="I5" s="191">
        <v>220</v>
      </c>
      <c r="J5" s="202" t="s">
        <v>251</v>
      </c>
      <c r="K5" s="194">
        <f>+'PF Sched'!K80</f>
        <v>333075</v>
      </c>
      <c r="L5" s="194">
        <f>+AA5</f>
        <v>71685.433070866144</v>
      </c>
      <c r="M5" s="195">
        <v>331.4</v>
      </c>
      <c r="N5" s="195">
        <v>43</v>
      </c>
      <c r="O5" s="195">
        <v>25</v>
      </c>
      <c r="Q5" s="194">
        <v>1667.1</v>
      </c>
      <c r="R5" s="194">
        <v>1667.1</v>
      </c>
      <c r="S5" s="194">
        <v>2867.42</v>
      </c>
      <c r="U5" s="203">
        <v>0.25345000000000001</v>
      </c>
      <c r="V5" s="194">
        <v>1200.3200000000002</v>
      </c>
      <c r="X5" s="191">
        <v>1125</v>
      </c>
      <c r="Y5" s="191">
        <v>762</v>
      </c>
      <c r="Z5" s="204">
        <v>164</v>
      </c>
      <c r="AA5" s="205">
        <v>71685.433070866144</v>
      </c>
      <c r="AD5" s="191">
        <v>13</v>
      </c>
    </row>
    <row r="6" spans="1:30" ht="20.100000000000001" customHeight="1">
      <c r="I6" s="204"/>
      <c r="J6" s="202"/>
      <c r="K6" s="194"/>
      <c r="L6" s="194"/>
      <c r="N6" s="195"/>
      <c r="O6" s="195"/>
      <c r="Q6" s="194"/>
      <c r="R6" s="194"/>
      <c r="S6" s="194"/>
      <c r="U6" s="203"/>
      <c r="V6" s="194"/>
      <c r="Z6" s="204"/>
      <c r="AA6" s="205"/>
    </row>
    <row r="7" spans="1:30" ht="20.100000000000001" customHeight="1">
      <c r="A7" s="197" t="s">
        <v>966</v>
      </c>
      <c r="I7" s="204"/>
      <c r="J7" s="202"/>
      <c r="K7" s="194"/>
      <c r="L7" s="194"/>
      <c r="N7" s="195"/>
      <c r="O7" s="195"/>
      <c r="Q7" s="194"/>
      <c r="R7" s="194"/>
      <c r="S7" s="194"/>
      <c r="U7" s="203"/>
      <c r="V7" s="194"/>
      <c r="Z7" s="204"/>
      <c r="AA7" s="205"/>
    </row>
    <row r="8" spans="1:30" ht="20.100000000000001" customHeight="1">
      <c r="A8" s="191">
        <v>18</v>
      </c>
      <c r="B8" s="191">
        <v>1</v>
      </c>
      <c r="C8" s="191" t="s">
        <v>928</v>
      </c>
      <c r="D8" s="195">
        <v>255</v>
      </c>
      <c r="E8" s="195" t="s">
        <v>514</v>
      </c>
      <c r="F8" s="191" t="s">
        <v>580</v>
      </c>
      <c r="G8" s="195" t="s">
        <v>925</v>
      </c>
      <c r="H8" s="195" t="s">
        <v>925</v>
      </c>
      <c r="J8" s="202" t="s">
        <v>7</v>
      </c>
      <c r="K8" s="194">
        <f>+'PF Sched'!K81</f>
        <v>111025</v>
      </c>
      <c r="L8" s="194">
        <f t="shared" ref="L8:L18" si="0">+AA8</f>
        <v>39776.673228346459</v>
      </c>
      <c r="M8" s="195">
        <v>360.2</v>
      </c>
      <c r="N8" s="195">
        <v>30</v>
      </c>
      <c r="O8" s="195">
        <v>25</v>
      </c>
      <c r="Q8" s="194">
        <v>1325.89</v>
      </c>
      <c r="R8" s="194">
        <v>1325.89</v>
      </c>
      <c r="S8" s="194">
        <v>1591.07</v>
      </c>
      <c r="U8" s="203">
        <v>0.25345000000000001</v>
      </c>
      <c r="V8" s="194">
        <v>265.17999999999984</v>
      </c>
      <c r="X8" s="191">
        <v>1345</v>
      </c>
      <c r="Y8" s="191">
        <v>762</v>
      </c>
      <c r="Z8" s="204">
        <v>273</v>
      </c>
      <c r="AA8" s="205">
        <v>39776.673228346459</v>
      </c>
      <c r="AD8" s="191">
        <v>13</v>
      </c>
    </row>
    <row r="9" spans="1:30" ht="20.100000000000001" customHeight="1">
      <c r="A9" s="191">
        <v>11</v>
      </c>
      <c r="B9" s="191">
        <v>2019087</v>
      </c>
      <c r="C9" s="191" t="s">
        <v>927</v>
      </c>
      <c r="D9" s="195">
        <v>241</v>
      </c>
      <c r="E9" s="195" t="s">
        <v>513</v>
      </c>
      <c r="F9" s="191" t="s">
        <v>926</v>
      </c>
      <c r="G9" s="195" t="s">
        <v>925</v>
      </c>
      <c r="H9" s="195" t="s">
        <v>925</v>
      </c>
      <c r="I9" s="191">
        <v>531.26655000000005</v>
      </c>
      <c r="J9" s="202" t="s">
        <v>7</v>
      </c>
      <c r="K9" s="194">
        <f>+'PF Sched'!K82</f>
        <v>338864.89790178911</v>
      </c>
      <c r="L9" s="194">
        <f t="shared" si="0"/>
        <v>121404.35318528666</v>
      </c>
      <c r="M9" s="195">
        <v>360.2</v>
      </c>
      <c r="N9" s="195">
        <v>30</v>
      </c>
      <c r="O9" s="195">
        <v>25</v>
      </c>
      <c r="Q9" s="194">
        <v>4046.81</v>
      </c>
      <c r="R9" s="194">
        <v>4046.81</v>
      </c>
      <c r="S9" s="194">
        <v>4856.17</v>
      </c>
      <c r="U9" s="203">
        <v>0.25345000000000001</v>
      </c>
      <c r="V9" s="194">
        <v>809.36000000000013</v>
      </c>
      <c r="X9" s="191">
        <v>1345</v>
      </c>
      <c r="Y9" s="191">
        <v>762</v>
      </c>
      <c r="Z9" s="204">
        <v>273</v>
      </c>
      <c r="AA9" s="205">
        <v>121404.35318528666</v>
      </c>
      <c r="AC9" s="191">
        <v>0.61470244821092279</v>
      </c>
      <c r="AD9" s="191">
        <v>16</v>
      </c>
    </row>
    <row r="10" spans="1:30" ht="20.100000000000001" customHeight="1">
      <c r="A10" s="191">
        <v>8</v>
      </c>
      <c r="B10" s="191">
        <v>2019173</v>
      </c>
      <c r="C10" s="191" t="s">
        <v>943</v>
      </c>
      <c r="D10" s="195">
        <v>241</v>
      </c>
      <c r="E10" s="195" t="s">
        <v>513</v>
      </c>
      <c r="F10" s="191" t="s">
        <v>926</v>
      </c>
      <c r="G10" s="195" t="s">
        <v>925</v>
      </c>
      <c r="H10" s="195" t="s">
        <v>925</v>
      </c>
      <c r="I10" s="191">
        <v>828.92200000000003</v>
      </c>
      <c r="J10" s="202" t="s">
        <v>7</v>
      </c>
      <c r="K10" s="194">
        <f>+'PF Sched'!K30</f>
        <v>6350</v>
      </c>
      <c r="L10" s="194">
        <f t="shared" si="0"/>
        <v>2275</v>
      </c>
      <c r="M10" s="195">
        <v>360.2</v>
      </c>
      <c r="N10" s="195">
        <v>30</v>
      </c>
      <c r="O10" s="195">
        <v>25</v>
      </c>
      <c r="Q10" s="194">
        <v>211.67</v>
      </c>
      <c r="R10" s="194">
        <v>211.67</v>
      </c>
      <c r="S10" s="194">
        <v>254</v>
      </c>
      <c r="U10" s="203">
        <v>0.25345000000000001</v>
      </c>
      <c r="V10" s="194">
        <v>42.330000000000013</v>
      </c>
      <c r="X10" s="191">
        <v>1345</v>
      </c>
      <c r="Y10" s="191">
        <v>762</v>
      </c>
      <c r="Z10" s="204">
        <v>273</v>
      </c>
      <c r="AA10" s="205">
        <v>2275</v>
      </c>
      <c r="AC10" s="191">
        <v>7.6605518975247366E-3</v>
      </c>
      <c r="AD10" s="191">
        <v>15</v>
      </c>
    </row>
    <row r="11" spans="1:30" ht="20.100000000000001" customHeight="1">
      <c r="B11" s="191">
        <v>2019173</v>
      </c>
      <c r="C11" s="191" t="s">
        <v>943</v>
      </c>
      <c r="D11" s="195">
        <v>241</v>
      </c>
      <c r="E11" s="195" t="s">
        <v>513</v>
      </c>
      <c r="F11" s="191" t="s">
        <v>926</v>
      </c>
      <c r="G11" s="195" t="s">
        <v>925</v>
      </c>
      <c r="H11" s="195" t="s">
        <v>925</v>
      </c>
      <c r="J11" s="202" t="s">
        <v>7</v>
      </c>
      <c r="K11" s="194">
        <f>+'PF Sched'!K31</f>
        <v>92205</v>
      </c>
      <c r="L11" s="194">
        <f t="shared" si="0"/>
        <v>18150.590551181103</v>
      </c>
      <c r="M11" s="195">
        <v>361.2</v>
      </c>
      <c r="N11" s="195">
        <v>45</v>
      </c>
      <c r="O11" s="195">
        <v>25</v>
      </c>
      <c r="Q11" s="194">
        <v>2049</v>
      </c>
      <c r="R11" s="194">
        <v>2049</v>
      </c>
      <c r="S11" s="194">
        <v>3688.2</v>
      </c>
      <c r="U11" s="203">
        <v>0.25345000000000001</v>
      </c>
      <c r="V11" s="194">
        <v>1639.1999999999998</v>
      </c>
      <c r="X11" s="191">
        <v>1350</v>
      </c>
      <c r="Y11" s="191">
        <v>762</v>
      </c>
      <c r="Z11" s="204">
        <v>150</v>
      </c>
      <c r="AA11" s="205">
        <v>18150.590551181103</v>
      </c>
      <c r="AC11" s="191">
        <v>0.11123483271043597</v>
      </c>
      <c r="AD11" s="191">
        <v>15</v>
      </c>
    </row>
    <row r="12" spans="1:30" ht="20.100000000000001" customHeight="1">
      <c r="A12" s="191">
        <v>11</v>
      </c>
      <c r="B12" s="191">
        <v>2019087</v>
      </c>
      <c r="C12" s="191" t="s">
        <v>927</v>
      </c>
      <c r="D12" s="195">
        <v>241</v>
      </c>
      <c r="E12" s="195" t="s">
        <v>513</v>
      </c>
      <c r="F12" s="191" t="s">
        <v>926</v>
      </c>
      <c r="G12" s="195" t="s">
        <v>925</v>
      </c>
      <c r="H12" s="195" t="s">
        <v>925</v>
      </c>
      <c r="J12" s="202" t="s">
        <v>7</v>
      </c>
      <c r="K12" s="194">
        <f>+'PF Sched'!K83</f>
        <v>172219.40762033898</v>
      </c>
      <c r="L12" s="194">
        <f t="shared" si="0"/>
        <v>33901.458192980121</v>
      </c>
      <c r="M12" s="195">
        <v>361.2</v>
      </c>
      <c r="N12" s="195">
        <v>45</v>
      </c>
      <c r="O12" s="195">
        <v>25</v>
      </c>
      <c r="Q12" s="194">
        <v>753.37</v>
      </c>
      <c r="R12" s="194">
        <v>753.37</v>
      </c>
      <c r="S12" s="194">
        <v>1356.06</v>
      </c>
      <c r="U12" s="203">
        <v>0.25345000000000001</v>
      </c>
      <c r="V12" s="194">
        <v>602.68999999999994</v>
      </c>
      <c r="X12" s="191">
        <v>1350</v>
      </c>
      <c r="Y12" s="191">
        <v>762</v>
      </c>
      <c r="Z12" s="204">
        <v>150</v>
      </c>
      <c r="AA12" s="205">
        <v>33901.458192980121</v>
      </c>
      <c r="AC12" s="191">
        <v>0.31240677966101693</v>
      </c>
      <c r="AD12" s="191">
        <v>16</v>
      </c>
    </row>
    <row r="13" spans="1:30" ht="20.100000000000001" customHeight="1">
      <c r="B13" s="191">
        <v>2019173</v>
      </c>
      <c r="C13" s="191" t="s">
        <v>943</v>
      </c>
      <c r="D13" s="195">
        <v>241</v>
      </c>
      <c r="E13" s="195" t="s">
        <v>513</v>
      </c>
      <c r="F13" s="191" t="s">
        <v>926</v>
      </c>
      <c r="G13" s="195" t="s">
        <v>925</v>
      </c>
      <c r="H13" s="195" t="s">
        <v>925</v>
      </c>
      <c r="J13" s="202" t="s">
        <v>7</v>
      </c>
      <c r="K13" s="194">
        <f>+'PF Sched'!K32</f>
        <v>72250</v>
      </c>
      <c r="L13" s="194">
        <f t="shared" si="0"/>
        <v>23131.586483390609</v>
      </c>
      <c r="M13" s="195" t="s">
        <v>972</v>
      </c>
      <c r="N13" s="195">
        <v>30</v>
      </c>
      <c r="O13" s="195">
        <v>25</v>
      </c>
      <c r="Q13" s="194">
        <v>2408.33</v>
      </c>
      <c r="R13" s="194">
        <v>2408.33</v>
      </c>
      <c r="S13" s="194">
        <v>2890</v>
      </c>
      <c r="U13" s="203">
        <v>0.25345000000000001</v>
      </c>
      <c r="V13" s="194">
        <v>481.67000000000007</v>
      </c>
      <c r="X13" s="191">
        <v>1353</v>
      </c>
      <c r="Y13" s="191">
        <v>873</v>
      </c>
      <c r="Z13" s="204">
        <v>279.5</v>
      </c>
      <c r="AA13" s="205">
        <v>23131.586483390609</v>
      </c>
      <c r="AC13" s="191">
        <v>8.7161397574198773E-2</v>
      </c>
      <c r="AD13" s="191">
        <v>15</v>
      </c>
    </row>
    <row r="14" spans="1:30" ht="20.100000000000001" customHeight="1">
      <c r="A14" s="191">
        <v>11</v>
      </c>
      <c r="B14" s="191">
        <v>2019087</v>
      </c>
      <c r="C14" s="191" t="s">
        <v>927</v>
      </c>
      <c r="D14" s="195">
        <v>241</v>
      </c>
      <c r="E14" s="195" t="s">
        <v>513</v>
      </c>
      <c r="F14" s="191" t="s">
        <v>926</v>
      </c>
      <c r="G14" s="195" t="s">
        <v>925</v>
      </c>
      <c r="H14" s="195" t="s">
        <v>925</v>
      </c>
      <c r="J14" s="202" t="s">
        <v>7</v>
      </c>
      <c r="K14" s="194">
        <f>+'PF Sched'!K84</f>
        <v>40182</v>
      </c>
      <c r="L14" s="194">
        <f t="shared" si="0"/>
        <v>12864.683848797251</v>
      </c>
      <c r="M14" s="195" t="s">
        <v>972</v>
      </c>
      <c r="N14" s="195">
        <v>30</v>
      </c>
      <c r="O14" s="195">
        <v>25</v>
      </c>
      <c r="Q14" s="194">
        <v>428.82</v>
      </c>
      <c r="R14" s="194">
        <v>428.82</v>
      </c>
      <c r="S14" s="194">
        <v>514.59</v>
      </c>
      <c r="U14" s="203">
        <v>0.25345000000000001</v>
      </c>
      <c r="V14" s="194">
        <v>85.770000000000039</v>
      </c>
      <c r="X14" s="191">
        <v>1353</v>
      </c>
      <c r="Y14" s="191">
        <v>873</v>
      </c>
      <c r="Z14" s="204">
        <v>279.5</v>
      </c>
      <c r="AA14" s="205">
        <v>12864.683848797251</v>
      </c>
      <c r="AC14" s="191">
        <v>7.2890772128060263E-2</v>
      </c>
      <c r="AD14" s="191">
        <v>16</v>
      </c>
    </row>
    <row r="15" spans="1:30" ht="20.100000000000001" customHeight="1">
      <c r="A15" s="191">
        <v>30</v>
      </c>
      <c r="B15" s="191">
        <v>1</v>
      </c>
      <c r="C15" s="191" t="s">
        <v>940</v>
      </c>
      <c r="D15" s="195">
        <v>249</v>
      </c>
      <c r="E15" s="195" t="s">
        <v>939</v>
      </c>
      <c r="F15" s="191" t="s">
        <v>577</v>
      </c>
      <c r="G15" s="195" t="s">
        <v>925</v>
      </c>
      <c r="H15" s="195" t="s">
        <v>925</v>
      </c>
      <c r="I15" s="191">
        <v>100</v>
      </c>
      <c r="J15" s="202" t="s">
        <v>7</v>
      </c>
      <c r="K15" s="206">
        <f>+'PF Sched'!K37</f>
        <v>81890</v>
      </c>
      <c r="L15" s="194">
        <f t="shared" si="0"/>
        <v>32092.950751252087</v>
      </c>
      <c r="M15" s="195">
        <v>370.3</v>
      </c>
      <c r="N15" s="195">
        <v>30</v>
      </c>
      <c r="O15" s="195">
        <v>25</v>
      </c>
      <c r="Q15" s="194">
        <v>1069.77</v>
      </c>
      <c r="R15" s="194">
        <v>1069.77</v>
      </c>
      <c r="S15" s="194">
        <v>1283.72</v>
      </c>
      <c r="U15" s="203">
        <v>0.25345000000000001</v>
      </c>
      <c r="V15" s="194">
        <v>213.95000000000005</v>
      </c>
      <c r="X15" s="191">
        <v>1375</v>
      </c>
      <c r="Y15" s="191">
        <v>599</v>
      </c>
      <c r="Z15" s="204">
        <v>234.75</v>
      </c>
      <c r="AA15" s="205">
        <v>32092.950751252087</v>
      </c>
      <c r="AB15" s="191" t="s">
        <v>995</v>
      </c>
      <c r="AD15" s="191">
        <v>2</v>
      </c>
    </row>
    <row r="16" spans="1:30" ht="20.100000000000001" customHeight="1">
      <c r="A16" s="191">
        <v>12</v>
      </c>
      <c r="B16" s="191">
        <v>1</v>
      </c>
      <c r="C16" s="191" t="s">
        <v>941</v>
      </c>
      <c r="D16" s="195">
        <v>255</v>
      </c>
      <c r="E16" s="195" t="s">
        <v>514</v>
      </c>
      <c r="F16" s="191" t="s">
        <v>580</v>
      </c>
      <c r="G16" s="195" t="s">
        <v>925</v>
      </c>
      <c r="H16" s="195" t="s">
        <v>925</v>
      </c>
      <c r="I16" s="191">
        <v>340</v>
      </c>
      <c r="J16" s="202" t="s">
        <v>7</v>
      </c>
      <c r="K16" s="194">
        <f>+'PF Sched'!K36</f>
        <v>540000</v>
      </c>
      <c r="L16" s="194">
        <f t="shared" si="0"/>
        <v>211627.71285475793</v>
      </c>
      <c r="M16" s="195">
        <v>370.3</v>
      </c>
      <c r="N16" s="195">
        <v>30</v>
      </c>
      <c r="O16" s="195">
        <v>25</v>
      </c>
      <c r="Q16" s="194">
        <v>7054.26</v>
      </c>
      <c r="R16" s="194">
        <v>7054.26</v>
      </c>
      <c r="S16" s="194">
        <v>8465.11</v>
      </c>
      <c r="U16" s="203">
        <v>0.25345000000000001</v>
      </c>
      <c r="V16" s="194">
        <v>1410.8500000000004</v>
      </c>
      <c r="X16" s="191">
        <v>1375</v>
      </c>
      <c r="Y16" s="191">
        <v>599</v>
      </c>
      <c r="Z16" s="204">
        <v>234.75</v>
      </c>
      <c r="AA16" s="205">
        <v>211627.71285475793</v>
      </c>
      <c r="AB16" s="191" t="s">
        <v>995</v>
      </c>
      <c r="AD16" s="191">
        <v>12</v>
      </c>
    </row>
    <row r="17" spans="2:30" ht="20.100000000000001" customHeight="1">
      <c r="B17" s="191">
        <v>2019173</v>
      </c>
      <c r="C17" s="191" t="s">
        <v>943</v>
      </c>
      <c r="D17" s="195">
        <v>241</v>
      </c>
      <c r="E17" s="195" t="s">
        <v>513</v>
      </c>
      <c r="F17" s="191" t="s">
        <v>926</v>
      </c>
      <c r="G17" s="195" t="s">
        <v>925</v>
      </c>
      <c r="H17" s="195" t="s">
        <v>925</v>
      </c>
      <c r="J17" s="202" t="s">
        <v>7</v>
      </c>
      <c r="K17" s="194">
        <f>+'PF Sched'!K33</f>
        <v>589117</v>
      </c>
      <c r="L17" s="194">
        <f t="shared" si="0"/>
        <v>230876.82095158598</v>
      </c>
      <c r="M17" s="195">
        <v>370.3</v>
      </c>
      <c r="N17" s="195">
        <v>30</v>
      </c>
      <c r="O17" s="195">
        <v>25</v>
      </c>
      <c r="Q17" s="194">
        <v>19637.23</v>
      </c>
      <c r="R17" s="194">
        <v>19637.23</v>
      </c>
      <c r="S17" s="194">
        <v>23564.68</v>
      </c>
      <c r="U17" s="203">
        <v>0.25345000000000001</v>
      </c>
      <c r="V17" s="194">
        <v>3927.4500000000007</v>
      </c>
      <c r="X17" s="191">
        <v>1375</v>
      </c>
      <c r="Y17" s="191">
        <v>599</v>
      </c>
      <c r="Z17" s="204">
        <v>234.75</v>
      </c>
      <c r="AA17" s="205">
        <v>230876.82095158598</v>
      </c>
      <c r="AC17" s="191">
        <v>0.71070257515182367</v>
      </c>
      <c r="AD17" s="191">
        <v>15</v>
      </c>
    </row>
    <row r="18" spans="2:30" ht="20.100000000000001" customHeight="1">
      <c r="B18" s="191">
        <v>2019173</v>
      </c>
      <c r="C18" s="191" t="s">
        <v>943</v>
      </c>
      <c r="D18" s="195">
        <v>241</v>
      </c>
      <c r="E18" s="195" t="s">
        <v>513</v>
      </c>
      <c r="F18" s="191" t="s">
        <v>926</v>
      </c>
      <c r="G18" s="195" t="s">
        <v>925</v>
      </c>
      <c r="H18" s="195" t="s">
        <v>925</v>
      </c>
      <c r="J18" s="202" t="s">
        <v>7</v>
      </c>
      <c r="K18" s="194">
        <f>+'PF Sched'!K34</f>
        <v>69000</v>
      </c>
      <c r="L18" s="194">
        <f t="shared" si="0"/>
        <v>27118.127786032688</v>
      </c>
      <c r="M18" s="195">
        <v>371.3</v>
      </c>
      <c r="N18" s="195">
        <v>18</v>
      </c>
      <c r="O18" s="195">
        <v>25</v>
      </c>
      <c r="Q18" s="194">
        <v>3833.33</v>
      </c>
      <c r="R18" s="194">
        <v>3833.33</v>
      </c>
      <c r="S18" s="194">
        <v>2760</v>
      </c>
      <c r="U18" s="203">
        <v>0.25345000000000001</v>
      </c>
      <c r="V18" s="194">
        <v>-1073.33</v>
      </c>
      <c r="X18" s="191">
        <v>1380</v>
      </c>
      <c r="Y18" s="191">
        <v>1346</v>
      </c>
      <c r="Z18" s="204">
        <v>529</v>
      </c>
      <c r="AA18" s="205">
        <v>27118.127786032688</v>
      </c>
      <c r="AC18" s="191">
        <v>8.3240642666016829E-2</v>
      </c>
      <c r="AD18" s="191">
        <v>15</v>
      </c>
    </row>
    <row r="19" spans="2:30" ht="20.100000000000001" customHeight="1">
      <c r="J19" s="202"/>
      <c r="K19" s="194"/>
      <c r="L19" s="194"/>
      <c r="N19" s="195"/>
      <c r="O19" s="195"/>
      <c r="Q19" s="194"/>
      <c r="R19" s="194"/>
      <c r="S19" s="194"/>
      <c r="U19" s="203"/>
      <c r="V19" s="194"/>
      <c r="Z19" s="204"/>
      <c r="AA19" s="205"/>
    </row>
    <row r="20" spans="2:30" ht="20.100000000000001" customHeight="1" thickBot="1">
      <c r="J20" s="202"/>
      <c r="K20" s="858">
        <f>SUM(K4:K19)</f>
        <v>2521178.305522128</v>
      </c>
      <c r="L20" s="217">
        <f>SUM(L4:L19)</f>
        <v>841047.12318794162</v>
      </c>
      <c r="N20" s="195"/>
      <c r="O20" s="195"/>
      <c r="Q20" s="194"/>
      <c r="R20" s="858">
        <f>SUM(R4:R19)</f>
        <v>44860.97</v>
      </c>
      <c r="S20" s="194"/>
      <c r="U20" s="203"/>
      <c r="V20" s="194"/>
      <c r="Z20" s="204"/>
      <c r="AA20" s="205"/>
    </row>
    <row r="21" spans="2:30" ht="20.100000000000001" customHeight="1" thickTop="1">
      <c r="J21" s="202"/>
      <c r="K21" s="194"/>
      <c r="L21" s="194"/>
      <c r="N21" s="195"/>
      <c r="O21" s="195"/>
      <c r="Q21" s="194"/>
      <c r="R21" s="194"/>
      <c r="S21" s="194"/>
      <c r="U21" s="203"/>
      <c r="V21" s="194"/>
      <c r="Z21" s="204"/>
      <c r="AA21" s="205"/>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D94"/>
  <sheetViews>
    <sheetView topLeftCell="O1" workbookViewId="0"/>
  </sheetViews>
  <sheetFormatPr defaultColWidth="9.28515625" defaultRowHeight="15" outlineLevelCol="1"/>
  <cols>
    <col min="1" max="1" width="3.28515625" style="191" bestFit="1" customWidth="1"/>
    <col min="2" max="2" width="12" style="191" customWidth="1" collapsed="1"/>
    <col min="3" max="3" width="45.42578125" style="191" customWidth="1"/>
    <col min="4" max="5" width="9" style="195" customWidth="1"/>
    <col min="6" max="6" width="13.28515625" style="191" customWidth="1"/>
    <col min="7" max="7" width="11.28515625" style="195" customWidth="1" outlineLevel="1"/>
    <col min="8" max="8" width="5.7109375" style="195" customWidth="1" outlineLevel="1"/>
    <col min="9" max="9" width="14.28515625" style="191" customWidth="1"/>
    <col min="10" max="10" width="8.5703125" style="195" customWidth="1"/>
    <col min="11" max="12" width="16.28515625" style="196" customWidth="1"/>
    <col min="13" max="13" width="14" style="195" customWidth="1"/>
    <col min="14" max="14" width="12.28515625" style="191" customWidth="1"/>
    <col min="15" max="15" width="9.28515625" style="191"/>
    <col min="16" max="16" width="2.5703125" style="191" customWidth="1"/>
    <col min="17" max="17" width="12.7109375" style="191" customWidth="1"/>
    <col min="18" max="18" width="9.5703125" style="191" bestFit="1" customWidth="1"/>
    <col min="19" max="19" width="11" style="191" customWidth="1"/>
    <col min="20" max="20" width="5.28515625" style="191" hidden="1" customWidth="1"/>
    <col min="21" max="21" width="12.5703125" style="191" customWidth="1"/>
    <col min="22" max="22" width="12.42578125" style="191" customWidth="1"/>
    <col min="23" max="23" width="2.7109375" style="191" customWidth="1"/>
    <col min="24" max="24" width="9.28515625" style="191" customWidth="1"/>
    <col min="25" max="25" width="10.28515625" style="191" customWidth="1"/>
    <col min="26" max="26" width="9.5703125" style="191" customWidth="1"/>
    <col min="27" max="27" width="11.28515625" style="197" customWidth="1"/>
    <col min="28" max="34" width="9.28515625" style="191" customWidth="1"/>
    <col min="35" max="16384" width="9.28515625" style="191"/>
  </cols>
  <sheetData>
    <row r="1" spans="1:30" ht="20.100000000000001" customHeight="1">
      <c r="B1" s="191" t="s">
        <v>1022</v>
      </c>
      <c r="F1" s="191" t="s">
        <v>1021</v>
      </c>
    </row>
    <row r="2" spans="1:30" ht="19.5" customHeight="1">
      <c r="N2" s="198" t="s">
        <v>1020</v>
      </c>
      <c r="O2" s="198"/>
      <c r="Q2" s="191" t="s">
        <v>1019</v>
      </c>
      <c r="R2" s="198" t="s">
        <v>731</v>
      </c>
      <c r="S2" s="198"/>
      <c r="U2" s="195" t="s">
        <v>803</v>
      </c>
      <c r="V2" s="195" t="s">
        <v>1018</v>
      </c>
      <c r="W2" s="191" t="s">
        <v>582</v>
      </c>
    </row>
    <row r="3" spans="1:30" ht="20.100000000000001" customHeight="1">
      <c r="B3" s="199" t="s">
        <v>964</v>
      </c>
      <c r="C3" s="199" t="s">
        <v>963</v>
      </c>
      <c r="D3" s="200" t="s">
        <v>962</v>
      </c>
      <c r="E3" s="200"/>
      <c r="F3" s="199" t="s">
        <v>958</v>
      </c>
      <c r="G3" s="200" t="s">
        <v>961</v>
      </c>
      <c r="H3" s="200" t="s">
        <v>960</v>
      </c>
      <c r="I3" s="199" t="s">
        <v>959</v>
      </c>
      <c r="J3" s="200" t="s">
        <v>958</v>
      </c>
      <c r="K3" s="201" t="s">
        <v>1017</v>
      </c>
      <c r="L3" s="201" t="s">
        <v>1016</v>
      </c>
      <c r="M3" s="200" t="s">
        <v>472</v>
      </c>
      <c r="N3" s="200" t="s">
        <v>1015</v>
      </c>
      <c r="O3" s="200" t="s">
        <v>656</v>
      </c>
      <c r="P3" s="199"/>
      <c r="Q3" s="200" t="s">
        <v>737</v>
      </c>
      <c r="R3" s="200" t="s">
        <v>1015</v>
      </c>
      <c r="S3" s="200" t="s">
        <v>656</v>
      </c>
      <c r="T3" s="199"/>
      <c r="U3" s="200" t="s">
        <v>423</v>
      </c>
      <c r="V3" s="200" t="s">
        <v>277</v>
      </c>
      <c r="X3" s="195" t="s">
        <v>1014</v>
      </c>
      <c r="Y3" s="191" t="s">
        <v>1013</v>
      </c>
      <c r="Z3" s="191" t="s">
        <v>1012</v>
      </c>
      <c r="AA3" s="197" t="s">
        <v>853</v>
      </c>
      <c r="AD3" s="197" t="s">
        <v>1011</v>
      </c>
    </row>
    <row r="4" spans="1:30" ht="20.100000000000001" customHeight="1">
      <c r="A4" s="197" t="s">
        <v>1010</v>
      </c>
      <c r="K4" s="215"/>
      <c r="L4" s="215"/>
      <c r="N4" s="195"/>
      <c r="O4" s="195"/>
      <c r="Q4" s="194"/>
      <c r="R4" s="195"/>
      <c r="S4" s="195"/>
      <c r="U4" s="195"/>
      <c r="V4" s="195"/>
    </row>
    <row r="5" spans="1:30" ht="20.100000000000001" customHeight="1">
      <c r="A5" s="191">
        <v>21</v>
      </c>
      <c r="B5" s="191">
        <v>1</v>
      </c>
      <c r="C5" s="191" t="s">
        <v>956</v>
      </c>
      <c r="D5" s="195">
        <v>255</v>
      </c>
      <c r="E5" s="195" t="s">
        <v>514</v>
      </c>
      <c r="F5" s="191" t="s">
        <v>580</v>
      </c>
      <c r="G5" s="195" t="s">
        <v>925</v>
      </c>
      <c r="H5" s="195" t="s">
        <v>6</v>
      </c>
      <c r="I5" s="191">
        <v>74.5</v>
      </c>
      <c r="J5" s="202" t="s">
        <v>251</v>
      </c>
      <c r="K5" s="194">
        <v>74500</v>
      </c>
      <c r="L5" s="194">
        <v>76795.728124999994</v>
      </c>
      <c r="M5" s="195">
        <v>307</v>
      </c>
      <c r="N5" s="195">
        <v>30</v>
      </c>
      <c r="O5" s="195">
        <v>25</v>
      </c>
      <c r="Q5" s="194">
        <v>2559.86</v>
      </c>
      <c r="R5" s="194">
        <v>2559.86</v>
      </c>
      <c r="S5" s="194">
        <v>3071.83</v>
      </c>
      <c r="U5" s="203">
        <v>0.25345000000000001</v>
      </c>
      <c r="V5" s="194">
        <v>511.9699999999998</v>
      </c>
      <c r="X5" s="191">
        <v>1080</v>
      </c>
      <c r="Y5" s="191">
        <v>486</v>
      </c>
      <c r="Z5" s="204">
        <v>238.5</v>
      </c>
      <c r="AA5" s="205">
        <v>36560.185185185182</v>
      </c>
      <c r="AD5" s="191">
        <v>14</v>
      </c>
    </row>
    <row r="6" spans="1:30" ht="20.100000000000001" customHeight="1">
      <c r="A6" s="191">
        <v>38</v>
      </c>
      <c r="B6" s="191">
        <v>2020041</v>
      </c>
      <c r="C6" s="191" t="s">
        <v>955</v>
      </c>
      <c r="D6" s="195">
        <v>252</v>
      </c>
      <c r="E6" s="195" t="s">
        <v>512</v>
      </c>
      <c r="F6" s="191" t="s">
        <v>954</v>
      </c>
      <c r="G6" s="195" t="s">
        <v>925</v>
      </c>
      <c r="H6" s="195" t="s">
        <v>6</v>
      </c>
      <c r="I6" s="204">
        <v>94.567999999999998</v>
      </c>
      <c r="J6" s="202" t="s">
        <v>251</v>
      </c>
      <c r="K6" s="194">
        <v>94568</v>
      </c>
      <c r="L6" s="194">
        <v>98145.029399999999</v>
      </c>
      <c r="M6" s="195">
        <v>307</v>
      </c>
      <c r="N6" s="195">
        <v>30</v>
      </c>
      <c r="O6" s="195">
        <v>25</v>
      </c>
      <c r="Q6" s="194">
        <v>3271.5</v>
      </c>
      <c r="R6" s="194">
        <v>3271.5</v>
      </c>
      <c r="S6" s="194">
        <v>3925.8</v>
      </c>
      <c r="U6" s="203">
        <v>0.25345000000000001</v>
      </c>
      <c r="V6" s="194">
        <v>654.30000000000018</v>
      </c>
      <c r="X6" s="191">
        <v>1080</v>
      </c>
      <c r="Y6" s="191">
        <v>486</v>
      </c>
      <c r="Z6" s="204">
        <v>238.5</v>
      </c>
      <c r="AA6" s="205">
        <v>46408.370370370372</v>
      </c>
      <c r="AD6" s="191">
        <v>20</v>
      </c>
    </row>
    <row r="7" spans="1:30" ht="20.100000000000001" customHeight="1">
      <c r="A7" s="191">
        <v>49</v>
      </c>
      <c r="B7" s="191">
        <v>1</v>
      </c>
      <c r="C7" s="191" t="s">
        <v>1009</v>
      </c>
      <c r="D7" s="195">
        <v>251</v>
      </c>
      <c r="E7" s="195" t="s">
        <v>931</v>
      </c>
      <c r="F7" s="191" t="s">
        <v>571</v>
      </c>
      <c r="G7" s="195" t="s">
        <v>6</v>
      </c>
      <c r="I7" s="204">
        <v>44</v>
      </c>
      <c r="J7" s="202" t="s">
        <v>251</v>
      </c>
      <c r="K7" s="194"/>
      <c r="L7" s="194">
        <v>0</v>
      </c>
      <c r="N7" s="195"/>
      <c r="O7" s="195"/>
      <c r="Q7" s="194"/>
      <c r="R7" s="194"/>
      <c r="S7" s="194"/>
      <c r="U7" s="203"/>
      <c r="V7" s="194"/>
      <c r="X7" s="191">
        <v>1080</v>
      </c>
      <c r="Y7" s="191">
        <v>486</v>
      </c>
      <c r="Z7" s="204">
        <v>238.5</v>
      </c>
      <c r="AA7" s="205">
        <v>0</v>
      </c>
    </row>
    <row r="8" spans="1:30" ht="20.100000000000001" customHeight="1">
      <c r="B8" s="191">
        <v>2020004</v>
      </c>
      <c r="C8" s="191" t="s">
        <v>953</v>
      </c>
      <c r="D8" s="195">
        <v>252</v>
      </c>
      <c r="E8" s="195" t="s">
        <v>512</v>
      </c>
      <c r="F8" s="191" t="s">
        <v>951</v>
      </c>
      <c r="G8" s="195" t="s">
        <v>925</v>
      </c>
      <c r="H8" s="195" t="s">
        <v>6</v>
      </c>
      <c r="I8" s="204">
        <v>154.571</v>
      </c>
      <c r="J8" s="202" t="s">
        <v>251</v>
      </c>
      <c r="K8" s="194">
        <v>47700</v>
      </c>
      <c r="L8" s="194">
        <v>49572.543557543104</v>
      </c>
      <c r="M8" s="195">
        <v>307</v>
      </c>
      <c r="N8" s="195">
        <v>30</v>
      </c>
      <c r="O8" s="195">
        <v>25</v>
      </c>
      <c r="Q8" s="194">
        <v>1652.42</v>
      </c>
      <c r="R8" s="194">
        <v>1652.42</v>
      </c>
      <c r="S8" s="194">
        <v>1982.9</v>
      </c>
      <c r="U8" s="203">
        <v>0.25345000000000001</v>
      </c>
      <c r="V8" s="194">
        <v>330.48</v>
      </c>
      <c r="X8" s="191">
        <v>1080</v>
      </c>
      <c r="Y8" s="191">
        <v>486</v>
      </c>
      <c r="Z8" s="204">
        <v>238.5</v>
      </c>
      <c r="AA8" s="205">
        <v>23408.333333333332</v>
      </c>
      <c r="AD8" s="191" t="s">
        <v>999</v>
      </c>
    </row>
    <row r="9" spans="1:30" ht="20.100000000000001" customHeight="1">
      <c r="A9" s="191">
        <v>9</v>
      </c>
      <c r="B9" s="191">
        <v>1</v>
      </c>
      <c r="C9" s="191" t="s">
        <v>1008</v>
      </c>
      <c r="D9" s="195">
        <v>251</v>
      </c>
      <c r="E9" s="195" t="s">
        <v>931</v>
      </c>
      <c r="F9" s="191" t="s">
        <v>571</v>
      </c>
      <c r="G9" s="195" t="s">
        <v>6</v>
      </c>
      <c r="I9" s="191">
        <v>486.51400000000001</v>
      </c>
      <c r="J9" s="202" t="s">
        <v>251</v>
      </c>
      <c r="K9" s="194">
        <v>486514</v>
      </c>
      <c r="L9" s="194">
        <v>506868.52947499999</v>
      </c>
      <c r="M9" s="195">
        <v>309.2</v>
      </c>
      <c r="N9" s="195">
        <v>35</v>
      </c>
      <c r="O9" s="195">
        <v>25</v>
      </c>
      <c r="Q9" s="194">
        <v>14481.96</v>
      </c>
      <c r="R9" s="194">
        <v>14481.96</v>
      </c>
      <c r="S9" s="194">
        <v>20274.740000000002</v>
      </c>
      <c r="U9" s="203">
        <v>0.25345000000000001</v>
      </c>
      <c r="V9" s="194">
        <v>5792.7800000000025</v>
      </c>
      <c r="X9" s="191">
        <v>1090</v>
      </c>
      <c r="Y9" s="191">
        <v>579</v>
      </c>
      <c r="Z9" s="191">
        <v>224</v>
      </c>
      <c r="AA9" s="205"/>
    </row>
    <row r="10" spans="1:30" ht="20.100000000000001" customHeight="1">
      <c r="A10" s="191">
        <v>39</v>
      </c>
      <c r="B10" s="191">
        <v>2020028</v>
      </c>
      <c r="C10" s="191" t="s">
        <v>1007</v>
      </c>
      <c r="D10" s="195">
        <v>251</v>
      </c>
      <c r="E10" s="195" t="s">
        <v>931</v>
      </c>
      <c r="F10" s="191" t="s">
        <v>571</v>
      </c>
      <c r="G10" s="195" t="s">
        <v>6</v>
      </c>
      <c r="I10" s="191">
        <v>70</v>
      </c>
      <c r="J10" s="202" t="s">
        <v>251</v>
      </c>
      <c r="K10" s="216">
        <v>70000</v>
      </c>
      <c r="L10" s="216">
        <v>70000</v>
      </c>
      <c r="M10" s="195">
        <v>309.2</v>
      </c>
      <c r="N10" s="195">
        <v>35</v>
      </c>
      <c r="O10" s="195">
        <v>25</v>
      </c>
      <c r="Q10" s="194">
        <v>2000</v>
      </c>
      <c r="R10" s="194">
        <v>2000</v>
      </c>
      <c r="S10" s="194">
        <v>2800</v>
      </c>
      <c r="U10" s="203">
        <v>0.25345000000000001</v>
      </c>
      <c r="V10" s="194">
        <v>800</v>
      </c>
      <c r="X10" s="191">
        <v>1090</v>
      </c>
      <c r="Y10" s="191">
        <v>579</v>
      </c>
      <c r="Z10" s="191">
        <v>224</v>
      </c>
      <c r="AA10" s="205"/>
    </row>
    <row r="11" spans="1:30" ht="20.100000000000001" customHeight="1">
      <c r="A11" s="191">
        <v>32</v>
      </c>
      <c r="B11" s="191">
        <v>2019110</v>
      </c>
      <c r="C11" s="191" t="s">
        <v>1006</v>
      </c>
      <c r="D11" s="195">
        <v>252</v>
      </c>
      <c r="E11" s="195" t="s">
        <v>514</v>
      </c>
      <c r="F11" s="191" t="s">
        <v>1005</v>
      </c>
      <c r="G11" s="195" t="s">
        <v>6</v>
      </c>
      <c r="I11" s="191">
        <v>100</v>
      </c>
      <c r="J11" s="202" t="s">
        <v>251</v>
      </c>
      <c r="K11" s="194">
        <v>95397</v>
      </c>
      <c r="L11" s="194">
        <v>100256</v>
      </c>
      <c r="M11" s="195">
        <v>310</v>
      </c>
      <c r="N11" s="195">
        <v>20</v>
      </c>
      <c r="O11" s="195">
        <v>25</v>
      </c>
      <c r="Q11" s="194">
        <v>5012.8</v>
      </c>
      <c r="R11" s="194">
        <v>5012.8</v>
      </c>
      <c r="S11" s="194">
        <v>4010.24</v>
      </c>
      <c r="U11" s="203">
        <v>0.25345000000000001</v>
      </c>
      <c r="V11" s="194">
        <v>-1002.5600000000004</v>
      </c>
      <c r="X11" s="191">
        <v>1095</v>
      </c>
      <c r="Y11" s="191">
        <v>1346</v>
      </c>
      <c r="Z11" s="204">
        <v>529.5</v>
      </c>
      <c r="AA11" s="205"/>
    </row>
    <row r="12" spans="1:30" ht="20.100000000000001" customHeight="1">
      <c r="A12" s="191">
        <v>33</v>
      </c>
      <c r="B12" s="191">
        <v>2019111</v>
      </c>
      <c r="C12" s="191" t="s">
        <v>1004</v>
      </c>
      <c r="D12" s="195">
        <v>252</v>
      </c>
      <c r="E12" s="195" t="s">
        <v>514</v>
      </c>
      <c r="F12" s="191" t="s">
        <v>1003</v>
      </c>
      <c r="G12" s="195" t="s">
        <v>6</v>
      </c>
      <c r="I12" s="191">
        <v>99.137</v>
      </c>
      <c r="J12" s="202" t="s">
        <v>251</v>
      </c>
      <c r="K12" s="194">
        <v>99137</v>
      </c>
      <c r="L12" s="194">
        <v>104291.66124</v>
      </c>
      <c r="M12" s="195">
        <v>310</v>
      </c>
      <c r="N12" s="195">
        <v>20</v>
      </c>
      <c r="O12" s="195">
        <v>25</v>
      </c>
      <c r="Q12" s="194">
        <v>5214.58</v>
      </c>
      <c r="R12" s="194">
        <v>5214.58</v>
      </c>
      <c r="S12" s="194">
        <v>4171.67</v>
      </c>
      <c r="U12" s="203">
        <v>0.25345000000000001</v>
      </c>
      <c r="V12" s="194">
        <v>-1042.9099999999999</v>
      </c>
      <c r="X12" s="191">
        <v>1095</v>
      </c>
      <c r="Y12" s="191">
        <v>1346</v>
      </c>
      <c r="Z12" s="204">
        <v>529.5</v>
      </c>
      <c r="AA12" s="205"/>
    </row>
    <row r="13" spans="1:30" ht="20.100000000000001" customHeight="1">
      <c r="A13" s="191">
        <v>22</v>
      </c>
      <c r="B13" s="191">
        <v>2020004</v>
      </c>
      <c r="C13" s="191" t="s">
        <v>1002</v>
      </c>
      <c r="D13" s="195">
        <v>252</v>
      </c>
      <c r="E13" s="195" t="s">
        <v>512</v>
      </c>
      <c r="F13" s="191" t="s">
        <v>951</v>
      </c>
      <c r="G13" s="195" t="s">
        <v>925</v>
      </c>
      <c r="H13" s="195" t="s">
        <v>6</v>
      </c>
      <c r="I13" s="191">
        <v>154.571</v>
      </c>
      <c r="J13" s="202" t="s">
        <v>251</v>
      </c>
      <c r="K13" s="206">
        <v>47349</v>
      </c>
      <c r="L13" s="206">
        <v>49207.764463440435</v>
      </c>
      <c r="M13" s="195">
        <v>310.2</v>
      </c>
      <c r="N13" s="195">
        <v>20</v>
      </c>
      <c r="O13" s="195">
        <v>25</v>
      </c>
      <c r="Q13" s="194">
        <v>2460.39</v>
      </c>
      <c r="R13" s="194">
        <v>2460.39</v>
      </c>
      <c r="S13" s="194">
        <v>1968.31</v>
      </c>
      <c r="U13" s="203">
        <v>0.25345000000000001</v>
      </c>
      <c r="V13" s="194">
        <v>-492.07999999999993</v>
      </c>
      <c r="X13" s="191">
        <v>1095</v>
      </c>
      <c r="Y13" s="191">
        <v>1346</v>
      </c>
      <c r="Z13" s="204">
        <v>529.5</v>
      </c>
      <c r="AA13" s="205">
        <v>18626.519687964337</v>
      </c>
      <c r="AD13" s="191" t="s">
        <v>999</v>
      </c>
    </row>
    <row r="14" spans="1:30" ht="20.100000000000001" customHeight="1">
      <c r="A14" s="191">
        <v>43</v>
      </c>
      <c r="B14" s="191">
        <v>2020029</v>
      </c>
      <c r="C14" s="191" t="s">
        <v>950</v>
      </c>
      <c r="D14" s="195">
        <v>251</v>
      </c>
      <c r="E14" s="195" t="s">
        <v>931</v>
      </c>
      <c r="F14" s="191" t="s">
        <v>571</v>
      </c>
      <c r="G14" s="195" t="s">
        <v>925</v>
      </c>
      <c r="H14" s="195" t="s">
        <v>6</v>
      </c>
      <c r="I14" s="191">
        <v>60</v>
      </c>
      <c r="J14" s="202" t="s">
        <v>251</v>
      </c>
      <c r="K14" s="194">
        <v>54303</v>
      </c>
      <c r="L14" s="194">
        <v>56241.270433499994</v>
      </c>
      <c r="M14" s="195">
        <v>320.3</v>
      </c>
      <c r="N14" s="195">
        <v>22</v>
      </c>
      <c r="O14" s="195">
        <v>25</v>
      </c>
      <c r="Q14" s="194">
        <v>2556.42</v>
      </c>
      <c r="R14" s="194">
        <v>2556.42</v>
      </c>
      <c r="S14" s="194">
        <v>2249.65</v>
      </c>
      <c r="U14" s="203">
        <v>0.25345000000000001</v>
      </c>
      <c r="V14" s="194">
        <v>-306.77</v>
      </c>
      <c r="X14" s="191">
        <v>1115</v>
      </c>
      <c r="Y14" s="191">
        <v>752</v>
      </c>
      <c r="Z14" s="204">
        <v>342.25</v>
      </c>
      <c r="AA14" s="205">
        <v>24714.364029255321</v>
      </c>
      <c r="AD14" s="191">
        <v>3</v>
      </c>
    </row>
    <row r="15" spans="1:30" ht="20.100000000000001" customHeight="1">
      <c r="A15" s="191">
        <v>52</v>
      </c>
      <c r="B15" s="191">
        <v>1</v>
      </c>
      <c r="C15" s="191" t="s">
        <v>1001</v>
      </c>
      <c r="D15" s="195">
        <v>251</v>
      </c>
      <c r="E15" s="195" t="s">
        <v>931</v>
      </c>
      <c r="F15" s="191" t="s">
        <v>571</v>
      </c>
      <c r="G15" s="195" t="s">
        <v>6</v>
      </c>
      <c r="H15" s="195" t="s">
        <v>6</v>
      </c>
      <c r="I15" s="191">
        <v>30</v>
      </c>
      <c r="J15" s="202" t="s">
        <v>251</v>
      </c>
      <c r="K15" s="194">
        <v>30000</v>
      </c>
      <c r="L15" s="194">
        <v>33165</v>
      </c>
      <c r="M15" s="195">
        <v>320.3</v>
      </c>
      <c r="N15" s="195">
        <v>22</v>
      </c>
      <c r="O15" s="195">
        <v>25</v>
      </c>
      <c r="Q15" s="194">
        <v>1507.5</v>
      </c>
      <c r="R15" s="194">
        <v>1507.5</v>
      </c>
      <c r="S15" s="194">
        <v>1326.6</v>
      </c>
      <c r="U15" s="203">
        <v>0.25345000000000001</v>
      </c>
      <c r="V15" s="194">
        <v>-180.90000000000009</v>
      </c>
      <c r="X15" s="191">
        <v>1115</v>
      </c>
      <c r="Y15" s="191">
        <v>752</v>
      </c>
      <c r="Z15" s="204">
        <v>342.25</v>
      </c>
      <c r="AA15" s="205"/>
    </row>
    <row r="16" spans="1:30" ht="20.100000000000001" customHeight="1">
      <c r="A16" s="191">
        <v>20</v>
      </c>
      <c r="B16" s="191">
        <v>2020030</v>
      </c>
      <c r="C16" s="191" t="s">
        <v>1000</v>
      </c>
      <c r="D16" s="195">
        <v>255</v>
      </c>
      <c r="E16" s="195" t="s">
        <v>514</v>
      </c>
      <c r="F16" s="191" t="s">
        <v>580</v>
      </c>
      <c r="G16" s="195" t="s">
        <v>6</v>
      </c>
      <c r="I16" s="204">
        <v>180.91900000000001</v>
      </c>
      <c r="J16" s="202" t="s">
        <v>251</v>
      </c>
      <c r="K16" s="194">
        <v>180919</v>
      </c>
      <c r="L16" s="194">
        <v>188923.231936</v>
      </c>
      <c r="M16" s="195">
        <v>330</v>
      </c>
      <c r="N16" s="195">
        <v>37</v>
      </c>
      <c r="O16" s="195">
        <v>25</v>
      </c>
      <c r="Q16" s="194">
        <v>5106.03</v>
      </c>
      <c r="R16" s="194">
        <v>5106.03</v>
      </c>
      <c r="S16" s="194">
        <v>7556.93</v>
      </c>
      <c r="U16" s="203">
        <v>0.25345000000000001</v>
      </c>
      <c r="V16" s="194">
        <v>2450.9000000000005</v>
      </c>
      <c r="X16" s="191">
        <v>1120</v>
      </c>
      <c r="Y16" s="191">
        <v>762</v>
      </c>
      <c r="Z16" s="204">
        <v>236</v>
      </c>
      <c r="AA16" s="205"/>
    </row>
    <row r="17" spans="1:30" ht="20.100000000000001" customHeight="1">
      <c r="B17" s="191">
        <v>2020004</v>
      </c>
      <c r="C17" s="191" t="s">
        <v>952</v>
      </c>
      <c r="D17" s="195">
        <v>252</v>
      </c>
      <c r="E17" s="195" t="s">
        <v>512</v>
      </c>
      <c r="F17" s="191" t="s">
        <v>951</v>
      </c>
      <c r="G17" s="195" t="s">
        <v>925</v>
      </c>
      <c r="H17" s="195" t="s">
        <v>6</v>
      </c>
      <c r="I17" s="191">
        <v>164.01400000000001</v>
      </c>
      <c r="J17" s="202" t="s">
        <v>251</v>
      </c>
      <c r="K17" s="206">
        <v>68965</v>
      </c>
      <c r="L17" s="206">
        <v>71672.336822766461</v>
      </c>
      <c r="M17" s="195">
        <v>330</v>
      </c>
      <c r="N17" s="195">
        <v>37</v>
      </c>
      <c r="O17" s="195">
        <v>25</v>
      </c>
      <c r="Q17" s="194">
        <v>1937.09</v>
      </c>
      <c r="R17" s="194">
        <v>1937.09</v>
      </c>
      <c r="S17" s="194">
        <v>2866.89</v>
      </c>
      <c r="U17" s="203">
        <v>0.25345000000000001</v>
      </c>
      <c r="V17" s="194">
        <v>929.8</v>
      </c>
      <c r="X17" s="191">
        <v>1120</v>
      </c>
      <c r="Y17" s="191">
        <v>762</v>
      </c>
      <c r="Z17" s="204">
        <v>236</v>
      </c>
      <c r="AA17" s="205">
        <v>21359.238845144358</v>
      </c>
      <c r="AD17" s="191" t="s">
        <v>999</v>
      </c>
    </row>
    <row r="18" spans="1:30" ht="20.100000000000001" customHeight="1">
      <c r="A18" s="191">
        <v>23</v>
      </c>
      <c r="B18" s="191">
        <v>2019146</v>
      </c>
      <c r="C18" s="191" t="s">
        <v>949</v>
      </c>
      <c r="D18" s="195">
        <v>252</v>
      </c>
      <c r="E18" s="195" t="s">
        <v>511</v>
      </c>
      <c r="F18" s="191" t="s">
        <v>947</v>
      </c>
      <c r="G18" s="195" t="s">
        <v>925</v>
      </c>
      <c r="H18" s="195" t="s">
        <v>6</v>
      </c>
      <c r="I18" s="204">
        <v>154.76373000000001</v>
      </c>
      <c r="J18" s="202" t="s">
        <v>251</v>
      </c>
      <c r="K18" s="194">
        <v>154763.73000000001</v>
      </c>
      <c r="L18" s="194">
        <v>170809.56000000003</v>
      </c>
      <c r="M18" s="195">
        <v>331</v>
      </c>
      <c r="N18" s="195">
        <v>43</v>
      </c>
      <c r="O18" s="195">
        <v>25</v>
      </c>
      <c r="Q18" s="194">
        <v>3972.32</v>
      </c>
      <c r="R18" s="194">
        <v>3972.32</v>
      </c>
      <c r="S18" s="194">
        <v>6832.38</v>
      </c>
      <c r="U18" s="203">
        <v>0.25345000000000001</v>
      </c>
      <c r="V18" s="194">
        <v>2860.06</v>
      </c>
      <c r="X18" s="191">
        <v>1125</v>
      </c>
      <c r="Y18" s="191">
        <v>762</v>
      </c>
      <c r="Z18" s="191">
        <v>164</v>
      </c>
      <c r="AA18" s="205">
        <v>33308.729291338583</v>
      </c>
      <c r="AD18" s="191">
        <v>18</v>
      </c>
    </row>
    <row r="19" spans="1:30" ht="20.100000000000001" customHeight="1">
      <c r="A19" s="191">
        <v>34</v>
      </c>
      <c r="B19" s="191">
        <v>1</v>
      </c>
      <c r="C19" s="191" t="s">
        <v>948</v>
      </c>
      <c r="D19" s="195">
        <v>252</v>
      </c>
      <c r="E19" s="195" t="s">
        <v>511</v>
      </c>
      <c r="F19" s="191" t="s">
        <v>947</v>
      </c>
      <c r="G19" s="195" t="s">
        <v>925</v>
      </c>
      <c r="H19" s="195" t="s">
        <v>925</v>
      </c>
      <c r="I19" s="191">
        <v>75</v>
      </c>
      <c r="J19" s="202" t="s">
        <v>251</v>
      </c>
      <c r="K19" s="194">
        <v>75000</v>
      </c>
      <c r="L19" s="194">
        <v>77742.75</v>
      </c>
      <c r="M19" s="195">
        <v>331</v>
      </c>
      <c r="N19" s="195">
        <v>43</v>
      </c>
      <c r="O19" s="195">
        <v>25</v>
      </c>
      <c r="Q19" s="194">
        <v>1807.97</v>
      </c>
      <c r="R19" s="194">
        <v>1807.97</v>
      </c>
      <c r="S19" s="194">
        <v>3109.71</v>
      </c>
      <c r="U19" s="203">
        <v>0.25345000000000001</v>
      </c>
      <c r="V19" s="194">
        <v>1301.74</v>
      </c>
      <c r="X19" s="191">
        <v>1125</v>
      </c>
      <c r="Y19" s="191">
        <v>762</v>
      </c>
      <c r="Z19" s="191">
        <v>164</v>
      </c>
      <c r="AA19" s="205">
        <v>16141.732283464567</v>
      </c>
      <c r="AD19" s="191">
        <v>19</v>
      </c>
    </row>
    <row r="20" spans="1:30" ht="20.100000000000001" customHeight="1">
      <c r="A20" s="191">
        <v>54</v>
      </c>
      <c r="B20" s="191">
        <v>1</v>
      </c>
      <c r="C20" s="191" t="s">
        <v>946</v>
      </c>
      <c r="D20" s="195">
        <v>252</v>
      </c>
      <c r="E20" s="195" t="s">
        <v>514</v>
      </c>
      <c r="F20" s="191" t="s">
        <v>945</v>
      </c>
      <c r="G20" s="195" t="s">
        <v>925</v>
      </c>
      <c r="H20" s="195" t="s">
        <v>6</v>
      </c>
      <c r="I20" s="191">
        <v>22</v>
      </c>
      <c r="J20" s="202" t="s">
        <v>251</v>
      </c>
      <c r="K20" s="216">
        <v>22000</v>
      </c>
      <c r="L20" s="216">
        <v>22000</v>
      </c>
      <c r="M20" s="195">
        <v>331</v>
      </c>
      <c r="N20" s="195">
        <v>43</v>
      </c>
      <c r="O20" s="195">
        <v>25</v>
      </c>
      <c r="Q20" s="194">
        <v>511.63</v>
      </c>
      <c r="R20" s="194">
        <v>511.63</v>
      </c>
      <c r="S20" s="194">
        <v>880</v>
      </c>
      <c r="U20" s="203">
        <v>0.25345000000000001</v>
      </c>
      <c r="V20" s="194">
        <v>368.37</v>
      </c>
      <c r="X20" s="191">
        <v>1125</v>
      </c>
      <c r="Y20" s="191">
        <v>762</v>
      </c>
      <c r="Z20" s="191">
        <v>164</v>
      </c>
      <c r="AA20" s="205">
        <v>4734.9081364829399</v>
      </c>
      <c r="AD20" s="191">
        <v>21</v>
      </c>
    </row>
    <row r="21" spans="1:30" ht="20.100000000000001" customHeight="1">
      <c r="J21" s="202"/>
      <c r="K21" s="194"/>
      <c r="L21" s="194"/>
      <c r="N21" s="195"/>
      <c r="O21" s="195"/>
      <c r="Q21" s="194"/>
      <c r="R21" s="194"/>
      <c r="S21" s="194"/>
      <c r="U21" s="203"/>
      <c r="V21" s="194"/>
    </row>
    <row r="22" spans="1:30" ht="20.100000000000001" customHeight="1" thickBot="1">
      <c r="C22" s="209" t="s">
        <v>998</v>
      </c>
      <c r="J22" s="202"/>
      <c r="K22" s="225">
        <f>SUM(K5:K20)</f>
        <v>1601115.73</v>
      </c>
      <c r="L22" s="225">
        <f>SUM(L5:L20)</f>
        <v>1675691.4054532503</v>
      </c>
      <c r="N22" s="195"/>
      <c r="O22" s="195"/>
      <c r="Q22" s="208">
        <f>SUM(Q4:Q21)</f>
        <v>54052.469999999987</v>
      </c>
      <c r="R22" s="208">
        <f>SUM(R4:R21)</f>
        <v>54052.469999999987</v>
      </c>
      <c r="S22" s="208">
        <f>SUM(S4:S21)</f>
        <v>67027.649999999994</v>
      </c>
      <c r="U22" s="203"/>
      <c r="V22" s="208">
        <f>SUM(V4:V21)</f>
        <v>12975.180000000004</v>
      </c>
    </row>
    <row r="23" spans="1:30" ht="20.100000000000001" customHeight="1">
      <c r="C23" s="197"/>
      <c r="J23" s="202"/>
      <c r="K23" s="194"/>
      <c r="L23" s="194"/>
      <c r="N23" s="195"/>
      <c r="O23" s="195"/>
      <c r="Q23" s="194"/>
      <c r="R23" s="194"/>
      <c r="S23" s="194"/>
      <c r="U23" s="203"/>
      <c r="V23" s="194"/>
    </row>
    <row r="24" spans="1:30" ht="20.100000000000001" customHeight="1">
      <c r="A24" s="197" t="s">
        <v>997</v>
      </c>
      <c r="J24" s="202"/>
      <c r="K24" s="194"/>
      <c r="L24" s="194"/>
      <c r="N24" s="195"/>
      <c r="O24" s="195"/>
      <c r="Q24" s="194"/>
      <c r="R24" s="194"/>
      <c r="S24" s="194"/>
      <c r="U24" s="203"/>
      <c r="V24" s="194"/>
      <c r="AC24" s="191" t="s">
        <v>996</v>
      </c>
    </row>
    <row r="25" spans="1:30" ht="20.100000000000001" customHeight="1">
      <c r="A25" s="191">
        <v>5</v>
      </c>
      <c r="B25" s="191">
        <v>2019145</v>
      </c>
      <c r="C25" s="191" t="s">
        <v>944</v>
      </c>
      <c r="D25" s="195">
        <v>250</v>
      </c>
      <c r="E25" s="195" t="s">
        <v>513</v>
      </c>
      <c r="F25" s="191" t="s">
        <v>934</v>
      </c>
      <c r="G25" s="195" t="s">
        <v>925</v>
      </c>
      <c r="H25" s="195" t="s">
        <v>6</v>
      </c>
      <c r="I25" s="191">
        <v>1766.115</v>
      </c>
      <c r="J25" s="202" t="s">
        <v>7</v>
      </c>
      <c r="K25" s="194">
        <v>84000</v>
      </c>
      <c r="L25" s="194">
        <v>89330.97470868814</v>
      </c>
      <c r="M25" s="195">
        <v>360.2</v>
      </c>
      <c r="N25" s="195">
        <v>30</v>
      </c>
      <c r="O25" s="195">
        <v>25</v>
      </c>
      <c r="Q25" s="194">
        <v>2800</v>
      </c>
      <c r="R25" s="194">
        <v>2800</v>
      </c>
      <c r="S25" s="194">
        <v>3360</v>
      </c>
      <c r="U25" s="203">
        <v>0.25345000000000001</v>
      </c>
      <c r="V25" s="194">
        <v>560</v>
      </c>
      <c r="X25" s="191">
        <v>1345</v>
      </c>
      <c r="Y25" s="191">
        <v>762</v>
      </c>
      <c r="Z25" s="204">
        <v>273</v>
      </c>
      <c r="AA25" s="205">
        <v>30094.488188976378</v>
      </c>
      <c r="AC25" s="191">
        <v>4.7562021725652069E-2</v>
      </c>
      <c r="AD25" s="191">
        <v>5</v>
      </c>
    </row>
    <row r="26" spans="1:30" ht="20.100000000000001" customHeight="1">
      <c r="B26" s="191">
        <v>2019145</v>
      </c>
      <c r="C26" s="191" t="s">
        <v>944</v>
      </c>
      <c r="D26" s="195">
        <v>250</v>
      </c>
      <c r="E26" s="195" t="s">
        <v>513</v>
      </c>
      <c r="F26" s="191" t="s">
        <v>934</v>
      </c>
      <c r="G26" s="195" t="s">
        <v>925</v>
      </c>
      <c r="H26" s="195" t="s">
        <v>6</v>
      </c>
      <c r="J26" s="202" t="s">
        <v>7</v>
      </c>
      <c r="K26" s="194">
        <v>360000</v>
      </c>
      <c r="L26" s="194">
        <v>382847.03446580633</v>
      </c>
      <c r="M26" s="195">
        <v>361.2</v>
      </c>
      <c r="N26" s="195">
        <v>45</v>
      </c>
      <c r="O26" s="195">
        <v>25</v>
      </c>
      <c r="Q26" s="194">
        <v>8000</v>
      </c>
      <c r="R26" s="194">
        <v>8000</v>
      </c>
      <c r="S26" s="194">
        <v>14400</v>
      </c>
      <c r="U26" s="203">
        <v>0.25345000000000001</v>
      </c>
      <c r="V26" s="194">
        <v>6400</v>
      </c>
      <c r="X26" s="191">
        <v>1350</v>
      </c>
      <c r="Y26" s="191">
        <v>762</v>
      </c>
      <c r="Z26" s="204">
        <v>150</v>
      </c>
      <c r="AA26" s="205">
        <v>70866.14173228346</v>
      </c>
      <c r="AC26" s="191">
        <v>0.20383723596708028</v>
      </c>
      <c r="AD26" s="191">
        <v>5</v>
      </c>
    </row>
    <row r="27" spans="1:30" ht="20.100000000000001" customHeight="1">
      <c r="B27" s="191">
        <v>2019145</v>
      </c>
      <c r="C27" s="191" t="s">
        <v>944</v>
      </c>
      <c r="D27" s="195">
        <v>250</v>
      </c>
      <c r="E27" s="195" t="s">
        <v>513</v>
      </c>
      <c r="F27" s="191" t="s">
        <v>934</v>
      </c>
      <c r="G27" s="195" t="s">
        <v>925</v>
      </c>
      <c r="H27" s="195" t="s">
        <v>6</v>
      </c>
      <c r="J27" s="202" t="s">
        <v>7</v>
      </c>
      <c r="K27" s="194">
        <v>183600</v>
      </c>
      <c r="L27" s="194">
        <v>195251.98757756123</v>
      </c>
      <c r="M27" s="195" t="s">
        <v>972</v>
      </c>
      <c r="N27" s="195">
        <v>30</v>
      </c>
      <c r="O27" s="195">
        <v>25</v>
      </c>
      <c r="Q27" s="194">
        <v>6120</v>
      </c>
      <c r="R27" s="194">
        <v>6120</v>
      </c>
      <c r="S27" s="194">
        <v>7344</v>
      </c>
      <c r="U27" s="203">
        <v>0.25345000000000001</v>
      </c>
      <c r="V27" s="194">
        <v>1224</v>
      </c>
      <c r="X27" s="191">
        <v>1353</v>
      </c>
      <c r="Y27" s="191">
        <v>873</v>
      </c>
      <c r="Z27" s="204">
        <v>279.5</v>
      </c>
      <c r="AA27" s="205">
        <v>58781.443298969069</v>
      </c>
      <c r="AC27" s="191">
        <v>0.10395699034321094</v>
      </c>
      <c r="AD27" s="191">
        <v>5</v>
      </c>
    </row>
    <row r="28" spans="1:30" ht="20.100000000000001" customHeight="1">
      <c r="B28" s="191">
        <v>2019145</v>
      </c>
      <c r="C28" s="191" t="s">
        <v>944</v>
      </c>
      <c r="D28" s="195">
        <v>250</v>
      </c>
      <c r="E28" s="195" t="s">
        <v>513</v>
      </c>
      <c r="F28" s="191" t="s">
        <v>934</v>
      </c>
      <c r="G28" s="195" t="s">
        <v>925</v>
      </c>
      <c r="H28" s="195" t="s">
        <v>6</v>
      </c>
      <c r="J28" s="202" t="s">
        <v>7</v>
      </c>
      <c r="K28" s="194">
        <v>512515</v>
      </c>
      <c r="L28" s="194">
        <v>545041.24408122979</v>
      </c>
      <c r="M28" s="195">
        <v>370.3</v>
      </c>
      <c r="N28" s="195">
        <v>30</v>
      </c>
      <c r="O28" s="195">
        <v>25</v>
      </c>
      <c r="Q28" s="194">
        <v>17083.830000000002</v>
      </c>
      <c r="R28" s="194">
        <v>17083.830000000002</v>
      </c>
      <c r="S28" s="194">
        <v>20500.599999999999</v>
      </c>
      <c r="U28" s="203">
        <v>0.25345000000000001</v>
      </c>
      <c r="V28" s="194">
        <v>3416.7699999999968</v>
      </c>
      <c r="X28" s="191">
        <v>1375</v>
      </c>
      <c r="Y28" s="191">
        <v>599</v>
      </c>
      <c r="Z28" s="204">
        <v>234.75</v>
      </c>
      <c r="AA28" s="205">
        <v>200856.2541736227</v>
      </c>
      <c r="AC28" s="191">
        <v>0.29019344719907819</v>
      </c>
      <c r="AD28" s="191">
        <v>5</v>
      </c>
    </row>
    <row r="29" spans="1:30" ht="20.100000000000001" customHeight="1">
      <c r="B29" s="191">
        <v>2019145</v>
      </c>
      <c r="C29" s="191" t="s">
        <v>944</v>
      </c>
      <c r="D29" s="195">
        <v>250</v>
      </c>
      <c r="E29" s="195" t="s">
        <v>513</v>
      </c>
      <c r="F29" s="191" t="s">
        <v>934</v>
      </c>
      <c r="G29" s="195" t="s">
        <v>925</v>
      </c>
      <c r="H29" s="195" t="s">
        <v>6</v>
      </c>
      <c r="J29" s="202" t="s">
        <v>7</v>
      </c>
      <c r="K29" s="194">
        <v>626000</v>
      </c>
      <c r="L29" s="194">
        <v>665728.45437665214</v>
      </c>
      <c r="M29" s="195">
        <v>371.3</v>
      </c>
      <c r="N29" s="195">
        <v>18</v>
      </c>
      <c r="O29" s="195">
        <v>25</v>
      </c>
      <c r="Q29" s="194">
        <v>34777.78</v>
      </c>
      <c r="R29" s="194">
        <v>34777.78</v>
      </c>
      <c r="S29" s="194">
        <v>25040</v>
      </c>
      <c r="U29" s="203">
        <v>0.25345000000000001</v>
      </c>
      <c r="V29" s="194">
        <v>-9737.7799999999988</v>
      </c>
      <c r="X29" s="191">
        <v>1380</v>
      </c>
      <c r="Y29" s="191">
        <v>1346</v>
      </c>
      <c r="Z29" s="204">
        <v>529</v>
      </c>
      <c r="AA29" s="205">
        <v>246028.23179791975</v>
      </c>
      <c r="AC29" s="191">
        <v>0.35445030476497852</v>
      </c>
      <c r="AD29" s="191">
        <v>5</v>
      </c>
    </row>
    <row r="30" spans="1:30" ht="20.100000000000001" customHeight="1">
      <c r="A30" s="191">
        <v>8</v>
      </c>
      <c r="B30" s="191">
        <v>2019173</v>
      </c>
      <c r="C30" s="191" t="s">
        <v>943</v>
      </c>
      <c r="D30" s="195">
        <v>241</v>
      </c>
      <c r="E30" s="195" t="s">
        <v>513</v>
      </c>
      <c r="F30" s="191" t="s">
        <v>926</v>
      </c>
      <c r="G30" s="195" t="s">
        <v>925</v>
      </c>
      <c r="H30" s="195" t="s">
        <v>925</v>
      </c>
      <c r="I30" s="191">
        <v>828.92200000000003</v>
      </c>
      <c r="J30" s="202" t="s">
        <v>7</v>
      </c>
      <c r="K30" s="194">
        <v>6350</v>
      </c>
      <c r="L30" s="194">
        <v>6545.5546005209171</v>
      </c>
      <c r="M30" s="195">
        <v>360.2</v>
      </c>
      <c r="N30" s="195">
        <v>30</v>
      </c>
      <c r="O30" s="195">
        <v>25</v>
      </c>
      <c r="Q30" s="194">
        <v>211.67</v>
      </c>
      <c r="R30" s="194">
        <v>211.67</v>
      </c>
      <c r="S30" s="194">
        <v>254</v>
      </c>
      <c r="U30" s="203">
        <v>0.25345000000000001</v>
      </c>
      <c r="V30" s="194">
        <v>42.330000000000013</v>
      </c>
      <c r="X30" s="191">
        <v>1345</v>
      </c>
      <c r="Y30" s="191">
        <v>762</v>
      </c>
      <c r="Z30" s="204">
        <v>273</v>
      </c>
      <c r="AA30" s="205">
        <v>2275</v>
      </c>
      <c r="AC30" s="191">
        <v>7.6605518975247366E-3</v>
      </c>
      <c r="AD30" s="191">
        <v>15</v>
      </c>
    </row>
    <row r="31" spans="1:30" ht="20.100000000000001" customHeight="1">
      <c r="B31" s="191">
        <v>2019173</v>
      </c>
      <c r="C31" s="191" t="s">
        <v>943</v>
      </c>
      <c r="D31" s="195">
        <v>241</v>
      </c>
      <c r="E31" s="195" t="s">
        <v>513</v>
      </c>
      <c r="F31" s="191" t="s">
        <v>926</v>
      </c>
      <c r="G31" s="195" t="s">
        <v>925</v>
      </c>
      <c r="H31" s="195" t="s">
        <v>925</v>
      </c>
      <c r="J31" s="202" t="s">
        <v>7</v>
      </c>
      <c r="K31" s="194">
        <v>92205</v>
      </c>
      <c r="L31" s="194">
        <v>95044.54518756397</v>
      </c>
      <c r="M31" s="195">
        <v>361.2</v>
      </c>
      <c r="N31" s="195">
        <v>45</v>
      </c>
      <c r="O31" s="195">
        <v>25</v>
      </c>
      <c r="Q31" s="194">
        <v>2049</v>
      </c>
      <c r="R31" s="194">
        <v>2049</v>
      </c>
      <c r="S31" s="194">
        <v>3688.2</v>
      </c>
      <c r="U31" s="203">
        <v>0.25345000000000001</v>
      </c>
      <c r="V31" s="194">
        <v>1639.1999999999998</v>
      </c>
      <c r="X31" s="191">
        <v>1350</v>
      </c>
      <c r="Y31" s="191">
        <v>762</v>
      </c>
      <c r="Z31" s="204">
        <v>150</v>
      </c>
      <c r="AA31" s="205">
        <v>18150.590551181103</v>
      </c>
      <c r="AC31" s="191">
        <v>0.11123483271043597</v>
      </c>
      <c r="AD31" s="191">
        <v>15</v>
      </c>
    </row>
    <row r="32" spans="1:30" ht="20.100000000000001" customHeight="1">
      <c r="B32" s="191">
        <v>2019173</v>
      </c>
      <c r="C32" s="191" t="s">
        <v>943</v>
      </c>
      <c r="D32" s="195">
        <v>241</v>
      </c>
      <c r="E32" s="195" t="s">
        <v>513</v>
      </c>
      <c r="F32" s="191" t="s">
        <v>926</v>
      </c>
      <c r="G32" s="195" t="s">
        <v>925</v>
      </c>
      <c r="H32" s="195" t="s">
        <v>925</v>
      </c>
      <c r="J32" s="202" t="s">
        <v>7</v>
      </c>
      <c r="K32" s="194">
        <v>72250</v>
      </c>
      <c r="L32" s="194">
        <v>74475.011005926965</v>
      </c>
      <c r="M32" s="195" t="s">
        <v>972</v>
      </c>
      <c r="N32" s="195">
        <v>30</v>
      </c>
      <c r="O32" s="195">
        <v>25</v>
      </c>
      <c r="Q32" s="194">
        <v>2408.33</v>
      </c>
      <c r="R32" s="194">
        <v>2408.33</v>
      </c>
      <c r="S32" s="194">
        <v>2890</v>
      </c>
      <c r="U32" s="203">
        <v>0.25345000000000001</v>
      </c>
      <c r="V32" s="194">
        <v>481.67000000000007</v>
      </c>
      <c r="X32" s="191">
        <v>1353</v>
      </c>
      <c r="Y32" s="191">
        <v>873</v>
      </c>
      <c r="Z32" s="204">
        <v>279.5</v>
      </c>
      <c r="AA32" s="205">
        <v>23131.586483390609</v>
      </c>
      <c r="AC32" s="191">
        <v>8.7161397574198773E-2</v>
      </c>
      <c r="AD32" s="191">
        <v>15</v>
      </c>
    </row>
    <row r="33" spans="1:30" ht="20.100000000000001" customHeight="1">
      <c r="B33" s="191">
        <v>2019173</v>
      </c>
      <c r="C33" s="191" t="s">
        <v>943</v>
      </c>
      <c r="D33" s="195">
        <v>241</v>
      </c>
      <c r="E33" s="195" t="s">
        <v>513</v>
      </c>
      <c r="F33" s="191" t="s">
        <v>926</v>
      </c>
      <c r="G33" s="195" t="s">
        <v>925</v>
      </c>
      <c r="H33" s="195" t="s">
        <v>925</v>
      </c>
      <c r="J33" s="202" t="s">
        <v>7</v>
      </c>
      <c r="K33" s="194">
        <v>589117</v>
      </c>
      <c r="L33" s="194">
        <v>607259.44718032773</v>
      </c>
      <c r="M33" s="195">
        <v>370.3</v>
      </c>
      <c r="N33" s="195">
        <v>30</v>
      </c>
      <c r="O33" s="195">
        <v>25</v>
      </c>
      <c r="Q33" s="194">
        <v>19637.23</v>
      </c>
      <c r="R33" s="194">
        <v>19637.23</v>
      </c>
      <c r="S33" s="194">
        <v>23564.68</v>
      </c>
      <c r="U33" s="203">
        <v>0.25345000000000001</v>
      </c>
      <c r="V33" s="194">
        <v>3927.4500000000007</v>
      </c>
      <c r="X33" s="191">
        <v>1375</v>
      </c>
      <c r="Y33" s="191">
        <v>599</v>
      </c>
      <c r="Z33" s="204">
        <v>234.75</v>
      </c>
      <c r="AA33" s="205">
        <v>230876.82095158598</v>
      </c>
      <c r="AC33" s="191">
        <v>0.71070257515182367</v>
      </c>
      <c r="AD33" s="191">
        <v>15</v>
      </c>
    </row>
    <row r="34" spans="1:30" ht="20.100000000000001" customHeight="1">
      <c r="B34" s="191">
        <v>2019173</v>
      </c>
      <c r="C34" s="191" t="s">
        <v>943</v>
      </c>
      <c r="D34" s="195">
        <v>241</v>
      </c>
      <c r="E34" s="195" t="s">
        <v>513</v>
      </c>
      <c r="F34" s="191" t="s">
        <v>926</v>
      </c>
      <c r="G34" s="195" t="s">
        <v>925</v>
      </c>
      <c r="H34" s="195" t="s">
        <v>925</v>
      </c>
      <c r="J34" s="202" t="s">
        <v>7</v>
      </c>
      <c r="K34" s="194">
        <v>69000</v>
      </c>
      <c r="L34" s="194">
        <v>71124.924005660359</v>
      </c>
      <c r="M34" s="195">
        <v>371.3</v>
      </c>
      <c r="N34" s="195">
        <v>18</v>
      </c>
      <c r="O34" s="195">
        <v>25</v>
      </c>
      <c r="Q34" s="194">
        <v>3833.33</v>
      </c>
      <c r="R34" s="194">
        <v>3833.33</v>
      </c>
      <c r="S34" s="194">
        <v>2760</v>
      </c>
      <c r="U34" s="203">
        <v>0.25345000000000001</v>
      </c>
      <c r="V34" s="194">
        <v>-1073.33</v>
      </c>
      <c r="X34" s="191">
        <v>1380</v>
      </c>
      <c r="Y34" s="191">
        <v>1346</v>
      </c>
      <c r="Z34" s="204">
        <v>529</v>
      </c>
      <c r="AA34" s="205">
        <v>27118.127786032688</v>
      </c>
      <c r="AC34" s="191">
        <v>8.3240642666016829E-2</v>
      </c>
      <c r="AD34" s="191">
        <v>15</v>
      </c>
    </row>
    <row r="35" spans="1:30" ht="20.100000000000001" customHeight="1">
      <c r="A35" s="191">
        <v>10</v>
      </c>
      <c r="B35" s="191">
        <v>2019175</v>
      </c>
      <c r="C35" s="239" t="s">
        <v>1228</v>
      </c>
      <c r="D35" s="195">
        <v>249</v>
      </c>
      <c r="E35" s="195" t="s">
        <v>939</v>
      </c>
      <c r="F35" s="191" t="s">
        <v>577</v>
      </c>
      <c r="G35" s="195" t="s">
        <v>925</v>
      </c>
      <c r="H35" s="195" t="s">
        <v>6</v>
      </c>
      <c r="I35" s="204">
        <v>657.17499999999995</v>
      </c>
      <c r="J35" s="202" t="s">
        <v>7</v>
      </c>
      <c r="K35" s="194">
        <v>657175</v>
      </c>
      <c r="L35" s="194">
        <v>707506.20030400006</v>
      </c>
      <c r="M35" s="195">
        <v>354.4</v>
      </c>
      <c r="N35" s="195">
        <v>32</v>
      </c>
      <c r="O35" s="195">
        <v>25</v>
      </c>
      <c r="Q35" s="194">
        <v>22109.57</v>
      </c>
      <c r="R35" s="194">
        <v>22109.57</v>
      </c>
      <c r="S35" s="194">
        <v>28300.25</v>
      </c>
      <c r="U35" s="203">
        <v>0.25345000000000001</v>
      </c>
      <c r="V35" s="194">
        <v>6190.68</v>
      </c>
      <c r="X35" s="191">
        <v>1300</v>
      </c>
      <c r="Y35" s="191">
        <v>599</v>
      </c>
      <c r="Z35" s="204">
        <v>225.5</v>
      </c>
      <c r="AA35" s="205">
        <v>247400.60517529215</v>
      </c>
      <c r="AD35" s="191">
        <v>1</v>
      </c>
    </row>
    <row r="36" spans="1:30" ht="20.100000000000001" customHeight="1">
      <c r="A36" s="191">
        <v>12</v>
      </c>
      <c r="B36" s="191">
        <v>1</v>
      </c>
      <c r="C36" s="191" t="s">
        <v>941</v>
      </c>
      <c r="D36" s="195">
        <v>255</v>
      </c>
      <c r="E36" s="195" t="s">
        <v>514</v>
      </c>
      <c r="F36" s="191" t="s">
        <v>580</v>
      </c>
      <c r="G36" s="195" t="s">
        <v>925</v>
      </c>
      <c r="H36" s="195" t="s">
        <v>925</v>
      </c>
      <c r="I36" s="191">
        <v>540</v>
      </c>
      <c r="J36" s="202" t="s">
        <v>7</v>
      </c>
      <c r="K36" s="194">
        <v>540000</v>
      </c>
      <c r="L36" s="194">
        <v>560469.07125000004</v>
      </c>
      <c r="M36" s="195">
        <v>370.3</v>
      </c>
      <c r="N36" s="195">
        <v>30</v>
      </c>
      <c r="O36" s="195">
        <v>25</v>
      </c>
      <c r="Q36" s="194">
        <v>18682.3</v>
      </c>
      <c r="R36" s="194">
        <v>18682.3</v>
      </c>
      <c r="S36" s="194">
        <v>22418.76</v>
      </c>
      <c r="U36" s="203">
        <v>0.25345000000000001</v>
      </c>
      <c r="V36" s="194">
        <v>3736.4599999999991</v>
      </c>
      <c r="X36" s="191">
        <v>1375</v>
      </c>
      <c r="Y36" s="191">
        <v>599</v>
      </c>
      <c r="Z36" s="204">
        <v>234.75</v>
      </c>
      <c r="AA36" s="205">
        <v>211627.71285475793</v>
      </c>
      <c r="AB36" s="191" t="s">
        <v>995</v>
      </c>
      <c r="AD36" s="191">
        <v>12</v>
      </c>
    </row>
    <row r="37" spans="1:30" ht="20.100000000000001" customHeight="1">
      <c r="A37" s="191">
        <v>30</v>
      </c>
      <c r="B37" s="191">
        <v>1</v>
      </c>
      <c r="C37" s="237" t="s">
        <v>940</v>
      </c>
      <c r="D37" s="195">
        <v>249</v>
      </c>
      <c r="E37" s="195" t="s">
        <v>939</v>
      </c>
      <c r="F37" s="191" t="s">
        <v>577</v>
      </c>
      <c r="G37" s="195" t="s">
        <v>925</v>
      </c>
      <c r="H37" s="195" t="s">
        <v>925</v>
      </c>
      <c r="I37" s="191">
        <v>81.89</v>
      </c>
      <c r="J37" s="202" t="s">
        <v>7</v>
      </c>
      <c r="K37" s="194">
        <v>81890</v>
      </c>
      <c r="L37" s="194">
        <v>84410.842389750003</v>
      </c>
      <c r="M37" s="195">
        <v>370.3</v>
      </c>
      <c r="N37" s="195">
        <v>30</v>
      </c>
      <c r="O37" s="195">
        <v>25</v>
      </c>
      <c r="Q37" s="194">
        <v>2813.69</v>
      </c>
      <c r="R37" s="194">
        <v>2813.69</v>
      </c>
      <c r="S37" s="194">
        <v>3376.43</v>
      </c>
      <c r="U37" s="203">
        <v>0.25345000000000001</v>
      </c>
      <c r="V37" s="194">
        <v>562.73999999999978</v>
      </c>
      <c r="X37" s="191">
        <v>1375</v>
      </c>
      <c r="Y37" s="191">
        <v>599</v>
      </c>
      <c r="Z37" s="204">
        <v>234.75</v>
      </c>
      <c r="AA37" s="205">
        <v>32092.950751252087</v>
      </c>
      <c r="AB37" s="191" t="s">
        <v>995</v>
      </c>
      <c r="AD37" s="191">
        <v>2</v>
      </c>
    </row>
    <row r="38" spans="1:30" ht="20.100000000000001" customHeight="1">
      <c r="A38" s="191">
        <v>27</v>
      </c>
      <c r="B38" s="191">
        <v>2019154</v>
      </c>
      <c r="C38" s="191" t="s">
        <v>916</v>
      </c>
      <c r="D38" s="195">
        <v>250</v>
      </c>
      <c r="E38" s="195" t="s">
        <v>513</v>
      </c>
      <c r="F38" s="191" t="s">
        <v>934</v>
      </c>
      <c r="G38" s="195" t="s">
        <v>6</v>
      </c>
      <c r="I38" s="204">
        <v>145.28054999999998</v>
      </c>
      <c r="J38" s="202" t="s">
        <v>7</v>
      </c>
      <c r="K38" s="194">
        <v>145280.54999999999</v>
      </c>
      <c r="L38" s="194">
        <v>153162.826328375</v>
      </c>
      <c r="M38" s="195">
        <v>355.3</v>
      </c>
      <c r="N38" s="195">
        <v>20</v>
      </c>
      <c r="O38" s="195">
        <v>25</v>
      </c>
      <c r="Q38" s="194">
        <v>7658.14</v>
      </c>
      <c r="R38" s="194">
        <v>7658.14</v>
      </c>
      <c r="S38" s="194">
        <v>6126.51</v>
      </c>
      <c r="U38" s="203">
        <v>0.25345000000000001</v>
      </c>
      <c r="V38" s="194">
        <v>-1531.63</v>
      </c>
      <c r="X38" s="191">
        <v>1325</v>
      </c>
      <c r="Y38" s="191">
        <v>1346</v>
      </c>
      <c r="Z38" s="204">
        <v>529.5</v>
      </c>
      <c r="AA38" s="205"/>
    </row>
    <row r="39" spans="1:30" ht="20.100000000000001" customHeight="1">
      <c r="A39" s="191">
        <v>14</v>
      </c>
      <c r="B39" s="191">
        <v>1</v>
      </c>
      <c r="C39" s="191" t="s">
        <v>994</v>
      </c>
      <c r="D39" s="195">
        <v>255</v>
      </c>
      <c r="E39" s="195" t="s">
        <v>514</v>
      </c>
      <c r="F39" s="191" t="s">
        <v>580</v>
      </c>
      <c r="G39" s="195" t="s">
        <v>6</v>
      </c>
      <c r="I39" s="191">
        <v>194.5</v>
      </c>
      <c r="J39" s="202" t="s">
        <v>7</v>
      </c>
      <c r="K39" s="194">
        <v>194500</v>
      </c>
      <c r="L39" s="194">
        <v>202637.39374999999</v>
      </c>
      <c r="M39" s="195">
        <v>360.2</v>
      </c>
      <c r="N39" s="195">
        <v>30</v>
      </c>
      <c r="O39" s="195">
        <v>25</v>
      </c>
      <c r="Q39" s="194">
        <v>6754.58</v>
      </c>
      <c r="R39" s="194">
        <v>6754.58</v>
      </c>
      <c r="S39" s="194">
        <v>8105.5</v>
      </c>
      <c r="U39" s="203">
        <v>0.25345000000000001</v>
      </c>
      <c r="V39" s="194">
        <v>1350.92</v>
      </c>
      <c r="X39" s="191">
        <v>1345</v>
      </c>
      <c r="Y39" s="191">
        <v>762</v>
      </c>
      <c r="Z39" s="204">
        <v>273</v>
      </c>
      <c r="AA39" s="205"/>
    </row>
    <row r="40" spans="1:30" ht="20.100000000000001" customHeight="1">
      <c r="A40" s="191">
        <v>37</v>
      </c>
      <c r="B40" s="191">
        <v>2019088</v>
      </c>
      <c r="C40" s="191" t="s">
        <v>915</v>
      </c>
      <c r="D40" s="195">
        <v>255</v>
      </c>
      <c r="E40" s="195" t="s">
        <v>514</v>
      </c>
      <c r="F40" s="191" t="s">
        <v>580</v>
      </c>
      <c r="G40" s="195" t="s">
        <v>6</v>
      </c>
      <c r="I40" s="204">
        <v>83.5</v>
      </c>
      <c r="J40" s="202" t="s">
        <v>7</v>
      </c>
      <c r="K40" s="194">
        <v>83500</v>
      </c>
      <c r="L40" s="194">
        <v>93492</v>
      </c>
      <c r="M40" s="195">
        <v>360.2</v>
      </c>
      <c r="N40" s="195">
        <v>30</v>
      </c>
      <c r="O40" s="195">
        <v>25</v>
      </c>
      <c r="Q40" s="194">
        <v>3116.4</v>
      </c>
      <c r="R40" s="194">
        <v>3116.4</v>
      </c>
      <c r="S40" s="194">
        <v>3739.68</v>
      </c>
      <c r="U40" s="203">
        <v>0.25345000000000001</v>
      </c>
      <c r="V40" s="194">
        <v>623.27999999999975</v>
      </c>
      <c r="X40" s="191">
        <v>1345</v>
      </c>
      <c r="Y40" s="191">
        <v>762</v>
      </c>
      <c r="Z40" s="204">
        <v>273</v>
      </c>
    </row>
    <row r="41" spans="1:30" ht="18.75" customHeight="1">
      <c r="A41" s="191">
        <v>44</v>
      </c>
      <c r="B41" s="191">
        <v>1</v>
      </c>
      <c r="C41" s="191" t="s">
        <v>937</v>
      </c>
      <c r="D41" s="195">
        <v>250</v>
      </c>
      <c r="E41" s="195" t="s">
        <v>513</v>
      </c>
      <c r="F41" s="191" t="s">
        <v>934</v>
      </c>
      <c r="G41" s="195" t="s">
        <v>925</v>
      </c>
      <c r="H41" s="195" t="s">
        <v>6</v>
      </c>
      <c r="I41" s="191">
        <v>56</v>
      </c>
      <c r="J41" s="202" t="s">
        <v>7</v>
      </c>
      <c r="K41" s="194">
        <v>56000</v>
      </c>
      <c r="L41" s="194">
        <v>58138.521000000001</v>
      </c>
      <c r="M41" s="195">
        <v>360.2</v>
      </c>
      <c r="N41" s="195">
        <v>30</v>
      </c>
      <c r="O41" s="195">
        <v>25</v>
      </c>
      <c r="Q41" s="194">
        <v>1937.95</v>
      </c>
      <c r="R41" s="194">
        <v>1937.95</v>
      </c>
      <c r="S41" s="194">
        <v>2325.54</v>
      </c>
      <c r="U41" s="203">
        <v>0.25345000000000001</v>
      </c>
      <c r="V41" s="194">
        <v>387.58999999999992</v>
      </c>
      <c r="X41" s="191">
        <v>1345</v>
      </c>
      <c r="Y41" s="191">
        <v>762</v>
      </c>
      <c r="Z41" s="204">
        <v>273</v>
      </c>
      <c r="AA41" s="205">
        <v>20062.992125984252</v>
      </c>
      <c r="AD41" s="191">
        <v>7</v>
      </c>
    </row>
    <row r="42" spans="1:30" ht="20.100000000000001" customHeight="1">
      <c r="A42" s="191">
        <v>3</v>
      </c>
      <c r="B42" s="191">
        <v>1</v>
      </c>
      <c r="C42" s="191" t="s">
        <v>993</v>
      </c>
      <c r="D42" s="195">
        <v>255</v>
      </c>
      <c r="E42" s="195" t="s">
        <v>514</v>
      </c>
      <c r="F42" s="191" t="s">
        <v>580</v>
      </c>
      <c r="G42" s="195" t="s">
        <v>6</v>
      </c>
      <c r="I42" s="191">
        <v>2000</v>
      </c>
      <c r="J42" s="202" t="s">
        <v>7</v>
      </c>
      <c r="K42" s="194">
        <v>2000000</v>
      </c>
      <c r="L42" s="194">
        <v>2062398.0625</v>
      </c>
      <c r="M42" s="195">
        <v>361.2</v>
      </c>
      <c r="N42" s="195">
        <v>45</v>
      </c>
      <c r="O42" s="195">
        <v>25</v>
      </c>
      <c r="Q42" s="194">
        <v>45831.07</v>
      </c>
      <c r="R42" s="194">
        <v>45831.07</v>
      </c>
      <c r="S42" s="194">
        <v>82495.92</v>
      </c>
      <c r="U42" s="203">
        <v>0.25345000000000001</v>
      </c>
      <c r="V42" s="194">
        <v>36664.85</v>
      </c>
      <c r="X42" s="191">
        <v>1350</v>
      </c>
      <c r="Y42" s="191">
        <v>762</v>
      </c>
      <c r="Z42" s="204">
        <v>150</v>
      </c>
      <c r="AA42" s="205"/>
    </row>
    <row r="43" spans="1:30" ht="20.100000000000001" customHeight="1">
      <c r="A43" s="191">
        <v>7</v>
      </c>
      <c r="B43" s="191">
        <v>1</v>
      </c>
      <c r="C43" s="191" t="s">
        <v>992</v>
      </c>
      <c r="D43" s="195">
        <v>250</v>
      </c>
      <c r="E43" s="195" t="s">
        <v>513</v>
      </c>
      <c r="F43" s="191" t="s">
        <v>934</v>
      </c>
      <c r="G43" s="195" t="s">
        <v>6</v>
      </c>
      <c r="I43" s="191">
        <v>635</v>
      </c>
      <c r="J43" s="202" t="s">
        <v>7</v>
      </c>
      <c r="K43" s="194">
        <v>635000</v>
      </c>
      <c r="L43" s="194">
        <v>664200.5625</v>
      </c>
      <c r="M43" s="195">
        <v>361.2</v>
      </c>
      <c r="N43" s="195">
        <v>45</v>
      </c>
      <c r="O43" s="195">
        <v>25</v>
      </c>
      <c r="Q43" s="194">
        <v>14760.01</v>
      </c>
      <c r="R43" s="194">
        <v>14760.01</v>
      </c>
      <c r="S43" s="194">
        <v>26568.02</v>
      </c>
      <c r="U43" s="203">
        <v>0.25345000000000001</v>
      </c>
      <c r="V43" s="194">
        <v>11808.01</v>
      </c>
      <c r="X43" s="191">
        <v>1350</v>
      </c>
      <c r="Y43" s="191">
        <v>762</v>
      </c>
      <c r="Z43" s="204">
        <v>150</v>
      </c>
      <c r="AA43" s="205"/>
    </row>
    <row r="44" spans="1:30" ht="20.100000000000001" customHeight="1">
      <c r="A44" s="191">
        <v>16</v>
      </c>
      <c r="B44" s="191">
        <v>1</v>
      </c>
      <c r="C44" s="191" t="s">
        <v>991</v>
      </c>
      <c r="D44" s="195">
        <v>252</v>
      </c>
      <c r="E44" s="195" t="s">
        <v>514</v>
      </c>
      <c r="F44" s="191" t="s">
        <v>990</v>
      </c>
      <c r="G44" s="195" t="s">
        <v>6</v>
      </c>
      <c r="I44" s="204">
        <v>651.56899999999996</v>
      </c>
      <c r="J44" s="202" t="s">
        <v>7</v>
      </c>
      <c r="K44" s="194">
        <v>651569</v>
      </c>
      <c r="L44" s="194">
        <v>678829.01803749998</v>
      </c>
      <c r="M44" s="195">
        <v>361.2</v>
      </c>
      <c r="N44" s="195">
        <v>45</v>
      </c>
      <c r="O44" s="195">
        <v>25</v>
      </c>
      <c r="Q44" s="194">
        <v>15085.09</v>
      </c>
      <c r="R44" s="194">
        <v>15085.09</v>
      </c>
      <c r="S44" s="194">
        <v>27153.16</v>
      </c>
      <c r="U44" s="203">
        <v>0.25345000000000001</v>
      </c>
      <c r="V44" s="194">
        <v>12068.07</v>
      </c>
      <c r="X44" s="191">
        <v>1350</v>
      </c>
      <c r="Y44" s="191">
        <v>762</v>
      </c>
      <c r="Z44" s="204">
        <v>150</v>
      </c>
      <c r="AA44" s="205"/>
    </row>
    <row r="45" spans="1:30" ht="20.100000000000001" customHeight="1">
      <c r="A45" s="191">
        <v>31</v>
      </c>
      <c r="B45" s="191">
        <v>1</v>
      </c>
      <c r="C45" s="191" t="s">
        <v>989</v>
      </c>
      <c r="D45" s="195">
        <v>252</v>
      </c>
      <c r="E45" s="195" t="s">
        <v>512</v>
      </c>
      <c r="F45" s="191" t="s">
        <v>970</v>
      </c>
      <c r="G45" s="195" t="s">
        <v>6</v>
      </c>
      <c r="I45" s="191">
        <v>100</v>
      </c>
      <c r="J45" s="202" t="s">
        <v>7</v>
      </c>
      <c r="K45" s="194"/>
      <c r="L45" s="194"/>
      <c r="M45" s="195">
        <v>361.2</v>
      </c>
      <c r="N45" s="195">
        <v>45</v>
      </c>
      <c r="O45" s="195">
        <v>25</v>
      </c>
      <c r="Q45" s="194">
        <v>0</v>
      </c>
      <c r="R45" s="194">
        <v>0</v>
      </c>
      <c r="S45" s="194">
        <v>0</v>
      </c>
      <c r="U45" s="203">
        <v>0.25345000000000001</v>
      </c>
      <c r="V45" s="194">
        <v>0</v>
      </c>
      <c r="X45" s="191">
        <v>1350</v>
      </c>
      <c r="Y45" s="191">
        <v>762</v>
      </c>
      <c r="Z45" s="204">
        <v>150</v>
      </c>
      <c r="AA45" s="205"/>
    </row>
    <row r="46" spans="1:30" ht="20.100000000000001" customHeight="1">
      <c r="A46" s="191">
        <v>35</v>
      </c>
      <c r="B46" s="191">
        <v>2018116</v>
      </c>
      <c r="C46" s="238" t="s">
        <v>1226</v>
      </c>
      <c r="D46" s="195">
        <v>241</v>
      </c>
      <c r="E46" s="195" t="s">
        <v>513</v>
      </c>
      <c r="F46" s="191" t="s">
        <v>926</v>
      </c>
      <c r="G46" s="195" t="s">
        <v>6</v>
      </c>
      <c r="I46" s="191">
        <v>165</v>
      </c>
      <c r="J46" s="202" t="s">
        <v>7</v>
      </c>
      <c r="K46" s="194">
        <v>165000</v>
      </c>
      <c r="L46" s="194">
        <v>172192.18362</v>
      </c>
      <c r="M46" s="195">
        <v>361.2</v>
      </c>
      <c r="N46" s="195">
        <v>45</v>
      </c>
      <c r="O46" s="195">
        <v>25</v>
      </c>
      <c r="Q46" s="194">
        <v>3826.49</v>
      </c>
      <c r="R46" s="194">
        <v>3826.49</v>
      </c>
      <c r="S46" s="194">
        <v>6887.69</v>
      </c>
      <c r="U46" s="203">
        <v>0.25345000000000001</v>
      </c>
      <c r="V46" s="194">
        <v>3061.2</v>
      </c>
      <c r="X46" s="191">
        <v>1350</v>
      </c>
      <c r="Y46" s="191">
        <v>762</v>
      </c>
      <c r="Z46" s="204">
        <v>150</v>
      </c>
      <c r="AA46" s="205"/>
    </row>
    <row r="47" spans="1:30" ht="20.100000000000001" customHeight="1">
      <c r="A47" s="191">
        <v>1</v>
      </c>
      <c r="B47" s="191">
        <v>2019109</v>
      </c>
      <c r="C47" s="191" t="s">
        <v>938</v>
      </c>
      <c r="D47" s="195">
        <v>255</v>
      </c>
      <c r="E47" s="195" t="s">
        <v>514</v>
      </c>
      <c r="F47" s="191" t="s">
        <v>580</v>
      </c>
      <c r="G47" s="195" t="s">
        <v>925</v>
      </c>
      <c r="H47" s="195" t="s">
        <v>6</v>
      </c>
      <c r="I47" s="191">
        <v>6112.201</v>
      </c>
      <c r="J47" s="202" t="s">
        <v>251</v>
      </c>
      <c r="K47" s="194">
        <v>101202.01655737705</v>
      </c>
      <c r="L47" s="194">
        <v>108274.99611015266</v>
      </c>
      <c r="M47" s="195">
        <v>331</v>
      </c>
      <c r="N47" s="207">
        <v>42.916666666666664</v>
      </c>
      <c r="O47" s="195">
        <v>25</v>
      </c>
      <c r="Q47" s="194">
        <v>2358.11</v>
      </c>
      <c r="R47" s="194">
        <v>2358.11</v>
      </c>
      <c r="S47" s="194">
        <v>4048.08</v>
      </c>
      <c r="U47" s="203">
        <v>0.25345000000000001</v>
      </c>
      <c r="V47" s="194">
        <v>1689.9699999999998</v>
      </c>
      <c r="X47" s="191">
        <v>1125</v>
      </c>
      <c r="Y47" s="191">
        <v>762</v>
      </c>
      <c r="Z47" s="204">
        <v>164</v>
      </c>
      <c r="AA47" s="205">
        <v>21781.011437545716</v>
      </c>
      <c r="AC47" s="191">
        <v>1.6557377049180328E-2</v>
      </c>
      <c r="AD47" s="191">
        <v>9</v>
      </c>
    </row>
    <row r="48" spans="1:30" ht="20.100000000000001" customHeight="1">
      <c r="B48" s="191">
        <v>2019109</v>
      </c>
      <c r="C48" s="191" t="s">
        <v>938</v>
      </c>
      <c r="D48" s="195">
        <v>255</v>
      </c>
      <c r="E48" s="195" t="s">
        <v>514</v>
      </c>
      <c r="F48" s="191" t="s">
        <v>580</v>
      </c>
      <c r="G48" s="195" t="s">
        <v>925</v>
      </c>
      <c r="H48" s="195" t="s">
        <v>6</v>
      </c>
      <c r="J48" s="202" t="s">
        <v>7</v>
      </c>
      <c r="K48" s="194">
        <v>4722426.7726229513</v>
      </c>
      <c r="L48" s="194">
        <v>5052475.8085856391</v>
      </c>
      <c r="M48" s="195">
        <v>380.4</v>
      </c>
      <c r="N48" s="195">
        <v>18</v>
      </c>
      <c r="O48" s="195">
        <v>25</v>
      </c>
      <c r="Q48" s="194">
        <v>262357.03999999998</v>
      </c>
      <c r="R48" s="194">
        <v>262357.03999999998</v>
      </c>
      <c r="S48" s="194">
        <v>188897.07</v>
      </c>
      <c r="U48" s="203">
        <v>0.25345000000000001</v>
      </c>
      <c r="V48" s="194">
        <v>-73459.969999999972</v>
      </c>
      <c r="X48" s="191">
        <v>1400</v>
      </c>
      <c r="Y48" s="191">
        <v>752</v>
      </c>
      <c r="Z48" s="204">
        <v>384.75</v>
      </c>
      <c r="AA48" s="205">
        <v>2416161.8361259047</v>
      </c>
      <c r="AC48" s="191">
        <v>0.77262295081967214</v>
      </c>
      <c r="AD48" s="191">
        <v>9</v>
      </c>
    </row>
    <row r="49" spans="1:30" ht="20.100000000000001" customHeight="1">
      <c r="B49" s="191">
        <v>2019109</v>
      </c>
      <c r="C49" s="191" t="s">
        <v>938</v>
      </c>
      <c r="D49" s="195">
        <v>255</v>
      </c>
      <c r="E49" s="195" t="s">
        <v>514</v>
      </c>
      <c r="F49" s="191" t="s">
        <v>580</v>
      </c>
      <c r="G49" s="195" t="s">
        <v>925</v>
      </c>
      <c r="H49" s="195" t="s">
        <v>6</v>
      </c>
      <c r="J49" s="202" t="s">
        <v>7</v>
      </c>
      <c r="K49" s="194">
        <v>1288572.2108196721</v>
      </c>
      <c r="L49" s="194">
        <v>1378630.1484916466</v>
      </c>
      <c r="M49" s="195">
        <v>381.4</v>
      </c>
      <c r="N49" s="195">
        <v>35</v>
      </c>
      <c r="O49" s="195">
        <v>25</v>
      </c>
      <c r="Q49" s="194">
        <v>36816.35</v>
      </c>
      <c r="R49" s="194">
        <v>36816.35</v>
      </c>
      <c r="S49" s="194">
        <v>51542.89</v>
      </c>
      <c r="U49" s="203">
        <v>0.25345000000000001</v>
      </c>
      <c r="V49" s="194">
        <v>14726.54</v>
      </c>
      <c r="X49" s="191">
        <v>1410</v>
      </c>
      <c r="Y49" s="191">
        <v>599</v>
      </c>
      <c r="Z49" s="204">
        <v>214</v>
      </c>
      <c r="AA49" s="205">
        <v>460358.0185566108</v>
      </c>
      <c r="AC49" s="191">
        <v>0.21081967213114755</v>
      </c>
      <c r="AD49" s="191">
        <v>9</v>
      </c>
    </row>
    <row r="50" spans="1:30" ht="20.100000000000001" customHeight="1">
      <c r="A50" s="191">
        <v>4</v>
      </c>
      <c r="B50" s="191">
        <v>1</v>
      </c>
      <c r="C50" s="191" t="s">
        <v>936</v>
      </c>
      <c r="D50" s="195">
        <v>255</v>
      </c>
      <c r="E50" s="195" t="s">
        <v>514</v>
      </c>
      <c r="F50" s="191" t="s">
        <v>580</v>
      </c>
      <c r="G50" s="195" t="s">
        <v>925</v>
      </c>
      <c r="H50" s="195" t="s">
        <v>6</v>
      </c>
      <c r="I50" s="191">
        <v>2750</v>
      </c>
      <c r="J50" s="202" t="s">
        <v>7</v>
      </c>
      <c r="K50" s="194">
        <v>2750000</v>
      </c>
      <c r="L50" s="194">
        <v>2901906.8125</v>
      </c>
      <c r="M50" s="195">
        <v>380.4</v>
      </c>
      <c r="N50" s="195">
        <v>18</v>
      </c>
      <c r="O50" s="195">
        <v>25</v>
      </c>
      <c r="Q50" s="194">
        <v>161217.04999999999</v>
      </c>
      <c r="R50" s="194">
        <v>161217.04999999999</v>
      </c>
      <c r="S50" s="194">
        <v>116076.27</v>
      </c>
      <c r="U50" s="203">
        <v>0.25345000000000001</v>
      </c>
      <c r="V50" s="194">
        <v>-45140.779999999984</v>
      </c>
      <c r="X50" s="191">
        <v>1400</v>
      </c>
      <c r="Y50" s="191">
        <v>752</v>
      </c>
      <c r="Z50" s="204">
        <v>384.75</v>
      </c>
      <c r="AA50" s="205">
        <v>1406998.005319149</v>
      </c>
      <c r="AD50" s="191">
        <v>11</v>
      </c>
    </row>
    <row r="51" spans="1:30" ht="20.100000000000001" customHeight="1">
      <c r="A51" s="191">
        <v>6</v>
      </c>
      <c r="B51" s="191">
        <v>2020080</v>
      </c>
      <c r="C51" s="191" t="s">
        <v>935</v>
      </c>
      <c r="D51" s="195">
        <v>250</v>
      </c>
      <c r="E51" s="195" t="s">
        <v>513</v>
      </c>
      <c r="F51" s="191" t="s">
        <v>934</v>
      </c>
      <c r="G51" s="195" t="s">
        <v>925</v>
      </c>
      <c r="H51" s="195" t="s">
        <v>6</v>
      </c>
      <c r="I51" s="191">
        <v>3045.5</v>
      </c>
      <c r="J51" s="202" t="s">
        <v>7</v>
      </c>
      <c r="K51" s="194">
        <v>3045500</v>
      </c>
      <c r="L51" s="194">
        <v>3186839.4738312499</v>
      </c>
      <c r="M51" s="195">
        <v>380.4</v>
      </c>
      <c r="N51" s="195">
        <v>18</v>
      </c>
      <c r="O51" s="195">
        <v>25</v>
      </c>
      <c r="Q51" s="194">
        <v>177046.64</v>
      </c>
      <c r="R51" s="194">
        <v>177046.64</v>
      </c>
      <c r="S51" s="194">
        <v>127473.58</v>
      </c>
      <c r="U51" s="203">
        <v>0.25345000000000001</v>
      </c>
      <c r="V51" s="194">
        <v>-49573.060000000012</v>
      </c>
      <c r="X51" s="191">
        <v>1400</v>
      </c>
      <c r="Y51" s="191">
        <v>752</v>
      </c>
      <c r="Z51" s="204">
        <v>384.75</v>
      </c>
      <c r="AA51" s="205">
        <v>1558186.3364361702</v>
      </c>
      <c r="AD51" s="191">
        <v>6</v>
      </c>
    </row>
    <row r="52" spans="1:30" ht="20.100000000000001" customHeight="1">
      <c r="A52" s="191">
        <v>13</v>
      </c>
      <c r="B52" s="191">
        <v>2018109</v>
      </c>
      <c r="C52" s="191" t="s">
        <v>988</v>
      </c>
      <c r="D52" s="195">
        <v>255</v>
      </c>
      <c r="E52" s="195" t="s">
        <v>514</v>
      </c>
      <c r="F52" s="191" t="s">
        <v>580</v>
      </c>
      <c r="G52" s="195" t="s">
        <v>6</v>
      </c>
      <c r="I52" s="191">
        <v>278.82</v>
      </c>
      <c r="J52" s="202" t="s">
        <v>7</v>
      </c>
      <c r="K52" s="194">
        <v>278820</v>
      </c>
      <c r="L52" s="194">
        <v>320412.37316799996</v>
      </c>
      <c r="M52" s="195">
        <v>380.4</v>
      </c>
      <c r="N52" s="195">
        <v>18</v>
      </c>
      <c r="O52" s="195">
        <v>25</v>
      </c>
      <c r="Q52" s="194">
        <v>17800.689999999999</v>
      </c>
      <c r="R52" s="194">
        <v>17800.689999999999</v>
      </c>
      <c r="S52" s="194">
        <v>12816.49</v>
      </c>
      <c r="U52" s="203">
        <v>0.25345000000000001</v>
      </c>
      <c r="V52" s="194">
        <v>-4984.1999999999989</v>
      </c>
      <c r="X52" s="191">
        <v>1400</v>
      </c>
      <c r="Y52" s="191">
        <v>752</v>
      </c>
      <c r="Z52" s="204">
        <v>384.75</v>
      </c>
      <c r="AA52" s="205"/>
    </row>
    <row r="53" spans="1:30" ht="20.100000000000001" customHeight="1">
      <c r="A53" s="191">
        <v>15</v>
      </c>
      <c r="B53" s="191">
        <v>1</v>
      </c>
      <c r="C53" s="191" t="s">
        <v>987</v>
      </c>
      <c r="D53" s="195">
        <v>251</v>
      </c>
      <c r="E53" s="195" t="s">
        <v>931</v>
      </c>
      <c r="F53" s="191" t="s">
        <v>571</v>
      </c>
      <c r="G53" s="195" t="s">
        <v>6</v>
      </c>
      <c r="I53" s="191">
        <v>380</v>
      </c>
      <c r="J53" s="202" t="s">
        <v>7</v>
      </c>
      <c r="K53" s="194">
        <v>380000</v>
      </c>
      <c r="L53" s="194">
        <v>396709.5390625</v>
      </c>
      <c r="M53" s="195">
        <v>380.4</v>
      </c>
      <c r="N53" s="195">
        <v>18</v>
      </c>
      <c r="O53" s="195">
        <v>25</v>
      </c>
      <c r="Q53" s="194">
        <v>22039.42</v>
      </c>
      <c r="R53" s="194">
        <v>22039.42</v>
      </c>
      <c r="S53" s="194">
        <v>15868.38</v>
      </c>
      <c r="U53" s="203">
        <v>0.25345000000000001</v>
      </c>
      <c r="V53" s="194">
        <v>-6171.0399999999991</v>
      </c>
      <c r="X53" s="191">
        <v>1400</v>
      </c>
      <c r="Y53" s="191">
        <v>752</v>
      </c>
      <c r="Z53" s="204">
        <v>384.75</v>
      </c>
      <c r="AA53" s="205"/>
    </row>
    <row r="54" spans="1:30" ht="20.100000000000001" customHeight="1">
      <c r="A54" s="191">
        <v>19</v>
      </c>
      <c r="B54" s="191">
        <v>2020031</v>
      </c>
      <c r="C54" s="191" t="s">
        <v>986</v>
      </c>
      <c r="D54" s="195">
        <v>255</v>
      </c>
      <c r="E54" s="195" t="s">
        <v>514</v>
      </c>
      <c r="F54" s="191" t="s">
        <v>580</v>
      </c>
      <c r="G54" s="195" t="s">
        <v>6</v>
      </c>
      <c r="I54" s="191">
        <v>186.715</v>
      </c>
      <c r="J54" s="202" t="s">
        <v>7</v>
      </c>
      <c r="K54" s="194">
        <v>186715</v>
      </c>
      <c r="L54" s="194">
        <v>198117.31156599999</v>
      </c>
      <c r="M54" s="195">
        <v>380.4</v>
      </c>
      <c r="N54" s="195">
        <v>18</v>
      </c>
      <c r="O54" s="195">
        <v>25</v>
      </c>
      <c r="Q54" s="194">
        <v>11006.52</v>
      </c>
      <c r="R54" s="194">
        <v>11006.52</v>
      </c>
      <c r="S54" s="194">
        <v>7924.69</v>
      </c>
      <c r="U54" s="203">
        <v>0.25345000000000001</v>
      </c>
      <c r="V54" s="194">
        <v>-3081.8300000000008</v>
      </c>
      <c r="X54" s="191">
        <v>1400</v>
      </c>
      <c r="Y54" s="191">
        <v>752</v>
      </c>
      <c r="Z54" s="204">
        <v>384.75</v>
      </c>
      <c r="AA54" s="205"/>
    </row>
    <row r="55" spans="1:30" ht="20.100000000000001" customHeight="1">
      <c r="A55" s="191">
        <v>24</v>
      </c>
      <c r="B55" s="191">
        <v>2019125</v>
      </c>
      <c r="C55" s="239" t="s">
        <v>1227</v>
      </c>
      <c r="D55" s="195">
        <v>249</v>
      </c>
      <c r="E55" s="195" t="s">
        <v>939</v>
      </c>
      <c r="F55" s="191" t="s">
        <v>577</v>
      </c>
      <c r="G55" s="195" t="s">
        <v>6</v>
      </c>
      <c r="I55" s="191">
        <v>130.26403000000002</v>
      </c>
      <c r="J55" s="202" t="s">
        <v>7</v>
      </c>
      <c r="K55" s="194">
        <v>130264.03000000001</v>
      </c>
      <c r="L55" s="194">
        <v>130264.03000000001</v>
      </c>
      <c r="M55" s="195">
        <v>380.4</v>
      </c>
      <c r="N55" s="195">
        <v>18</v>
      </c>
      <c r="O55" s="195">
        <v>25</v>
      </c>
      <c r="Q55" s="194">
        <v>7236.89</v>
      </c>
      <c r="R55" s="194">
        <v>7236.89</v>
      </c>
      <c r="S55" s="194">
        <v>5210.5600000000004</v>
      </c>
      <c r="U55" s="203">
        <v>0.25345000000000001</v>
      </c>
      <c r="V55" s="194">
        <v>-2026.33</v>
      </c>
      <c r="X55" s="191">
        <v>1400</v>
      </c>
      <c r="Y55" s="191">
        <v>752</v>
      </c>
      <c r="Z55" s="204">
        <v>384.75</v>
      </c>
      <c r="AA55" s="205"/>
    </row>
    <row r="56" spans="1:30" ht="20.100000000000001" customHeight="1">
      <c r="A56" s="191">
        <v>50</v>
      </c>
      <c r="B56" s="191">
        <v>1</v>
      </c>
      <c r="C56" s="191" t="s">
        <v>917</v>
      </c>
      <c r="D56" s="195">
        <v>259</v>
      </c>
      <c r="E56" s="195" t="s">
        <v>512</v>
      </c>
      <c r="F56" s="191" t="s">
        <v>576</v>
      </c>
      <c r="G56" s="195" t="s">
        <v>6</v>
      </c>
      <c r="I56" s="191">
        <v>40.636060000000001</v>
      </c>
      <c r="J56" s="202" t="s">
        <v>7</v>
      </c>
      <c r="K56" s="194">
        <v>40636.06</v>
      </c>
      <c r="L56" s="194">
        <v>40636.06</v>
      </c>
      <c r="M56" s="195">
        <v>380.4</v>
      </c>
      <c r="N56" s="195">
        <v>18</v>
      </c>
      <c r="O56" s="195">
        <v>25</v>
      </c>
      <c r="Q56" s="194">
        <v>2257.56</v>
      </c>
      <c r="R56" s="194">
        <v>2257.56</v>
      </c>
      <c r="S56" s="194">
        <v>1625.44</v>
      </c>
      <c r="U56" s="203">
        <v>0.25345000000000001</v>
      </c>
      <c r="V56" s="194">
        <v>-632.11999999999989</v>
      </c>
      <c r="X56" s="191">
        <v>1400</v>
      </c>
      <c r="Y56" s="191">
        <v>752</v>
      </c>
      <c r="Z56" s="204">
        <v>384.75</v>
      </c>
      <c r="AA56" s="205"/>
    </row>
    <row r="57" spans="1:30" ht="20.100000000000001" customHeight="1">
      <c r="A57" s="191">
        <v>51</v>
      </c>
      <c r="B57" s="191">
        <v>1</v>
      </c>
      <c r="C57" s="191" t="s">
        <v>932</v>
      </c>
      <c r="D57" s="195">
        <v>260</v>
      </c>
      <c r="E57" s="195" t="s">
        <v>931</v>
      </c>
      <c r="F57" s="191" t="s">
        <v>930</v>
      </c>
      <c r="G57" s="195" t="s">
        <v>925</v>
      </c>
      <c r="H57" s="195" t="s">
        <v>6</v>
      </c>
      <c r="I57" s="191">
        <v>34</v>
      </c>
      <c r="J57" s="202" t="s">
        <v>7</v>
      </c>
      <c r="K57" s="194">
        <v>34000</v>
      </c>
      <c r="L57" s="194">
        <v>34000</v>
      </c>
      <c r="M57" s="195">
        <v>380.4</v>
      </c>
      <c r="N57" s="195">
        <v>18</v>
      </c>
      <c r="O57" s="195">
        <v>25</v>
      </c>
      <c r="Q57" s="194">
        <v>1888.89</v>
      </c>
      <c r="R57" s="194">
        <v>1888.89</v>
      </c>
      <c r="S57" s="194">
        <v>1360</v>
      </c>
      <c r="U57" s="203">
        <v>0.25345000000000001</v>
      </c>
      <c r="V57" s="194">
        <v>-528.8900000000001</v>
      </c>
      <c r="X57" s="191">
        <v>1400</v>
      </c>
      <c r="Y57" s="191">
        <v>752</v>
      </c>
      <c r="Z57" s="204">
        <v>384.75</v>
      </c>
      <c r="AA57" s="205">
        <v>17395.611702127659</v>
      </c>
      <c r="AD57" s="191">
        <v>8</v>
      </c>
    </row>
    <row r="58" spans="1:30" ht="20.100000000000001" customHeight="1">
      <c r="A58" s="191">
        <v>48</v>
      </c>
      <c r="B58" s="191">
        <v>1</v>
      </c>
      <c r="C58" s="191" t="s">
        <v>933</v>
      </c>
      <c r="D58" s="195">
        <v>251</v>
      </c>
      <c r="E58" s="195" t="s">
        <v>931</v>
      </c>
      <c r="F58" s="191" t="s">
        <v>571</v>
      </c>
      <c r="G58" s="195" t="s">
        <v>925</v>
      </c>
      <c r="H58" s="195" t="s">
        <v>6</v>
      </c>
      <c r="I58" s="191">
        <v>45</v>
      </c>
      <c r="J58" s="202" t="s">
        <v>7</v>
      </c>
      <c r="K58" s="194">
        <v>45000</v>
      </c>
      <c r="L58" s="194">
        <v>45660</v>
      </c>
      <c r="M58" s="195">
        <v>380.4</v>
      </c>
      <c r="N58" s="195">
        <v>18</v>
      </c>
      <c r="O58" s="195">
        <v>25</v>
      </c>
      <c r="Q58" s="194">
        <v>2536.67</v>
      </c>
      <c r="R58" s="194">
        <v>2536.67</v>
      </c>
      <c r="S58" s="194">
        <v>1826.4</v>
      </c>
      <c r="U58" s="203">
        <v>0.25345000000000001</v>
      </c>
      <c r="V58" s="194">
        <v>-710.27</v>
      </c>
      <c r="X58" s="191">
        <v>1400</v>
      </c>
      <c r="Y58" s="191">
        <v>752</v>
      </c>
      <c r="Z58" s="204">
        <v>384.75</v>
      </c>
      <c r="AA58" s="205">
        <v>23023.603723404256</v>
      </c>
      <c r="AD58" s="191">
        <v>4</v>
      </c>
    </row>
    <row r="59" spans="1:30" ht="20.100000000000001" customHeight="1">
      <c r="A59" s="191">
        <v>17</v>
      </c>
      <c r="B59" s="191">
        <v>2019024</v>
      </c>
      <c r="C59" s="191" t="s">
        <v>921</v>
      </c>
      <c r="D59" s="195">
        <v>249</v>
      </c>
      <c r="E59" s="195" t="s">
        <v>939</v>
      </c>
      <c r="F59" s="191" t="s">
        <v>577</v>
      </c>
      <c r="G59" s="195" t="s">
        <v>6</v>
      </c>
      <c r="I59" s="191">
        <v>229.00014000000002</v>
      </c>
      <c r="J59" s="202" t="s">
        <v>7</v>
      </c>
      <c r="K59" s="194">
        <v>229000.14</v>
      </c>
      <c r="L59" s="194">
        <v>247761.1202961875</v>
      </c>
      <c r="M59" s="195">
        <v>396</v>
      </c>
      <c r="N59" s="195">
        <v>10</v>
      </c>
      <c r="O59" s="195">
        <v>25</v>
      </c>
      <c r="Q59" s="194">
        <v>24776.11</v>
      </c>
      <c r="R59" s="194">
        <v>24776.11</v>
      </c>
      <c r="S59" s="194">
        <v>9910.44</v>
      </c>
      <c r="U59" s="203">
        <v>0.25345000000000001</v>
      </c>
      <c r="V59" s="194">
        <v>-14865.67</v>
      </c>
      <c r="X59" s="191">
        <v>1485</v>
      </c>
      <c r="Y59" s="191">
        <v>1346</v>
      </c>
      <c r="Z59" s="204">
        <v>704.25</v>
      </c>
      <c r="AA59" s="205"/>
    </row>
    <row r="60" spans="1:30" ht="20.100000000000001" customHeight="1">
      <c r="A60" s="191">
        <v>25</v>
      </c>
      <c r="B60" s="191">
        <v>1</v>
      </c>
      <c r="C60" s="191" t="s">
        <v>984</v>
      </c>
      <c r="D60" s="195">
        <v>256</v>
      </c>
      <c r="E60" s="191" t="s">
        <v>978</v>
      </c>
      <c r="F60" s="191" t="s">
        <v>581</v>
      </c>
      <c r="G60" s="195" t="s">
        <v>6</v>
      </c>
      <c r="I60" s="191">
        <v>130</v>
      </c>
      <c r="J60" s="202" t="s">
        <v>7</v>
      </c>
      <c r="K60" s="194">
        <v>130000</v>
      </c>
      <c r="L60" s="194">
        <v>135490.233125</v>
      </c>
      <c r="M60" s="195">
        <v>396</v>
      </c>
      <c r="N60" s="195">
        <v>10</v>
      </c>
      <c r="O60" s="195">
        <v>25</v>
      </c>
      <c r="Q60" s="194">
        <v>13549.02</v>
      </c>
      <c r="R60" s="194">
        <v>13549.02</v>
      </c>
      <c r="S60" s="194">
        <v>5419.61</v>
      </c>
      <c r="U60" s="203">
        <v>0.25345000000000001</v>
      </c>
      <c r="V60" s="194">
        <v>-8129.4100000000008</v>
      </c>
      <c r="X60" s="191">
        <v>1485</v>
      </c>
      <c r="Y60" s="191">
        <v>1346</v>
      </c>
      <c r="Z60" s="204">
        <v>704.25</v>
      </c>
      <c r="AA60" s="205"/>
    </row>
    <row r="61" spans="1:30" ht="20.100000000000001" customHeight="1">
      <c r="A61" s="191">
        <v>26</v>
      </c>
      <c r="B61" s="191">
        <v>2019078</v>
      </c>
      <c r="C61" s="191" t="s">
        <v>983</v>
      </c>
      <c r="D61" s="195">
        <v>246</v>
      </c>
      <c r="E61" s="191" t="s">
        <v>514</v>
      </c>
      <c r="F61" s="191" t="s">
        <v>574</v>
      </c>
      <c r="G61" s="195" t="s">
        <v>6</v>
      </c>
      <c r="H61" s="195" t="s">
        <v>6</v>
      </c>
      <c r="I61" s="191">
        <v>122.02354</v>
      </c>
      <c r="J61" s="202" t="s">
        <v>7</v>
      </c>
      <c r="K61" s="194">
        <v>122023.54</v>
      </c>
      <c r="L61" s="194">
        <v>125646.66999999998</v>
      </c>
      <c r="M61" s="195">
        <v>396</v>
      </c>
      <c r="N61" s="195">
        <v>10</v>
      </c>
      <c r="O61" s="195">
        <v>25</v>
      </c>
      <c r="Q61" s="194">
        <v>12564.67</v>
      </c>
      <c r="R61" s="194">
        <v>12564.67</v>
      </c>
      <c r="S61" s="194">
        <v>5025.87</v>
      </c>
      <c r="U61" s="203">
        <v>0.25345000000000001</v>
      </c>
      <c r="V61" s="194">
        <v>-7538.8</v>
      </c>
      <c r="X61" s="191">
        <v>1485</v>
      </c>
      <c r="Y61" s="191">
        <v>1346</v>
      </c>
      <c r="Z61" s="204">
        <v>704.25</v>
      </c>
      <c r="AA61" s="205"/>
    </row>
    <row r="62" spans="1:30" ht="20.100000000000001" customHeight="1">
      <c r="A62" s="191">
        <v>36</v>
      </c>
      <c r="B62" s="191">
        <v>2019076</v>
      </c>
      <c r="C62" s="191" t="s">
        <v>982</v>
      </c>
      <c r="D62" s="195">
        <v>252</v>
      </c>
      <c r="E62" s="195" t="s">
        <v>514</v>
      </c>
      <c r="F62" s="191" t="s">
        <v>981</v>
      </c>
      <c r="G62" s="195" t="s">
        <v>6</v>
      </c>
      <c r="H62" s="195" t="s">
        <v>6</v>
      </c>
      <c r="I62" s="191">
        <v>93.875799999999998</v>
      </c>
      <c r="J62" s="202" t="s">
        <v>7</v>
      </c>
      <c r="K62" s="194">
        <v>93875.8</v>
      </c>
      <c r="L62" s="194">
        <v>96663.52</v>
      </c>
      <c r="M62" s="195">
        <v>396</v>
      </c>
      <c r="N62" s="195">
        <v>10</v>
      </c>
      <c r="O62" s="195">
        <v>25</v>
      </c>
      <c r="Q62" s="194">
        <v>9666.35</v>
      </c>
      <c r="R62" s="194">
        <v>9666.35</v>
      </c>
      <c r="S62" s="194">
        <v>3866.54</v>
      </c>
      <c r="U62" s="203">
        <v>0.25345000000000001</v>
      </c>
      <c r="V62" s="194">
        <v>-5799.81</v>
      </c>
      <c r="X62" s="191">
        <v>1485</v>
      </c>
      <c r="Y62" s="191">
        <v>1346</v>
      </c>
      <c r="Z62" s="204">
        <v>704.25</v>
      </c>
      <c r="AA62" s="205"/>
    </row>
    <row r="63" spans="1:30" ht="20.100000000000001" customHeight="1">
      <c r="J63" s="202"/>
      <c r="K63" s="194"/>
      <c r="L63" s="194"/>
      <c r="N63" s="195"/>
      <c r="O63" s="195"/>
      <c r="Q63" s="194"/>
      <c r="R63" s="194"/>
      <c r="S63" s="194"/>
      <c r="U63" s="203"/>
      <c r="V63" s="194"/>
    </row>
    <row r="64" spans="1:30" ht="20.100000000000001" customHeight="1">
      <c r="C64" s="209" t="s">
        <v>980</v>
      </c>
      <c r="J64" s="202"/>
      <c r="K64" s="208">
        <f>SUM(K24:K63)</f>
        <v>21382987.120000001</v>
      </c>
      <c r="L64" s="208">
        <f>SUM(L24:L63)</f>
        <v>22569573.955605939</v>
      </c>
      <c r="M64" s="208">
        <v>19405985</v>
      </c>
      <c r="N64" s="195"/>
      <c r="O64" s="195"/>
      <c r="Q64" s="208">
        <f>SUM(Q24:Q63)</f>
        <v>1004614.4400000002</v>
      </c>
      <c r="R64" s="208">
        <f>SUM(R24:R63)</f>
        <v>1004614.4400000002</v>
      </c>
      <c r="S64" s="208">
        <f>SUM(S24:S63)</f>
        <v>880191.24999999988</v>
      </c>
      <c r="U64" s="203"/>
      <c r="V64" s="208">
        <f>SUM(V24:V63)</f>
        <v>-124423.18999999997</v>
      </c>
      <c r="AA64" s="193">
        <f>SUM(AA24:AA63)</f>
        <v>7323267.3691721605</v>
      </c>
    </row>
    <row r="65" spans="1:30" ht="20.100000000000001" customHeight="1">
      <c r="A65" s="197" t="s">
        <v>979</v>
      </c>
      <c r="C65" s="209"/>
      <c r="J65" s="202"/>
      <c r="K65" s="194"/>
      <c r="L65" s="194"/>
      <c r="N65" s="195"/>
      <c r="O65" s="195"/>
      <c r="Q65" s="194"/>
      <c r="R65" s="194"/>
      <c r="S65" s="194"/>
      <c r="U65" s="203"/>
      <c r="V65" s="194"/>
    </row>
    <row r="66" spans="1:30" ht="20.100000000000001" customHeight="1">
      <c r="A66" s="191">
        <v>29</v>
      </c>
      <c r="B66" s="191">
        <v>1</v>
      </c>
      <c r="C66" s="191" t="s">
        <v>923</v>
      </c>
      <c r="D66" s="195">
        <v>248</v>
      </c>
      <c r="E66" s="195" t="s">
        <v>977</v>
      </c>
      <c r="F66" s="191" t="s">
        <v>579</v>
      </c>
      <c r="G66" s="195" t="s">
        <v>6</v>
      </c>
      <c r="I66" s="191">
        <v>100</v>
      </c>
      <c r="J66" s="202" t="s">
        <v>7</v>
      </c>
      <c r="K66" s="194"/>
      <c r="L66" s="194"/>
      <c r="M66" s="195">
        <v>183</v>
      </c>
      <c r="N66" s="195"/>
      <c r="O66" s="195"/>
      <c r="Q66" s="194"/>
      <c r="R66" s="194"/>
      <c r="S66" s="194"/>
      <c r="U66" s="203"/>
      <c r="V66" s="194"/>
    </row>
    <row r="67" spans="1:30" ht="20.100000000000001" customHeight="1">
      <c r="A67" s="191">
        <v>40</v>
      </c>
      <c r="B67" s="191">
        <v>1</v>
      </c>
      <c r="C67" s="191" t="s">
        <v>922</v>
      </c>
      <c r="D67" s="195">
        <v>248</v>
      </c>
      <c r="E67" s="195" t="s">
        <v>977</v>
      </c>
      <c r="F67" s="191" t="s">
        <v>579</v>
      </c>
      <c r="G67" s="195" t="s">
        <v>6</v>
      </c>
      <c r="I67" s="191">
        <v>60</v>
      </c>
      <c r="J67" s="202" t="s">
        <v>251</v>
      </c>
      <c r="K67" s="194"/>
      <c r="L67" s="194"/>
      <c r="M67" s="195">
        <v>183</v>
      </c>
      <c r="N67" s="195"/>
      <c r="O67" s="195"/>
      <c r="Q67" s="194"/>
      <c r="R67" s="194"/>
      <c r="S67" s="194"/>
      <c r="U67" s="203"/>
      <c r="V67" s="194"/>
    </row>
    <row r="68" spans="1:30" ht="20.100000000000001" customHeight="1">
      <c r="A68" s="191">
        <v>45</v>
      </c>
      <c r="B68" s="191">
        <v>2019174</v>
      </c>
      <c r="C68" s="191" t="s">
        <v>919</v>
      </c>
      <c r="D68" s="195">
        <v>252</v>
      </c>
      <c r="E68" s="195" t="s">
        <v>512</v>
      </c>
      <c r="F68" s="191" t="s">
        <v>970</v>
      </c>
      <c r="G68" s="195" t="s">
        <v>6</v>
      </c>
      <c r="I68" s="240">
        <v>52</v>
      </c>
      <c r="J68" s="202" t="s">
        <v>251</v>
      </c>
      <c r="K68" s="194">
        <v>52000</v>
      </c>
      <c r="L68" s="194">
        <v>52000</v>
      </c>
      <c r="M68" s="195">
        <v>183</v>
      </c>
      <c r="N68" s="195"/>
      <c r="O68" s="195"/>
      <c r="Q68" s="194"/>
      <c r="R68" s="194"/>
      <c r="S68" s="194"/>
      <c r="U68" s="203"/>
      <c r="V68" s="194"/>
    </row>
    <row r="69" spans="1:30" ht="20.100000000000001" customHeight="1">
      <c r="A69" s="191">
        <v>41</v>
      </c>
      <c r="B69" s="191">
        <v>1</v>
      </c>
      <c r="C69" s="191" t="s">
        <v>918</v>
      </c>
      <c r="D69" s="195">
        <v>256</v>
      </c>
      <c r="E69" s="191" t="s">
        <v>978</v>
      </c>
      <c r="F69" s="191" t="s">
        <v>581</v>
      </c>
      <c r="G69" s="195" t="s">
        <v>6</v>
      </c>
      <c r="I69" s="204">
        <v>61.846544999999999</v>
      </c>
      <c r="J69" s="202" t="s">
        <v>7</v>
      </c>
      <c r="K69" s="194">
        <v>61846.544999999998</v>
      </c>
      <c r="L69" s="194">
        <v>61846.544999999998</v>
      </c>
      <c r="M69" s="195">
        <v>183</v>
      </c>
      <c r="N69" s="195"/>
      <c r="O69" s="195"/>
      <c r="Q69" s="194"/>
      <c r="R69" s="194"/>
      <c r="S69" s="194"/>
      <c r="U69" s="203"/>
      <c r="V69" s="194"/>
    </row>
    <row r="70" spans="1:30" ht="20.100000000000001" customHeight="1">
      <c r="A70" s="191">
        <v>46</v>
      </c>
      <c r="B70" s="191">
        <v>1</v>
      </c>
      <c r="C70" s="191" t="s">
        <v>918</v>
      </c>
      <c r="D70" s="195">
        <v>248</v>
      </c>
      <c r="E70" s="195" t="s">
        <v>977</v>
      </c>
      <c r="F70" s="191" t="s">
        <v>579</v>
      </c>
      <c r="G70" s="195" t="s">
        <v>6</v>
      </c>
      <c r="I70" s="204">
        <v>50</v>
      </c>
      <c r="J70" s="202" t="s">
        <v>7</v>
      </c>
      <c r="K70" s="194">
        <v>50000</v>
      </c>
      <c r="L70" s="194">
        <v>50000</v>
      </c>
      <c r="M70" s="195">
        <v>183</v>
      </c>
      <c r="N70" s="195"/>
      <c r="O70" s="195"/>
      <c r="Q70" s="194"/>
      <c r="R70" s="194"/>
      <c r="S70" s="194"/>
      <c r="U70" s="203"/>
      <c r="V70" s="194"/>
    </row>
    <row r="71" spans="1:30" ht="20.100000000000001" customHeight="1">
      <c r="A71" s="191">
        <v>47</v>
      </c>
      <c r="B71" s="191">
        <v>1</v>
      </c>
      <c r="C71" s="191" t="s">
        <v>976</v>
      </c>
      <c r="D71" s="195">
        <v>249</v>
      </c>
      <c r="E71" s="195" t="s">
        <v>939</v>
      </c>
      <c r="F71" s="191" t="s">
        <v>577</v>
      </c>
      <c r="G71" s="195" t="s">
        <v>6</v>
      </c>
      <c r="I71" s="191">
        <v>50</v>
      </c>
      <c r="J71" s="202" t="s">
        <v>7</v>
      </c>
      <c r="K71" s="194"/>
      <c r="L71" s="194"/>
      <c r="M71" s="195">
        <v>183</v>
      </c>
      <c r="N71" s="195"/>
      <c r="O71" s="195"/>
      <c r="Q71" s="194"/>
      <c r="R71" s="194"/>
      <c r="S71" s="194"/>
      <c r="U71" s="203"/>
      <c r="V71" s="194"/>
    </row>
    <row r="72" spans="1:30" ht="20.100000000000001" customHeight="1">
      <c r="A72" s="191">
        <v>53</v>
      </c>
      <c r="B72" s="191">
        <v>1</v>
      </c>
      <c r="C72" s="191" t="s">
        <v>920</v>
      </c>
      <c r="D72" s="195">
        <v>252</v>
      </c>
      <c r="E72" s="195" t="s">
        <v>512</v>
      </c>
      <c r="F72" s="191" t="s">
        <v>970</v>
      </c>
      <c r="G72" s="195" t="s">
        <v>6</v>
      </c>
      <c r="I72" s="191">
        <v>27.48105</v>
      </c>
      <c r="J72" s="202" t="s">
        <v>7</v>
      </c>
      <c r="K72" s="194">
        <v>27481.05</v>
      </c>
      <c r="L72" s="194">
        <v>27481.05</v>
      </c>
      <c r="M72" s="195">
        <v>183</v>
      </c>
      <c r="N72" s="195"/>
      <c r="O72" s="195"/>
      <c r="Q72" s="194"/>
      <c r="R72" s="194"/>
      <c r="S72" s="194"/>
      <c r="U72" s="203"/>
      <c r="V72" s="194"/>
    </row>
    <row r="73" spans="1:30" ht="20.100000000000001" customHeight="1">
      <c r="C73" s="209" t="s">
        <v>975</v>
      </c>
      <c r="J73" s="202"/>
      <c r="K73" s="208">
        <f>SUM(K66:K72)</f>
        <v>191327.59499999997</v>
      </c>
      <c r="L73" s="208">
        <f>SUM(L66:L72)</f>
        <v>191327.59499999997</v>
      </c>
      <c r="N73" s="195"/>
      <c r="O73" s="195"/>
      <c r="Q73" s="194"/>
      <c r="R73" s="194"/>
      <c r="S73" s="194"/>
      <c r="U73" s="203"/>
      <c r="V73" s="194"/>
    </row>
    <row r="74" spans="1:30" ht="20.100000000000001" customHeight="1">
      <c r="J74" s="202"/>
      <c r="K74" s="194"/>
      <c r="L74" s="194"/>
      <c r="N74" s="195"/>
      <c r="O74" s="195"/>
      <c r="Q74" s="194"/>
      <c r="R74" s="194"/>
      <c r="S74" s="194"/>
      <c r="U74" s="203"/>
      <c r="V74" s="194"/>
    </row>
    <row r="75" spans="1:30" ht="20.100000000000001" customHeight="1">
      <c r="A75" s="197" t="s">
        <v>974</v>
      </c>
      <c r="J75" s="202"/>
      <c r="K75" s="194"/>
      <c r="L75" s="194"/>
      <c r="N75" s="195"/>
      <c r="O75" s="195"/>
      <c r="R75" s="857"/>
      <c r="S75" s="194"/>
      <c r="U75" s="203"/>
      <c r="V75" s="194"/>
    </row>
    <row r="76" spans="1:30" ht="20.100000000000001" customHeight="1">
      <c r="A76" s="191">
        <v>2</v>
      </c>
      <c r="B76" s="191">
        <v>1</v>
      </c>
      <c r="C76" s="191" t="s">
        <v>929</v>
      </c>
      <c r="D76" s="195">
        <v>255</v>
      </c>
      <c r="E76" s="195" t="s">
        <v>514</v>
      </c>
      <c r="F76" s="191" t="s">
        <v>580</v>
      </c>
      <c r="G76" s="195" t="s">
        <v>925</v>
      </c>
      <c r="H76" s="195" t="s">
        <v>6</v>
      </c>
      <c r="I76" s="191">
        <v>3576</v>
      </c>
      <c r="J76" s="202" t="s">
        <v>251</v>
      </c>
      <c r="K76" s="194">
        <v>1644960</v>
      </c>
      <c r="L76" s="194">
        <v>1711672.9605</v>
      </c>
      <c r="M76" s="195">
        <v>331</v>
      </c>
      <c r="N76" s="195">
        <v>43</v>
      </c>
      <c r="O76" s="195">
        <v>25</v>
      </c>
      <c r="Q76" s="194">
        <v>39806.35</v>
      </c>
      <c r="R76" s="194">
        <v>39806.35</v>
      </c>
      <c r="S76" s="194">
        <v>68466.92</v>
      </c>
      <c r="U76" s="203">
        <v>0.25345000000000001</v>
      </c>
      <c r="V76" s="194">
        <v>28660.57</v>
      </c>
      <c r="X76" s="191">
        <v>1125</v>
      </c>
      <c r="Y76" s="191">
        <v>762</v>
      </c>
      <c r="Z76" s="204">
        <v>164</v>
      </c>
      <c r="AA76" s="205">
        <v>354033.38582677167</v>
      </c>
      <c r="AD76" s="191">
        <v>10</v>
      </c>
    </row>
    <row r="77" spans="1:30" ht="20.100000000000001" customHeight="1">
      <c r="A77" s="191">
        <v>2</v>
      </c>
      <c r="B77" s="191">
        <v>1</v>
      </c>
      <c r="C77" s="191" t="s">
        <v>929</v>
      </c>
      <c r="D77" s="195">
        <v>255</v>
      </c>
      <c r="E77" s="195" t="s">
        <v>514</v>
      </c>
      <c r="F77" s="191" t="s">
        <v>580</v>
      </c>
      <c r="G77" s="195" t="s">
        <v>925</v>
      </c>
      <c r="H77" s="195" t="s">
        <v>6</v>
      </c>
      <c r="J77" s="202" t="s">
        <v>7</v>
      </c>
      <c r="K77" s="194">
        <v>1931040.0000000002</v>
      </c>
      <c r="L77" s="194">
        <v>2009355.2145</v>
      </c>
      <c r="M77" s="195">
        <v>360</v>
      </c>
      <c r="N77" s="195">
        <v>30</v>
      </c>
      <c r="O77" s="195">
        <v>25</v>
      </c>
      <c r="Q77" s="194">
        <v>66978.509999999995</v>
      </c>
      <c r="R77" s="194">
        <v>66978.509999999995</v>
      </c>
      <c r="S77" s="194">
        <v>80374.210000000006</v>
      </c>
      <c r="U77" s="203">
        <v>0.25345000000000001</v>
      </c>
      <c r="V77" s="194">
        <v>13395.700000000012</v>
      </c>
      <c r="X77" s="191">
        <v>1345</v>
      </c>
      <c r="Y77" s="191">
        <v>762</v>
      </c>
      <c r="Z77" s="204">
        <v>273</v>
      </c>
      <c r="AA77" s="205">
        <v>691829.29133858276</v>
      </c>
      <c r="AD77" s="191">
        <v>10</v>
      </c>
    </row>
    <row r="78" spans="1:30" ht="20.100000000000001" customHeight="1">
      <c r="A78" s="191">
        <v>28</v>
      </c>
      <c r="B78" s="191">
        <v>2018098</v>
      </c>
      <c r="C78" s="191" t="s">
        <v>973</v>
      </c>
      <c r="D78" s="195">
        <v>255</v>
      </c>
      <c r="E78" s="195" t="s">
        <v>514</v>
      </c>
      <c r="F78" s="191" t="s">
        <v>580</v>
      </c>
      <c r="G78" s="195" t="s">
        <v>6</v>
      </c>
      <c r="I78" s="191">
        <v>186.67099999999999</v>
      </c>
      <c r="J78" s="202" t="s">
        <v>251</v>
      </c>
      <c r="K78" s="194">
        <v>140003</v>
      </c>
      <c r="L78" s="194">
        <v>154042</v>
      </c>
      <c r="M78" s="195">
        <v>331</v>
      </c>
      <c r="N78" s="195">
        <v>43</v>
      </c>
      <c r="O78" s="195">
        <v>25</v>
      </c>
      <c r="Q78" s="194">
        <v>3582.37</v>
      </c>
      <c r="R78" s="194">
        <v>3582.37</v>
      </c>
      <c r="S78" s="194">
        <v>6161.68</v>
      </c>
      <c r="U78" s="203">
        <v>0.25345000000000001</v>
      </c>
      <c r="V78" s="194">
        <v>2579.3100000000004</v>
      </c>
      <c r="X78" s="191">
        <v>1125</v>
      </c>
      <c r="Y78" s="191">
        <v>762</v>
      </c>
      <c r="Z78" s="204">
        <v>164</v>
      </c>
      <c r="AA78" s="205"/>
    </row>
    <row r="79" spans="1:30" ht="20.100000000000001" customHeight="1">
      <c r="A79" s="191">
        <v>28</v>
      </c>
      <c r="B79" s="191">
        <v>2018098</v>
      </c>
      <c r="C79" s="191" t="s">
        <v>973</v>
      </c>
      <c r="D79" s="195">
        <v>255</v>
      </c>
      <c r="E79" s="195" t="s">
        <v>514</v>
      </c>
      <c r="F79" s="191" t="s">
        <v>580</v>
      </c>
      <c r="G79" s="195" t="s">
        <v>6</v>
      </c>
      <c r="J79" s="202" t="s">
        <v>7</v>
      </c>
      <c r="K79" s="194">
        <v>46668</v>
      </c>
      <c r="L79" s="194">
        <v>51347</v>
      </c>
      <c r="M79" s="195">
        <v>360</v>
      </c>
      <c r="N79" s="195">
        <v>30</v>
      </c>
      <c r="O79" s="195">
        <v>25</v>
      </c>
      <c r="Q79" s="194">
        <v>1711.57</v>
      </c>
      <c r="R79" s="194">
        <v>1711.57</v>
      </c>
      <c r="S79" s="194">
        <v>2053.88</v>
      </c>
      <c r="U79" s="203">
        <v>0.25345000000000001</v>
      </c>
      <c r="V79" s="194">
        <v>342.31000000000017</v>
      </c>
      <c r="X79" s="191">
        <v>1345</v>
      </c>
      <c r="Y79" s="191">
        <v>762</v>
      </c>
      <c r="Z79" s="204">
        <v>273</v>
      </c>
      <c r="AA79" s="205"/>
    </row>
    <row r="80" spans="1:30" ht="20.100000000000001" customHeight="1">
      <c r="A80" s="191">
        <v>18</v>
      </c>
      <c r="B80" s="191">
        <v>1</v>
      </c>
      <c r="C80" s="191" t="s">
        <v>928</v>
      </c>
      <c r="D80" s="195">
        <v>255</v>
      </c>
      <c r="E80" s="195" t="s">
        <v>514</v>
      </c>
      <c r="F80" s="191" t="s">
        <v>580</v>
      </c>
      <c r="G80" s="195" t="s">
        <v>925</v>
      </c>
      <c r="H80" s="195" t="s">
        <v>925</v>
      </c>
      <c r="I80" s="191">
        <v>444.1</v>
      </c>
      <c r="J80" s="202" t="s">
        <v>251</v>
      </c>
      <c r="K80" s="194">
        <v>333075</v>
      </c>
      <c r="L80" s="194">
        <v>347141.61075468798</v>
      </c>
      <c r="M80" s="195">
        <v>331</v>
      </c>
      <c r="N80" s="195">
        <v>43</v>
      </c>
      <c r="O80" s="195">
        <v>25</v>
      </c>
      <c r="Q80" s="194">
        <v>8073.06</v>
      </c>
      <c r="R80" s="194">
        <v>8073.06</v>
      </c>
      <c r="S80" s="194">
        <v>13885.66</v>
      </c>
      <c r="U80" s="203">
        <v>0.25345000000000001</v>
      </c>
      <c r="V80" s="194">
        <v>5812.5999999999995</v>
      </c>
      <c r="X80" s="191">
        <v>1125</v>
      </c>
      <c r="Y80" s="191">
        <v>762</v>
      </c>
      <c r="Z80" s="204">
        <v>164</v>
      </c>
      <c r="AA80" s="205">
        <v>71685.433070866144</v>
      </c>
      <c r="AD80" s="191">
        <v>13</v>
      </c>
    </row>
    <row r="81" spans="1:30" ht="20.100000000000001" customHeight="1">
      <c r="A81" s="191">
        <v>18</v>
      </c>
      <c r="B81" s="191">
        <v>1</v>
      </c>
      <c r="C81" s="191" t="s">
        <v>928</v>
      </c>
      <c r="D81" s="195">
        <v>255</v>
      </c>
      <c r="E81" s="195" t="s">
        <v>514</v>
      </c>
      <c r="F81" s="191" t="s">
        <v>580</v>
      </c>
      <c r="G81" s="195" t="s">
        <v>925</v>
      </c>
      <c r="H81" s="195" t="s">
        <v>925</v>
      </c>
      <c r="J81" s="202" t="s">
        <v>7</v>
      </c>
      <c r="K81" s="194">
        <v>111025</v>
      </c>
      <c r="L81" s="194">
        <v>115713.870251563</v>
      </c>
      <c r="M81" s="195">
        <v>360</v>
      </c>
      <c r="N81" s="195">
        <v>30</v>
      </c>
      <c r="O81" s="195">
        <v>25</v>
      </c>
      <c r="Q81" s="194">
        <v>3857.13</v>
      </c>
      <c r="R81" s="194">
        <v>3857.13</v>
      </c>
      <c r="S81" s="194">
        <v>4628.55</v>
      </c>
      <c r="U81" s="203">
        <v>0.25345000000000001</v>
      </c>
      <c r="V81" s="194">
        <v>771.42000000000007</v>
      </c>
      <c r="X81" s="191">
        <v>1345</v>
      </c>
      <c r="Y81" s="191">
        <v>762</v>
      </c>
      <c r="Z81" s="204">
        <v>273</v>
      </c>
      <c r="AA81" s="205">
        <v>39776.673228346459</v>
      </c>
      <c r="AD81" s="191">
        <v>13</v>
      </c>
    </row>
    <row r="82" spans="1:30" ht="20.100000000000001" customHeight="1">
      <c r="A82" s="191">
        <v>11</v>
      </c>
      <c r="B82" s="191">
        <v>2019087</v>
      </c>
      <c r="C82" s="191" t="s">
        <v>927</v>
      </c>
      <c r="D82" s="195">
        <v>241</v>
      </c>
      <c r="E82" s="195" t="s">
        <v>513</v>
      </c>
      <c r="F82" s="191" t="s">
        <v>926</v>
      </c>
      <c r="G82" s="195" t="s">
        <v>925</v>
      </c>
      <c r="H82" s="195" t="s">
        <v>925</v>
      </c>
      <c r="I82" s="204">
        <v>551.26655000000005</v>
      </c>
      <c r="J82" s="202" t="s">
        <v>7</v>
      </c>
      <c r="K82" s="194">
        <v>338864.89790178911</v>
      </c>
      <c r="L82" s="194">
        <v>374655.58570348792</v>
      </c>
      <c r="M82" s="195">
        <v>360.2</v>
      </c>
      <c r="N82" s="195">
        <v>30</v>
      </c>
      <c r="O82" s="195">
        <v>25</v>
      </c>
      <c r="Q82" s="194">
        <v>12488.52</v>
      </c>
      <c r="R82" s="194">
        <v>12488.52</v>
      </c>
      <c r="S82" s="194">
        <v>14986.22</v>
      </c>
      <c r="U82" s="203">
        <v>0.25345000000000001</v>
      </c>
      <c r="V82" s="194">
        <v>2497.6999999999989</v>
      </c>
      <c r="X82" s="191">
        <v>1345</v>
      </c>
      <c r="Y82" s="191">
        <v>762</v>
      </c>
      <c r="Z82" s="204">
        <v>273</v>
      </c>
      <c r="AA82" s="205">
        <v>121404.35318528666</v>
      </c>
      <c r="AC82" s="191">
        <v>0.61470244821092279</v>
      </c>
      <c r="AD82" s="191">
        <v>16</v>
      </c>
    </row>
    <row r="83" spans="1:30" ht="20.100000000000001" customHeight="1">
      <c r="A83" s="191">
        <v>11</v>
      </c>
      <c r="B83" s="191">
        <v>2019087</v>
      </c>
      <c r="C83" s="191" t="s">
        <v>927</v>
      </c>
      <c r="D83" s="195">
        <v>241</v>
      </c>
      <c r="E83" s="195" t="s">
        <v>513</v>
      </c>
      <c r="F83" s="191" t="s">
        <v>926</v>
      </c>
      <c r="G83" s="195" t="s">
        <v>925</v>
      </c>
      <c r="H83" s="195" t="s">
        <v>925</v>
      </c>
      <c r="J83" s="202" t="s">
        <v>7</v>
      </c>
      <c r="K83" s="194">
        <v>172219.40762033898</v>
      </c>
      <c r="L83" s="194">
        <v>190409.10826416165</v>
      </c>
      <c r="M83" s="195">
        <v>361.2</v>
      </c>
      <c r="N83" s="195">
        <v>45</v>
      </c>
      <c r="O83" s="195">
        <v>25</v>
      </c>
      <c r="Q83" s="194">
        <v>4231.3100000000004</v>
      </c>
      <c r="R83" s="194">
        <v>4231.3100000000004</v>
      </c>
      <c r="S83" s="194">
        <v>7616.36</v>
      </c>
      <c r="U83" s="203">
        <v>0.25345000000000001</v>
      </c>
      <c r="V83" s="194">
        <v>3385.0499999999993</v>
      </c>
      <c r="X83" s="191">
        <v>1350</v>
      </c>
      <c r="Y83" s="191">
        <v>762</v>
      </c>
      <c r="Z83" s="204">
        <v>150</v>
      </c>
      <c r="AA83" s="205">
        <v>33901.458192980121</v>
      </c>
      <c r="AC83" s="191">
        <v>0.31240677966101693</v>
      </c>
      <c r="AD83" s="191">
        <v>16</v>
      </c>
    </row>
    <row r="84" spans="1:30" ht="20.100000000000001" customHeight="1">
      <c r="A84" s="191">
        <v>11</v>
      </c>
      <c r="B84" s="191">
        <v>2019087</v>
      </c>
      <c r="C84" s="191" t="s">
        <v>927</v>
      </c>
      <c r="D84" s="195">
        <v>241</v>
      </c>
      <c r="E84" s="195" t="s">
        <v>513</v>
      </c>
      <c r="F84" s="191" t="s">
        <v>926</v>
      </c>
      <c r="G84" s="195" t="s">
        <v>925</v>
      </c>
      <c r="H84" s="195" t="s">
        <v>925</v>
      </c>
      <c r="J84" s="202" t="s">
        <v>7</v>
      </c>
      <c r="K84" s="194">
        <v>40182</v>
      </c>
      <c r="L84" s="194">
        <v>44426.26673035045</v>
      </c>
      <c r="M84" s="195" t="s">
        <v>972</v>
      </c>
      <c r="N84" s="195">
        <v>30</v>
      </c>
      <c r="O84" s="195">
        <v>25</v>
      </c>
      <c r="Q84" s="194">
        <v>1480.88</v>
      </c>
      <c r="R84" s="194">
        <v>1480.88</v>
      </c>
      <c r="S84" s="194">
        <v>1777.05</v>
      </c>
      <c r="U84" s="203">
        <v>0.25345000000000001</v>
      </c>
      <c r="V84" s="194">
        <v>296.16999999999985</v>
      </c>
      <c r="X84" s="191">
        <v>1353</v>
      </c>
      <c r="Y84" s="191">
        <v>873</v>
      </c>
      <c r="Z84" s="204">
        <v>279.5</v>
      </c>
      <c r="AA84" s="205">
        <v>12864.683848797251</v>
      </c>
      <c r="AC84" s="191">
        <v>7.2890772128060263E-2</v>
      </c>
      <c r="AD84" s="191">
        <v>16</v>
      </c>
    </row>
    <row r="85" spans="1:30" ht="20.100000000000001" customHeight="1">
      <c r="J85" s="202"/>
      <c r="K85" s="194"/>
      <c r="L85" s="194"/>
      <c r="N85" s="195"/>
      <c r="O85" s="195"/>
      <c r="Q85" s="194"/>
      <c r="R85" s="194"/>
      <c r="S85" s="194"/>
      <c r="U85" s="203"/>
      <c r="V85" s="194"/>
    </row>
    <row r="86" spans="1:30" ht="20.100000000000001" customHeight="1">
      <c r="C86" s="191" t="s">
        <v>914</v>
      </c>
      <c r="J86" s="202"/>
      <c r="K86" s="194"/>
      <c r="L86" s="194"/>
      <c r="N86" s="195"/>
      <c r="O86" s="195"/>
      <c r="Q86" s="194"/>
      <c r="R86" s="194"/>
      <c r="S86" s="194"/>
      <c r="U86" s="203"/>
      <c r="V86" s="194"/>
    </row>
    <row r="87" spans="1:30" ht="20.100000000000001" customHeight="1">
      <c r="C87" s="191" t="s">
        <v>913</v>
      </c>
      <c r="J87" s="202"/>
      <c r="K87" s="194"/>
      <c r="L87" s="194"/>
      <c r="N87" s="195"/>
      <c r="O87" s="195"/>
      <c r="Q87" s="194"/>
      <c r="R87" s="194"/>
      <c r="S87" s="194"/>
      <c r="U87" s="203"/>
      <c r="V87" s="194"/>
    </row>
    <row r="88" spans="1:30" ht="20.100000000000001" customHeight="1">
      <c r="B88" s="191" t="s">
        <v>73</v>
      </c>
      <c r="I88" s="191">
        <f>SUM(I5:I87)</f>
        <v>28606.909994999998</v>
      </c>
      <c r="J88" s="210"/>
      <c r="K88" s="226">
        <f>SUM(K76:K87)</f>
        <v>4758037.305522128</v>
      </c>
      <c r="L88" s="226">
        <f>SUM(L76:L87)</f>
        <v>4998763.6167042507</v>
      </c>
      <c r="M88" s="210"/>
      <c r="N88" s="195"/>
      <c r="O88" s="195"/>
      <c r="Q88" s="194"/>
      <c r="R88" s="194"/>
      <c r="S88" s="194"/>
      <c r="V88" s="194"/>
      <c r="AA88" s="214">
        <f>SUM(AA76:AA87)</f>
        <v>1325495.2786916313</v>
      </c>
    </row>
    <row r="89" spans="1:30" ht="20.100000000000001" customHeight="1">
      <c r="J89" s="210"/>
      <c r="K89" s="211"/>
      <c r="L89" s="211"/>
      <c r="M89" s="210"/>
      <c r="N89" s="195"/>
      <c r="O89" s="195"/>
      <c r="Q89" s="194"/>
      <c r="R89" s="194"/>
      <c r="S89" s="194"/>
      <c r="V89" s="194"/>
    </row>
    <row r="90" spans="1:30" ht="20.100000000000001" customHeight="1">
      <c r="A90" s="197" t="s">
        <v>971</v>
      </c>
      <c r="C90" s="209"/>
      <c r="J90" s="210"/>
      <c r="K90" s="211"/>
      <c r="L90" s="211"/>
      <c r="M90" s="210"/>
      <c r="Q90" s="194"/>
    </row>
    <row r="91" spans="1:30" ht="20.100000000000001" customHeight="1">
      <c r="J91" s="210"/>
      <c r="K91" s="211"/>
      <c r="L91" s="211"/>
      <c r="M91" s="210"/>
      <c r="Q91" s="194"/>
    </row>
    <row r="92" spans="1:30" ht="20.100000000000001" customHeight="1" thickBot="1">
      <c r="C92" s="209" t="s">
        <v>969</v>
      </c>
      <c r="I92" s="220" t="s">
        <v>1215</v>
      </c>
      <c r="J92" s="210"/>
      <c r="K92" s="218">
        <f>+K22+K64+K73+K88</f>
        <v>27933467.750522129</v>
      </c>
      <c r="L92" s="218">
        <f>+L22+L64+L73+L88</f>
        <v>29435356.572763439</v>
      </c>
      <c r="M92" s="210"/>
      <c r="Q92" s="194"/>
    </row>
    <row r="93" spans="1:30" ht="20.100000000000001" customHeight="1" thickTop="1">
      <c r="C93" s="209"/>
      <c r="J93" s="210"/>
      <c r="K93" s="211"/>
      <c r="L93" s="211"/>
      <c r="M93" s="210"/>
      <c r="Q93" s="194"/>
    </row>
    <row r="94" spans="1:30" ht="20.100000000000001" customHeight="1">
      <c r="A94" s="197"/>
      <c r="B94" s="197"/>
      <c r="C94" s="197"/>
      <c r="D94" s="212"/>
      <c r="E94" s="212"/>
      <c r="F94" s="197"/>
      <c r="G94" s="212"/>
      <c r="H94" s="212"/>
      <c r="I94" s="197"/>
      <c r="J94" s="212"/>
      <c r="K94" s="227"/>
      <c r="L94" s="227"/>
      <c r="M94" s="212"/>
      <c r="N94" s="859" t="s">
        <v>965</v>
      </c>
      <c r="O94" s="197"/>
      <c r="P94" s="197"/>
      <c r="Q94" s="212" t="s">
        <v>968</v>
      </c>
      <c r="R94" s="212" t="s">
        <v>647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51">
    <tabColor rgb="FF66FFFF"/>
  </sheetPr>
  <dimension ref="A1:V400"/>
  <sheetViews>
    <sheetView workbookViewId="0"/>
  </sheetViews>
  <sheetFormatPr defaultColWidth="10.7109375" defaultRowHeight="12"/>
  <cols>
    <col min="1" max="1" width="3.5703125" style="242" customWidth="1"/>
    <col min="2" max="2" width="3.42578125" style="357" customWidth="1"/>
    <col min="3" max="3" width="4.5703125" style="357" customWidth="1"/>
    <col min="4" max="4" width="3.42578125" style="357" customWidth="1"/>
    <col min="5" max="5" width="3.7109375" style="357" customWidth="1"/>
    <col min="6" max="6" width="48.7109375" style="357" bestFit="1" customWidth="1"/>
    <col min="7" max="8" width="12.7109375" style="242" customWidth="1"/>
    <col min="9" max="9" width="11.28515625" style="622" bestFit="1" customWidth="1"/>
    <col min="10" max="10" width="12.42578125" style="622" bestFit="1" customWidth="1"/>
    <col min="11" max="11" width="11.7109375" style="622" bestFit="1" customWidth="1"/>
    <col min="12" max="12" width="11.5703125" style="622" bestFit="1" customWidth="1"/>
    <col min="13" max="13" width="10.7109375" style="622"/>
    <col min="14" max="14" width="12.42578125" style="622" bestFit="1" customWidth="1"/>
    <col min="15" max="16384" width="10.7109375" style="242"/>
  </cols>
  <sheetData>
    <row r="1" spans="1:12">
      <c r="A1" s="246" t="s">
        <v>8</v>
      </c>
      <c r="B1" s="446"/>
      <c r="C1" s="446"/>
      <c r="D1" s="446"/>
      <c r="E1" s="446"/>
      <c r="F1" s="446"/>
      <c r="H1" s="289" t="s">
        <v>84</v>
      </c>
      <c r="J1" s="447" t="s">
        <v>215</v>
      </c>
      <c r="K1" s="448" t="s">
        <v>216</v>
      </c>
      <c r="L1" s="449" t="s">
        <v>217</v>
      </c>
    </row>
    <row r="2" spans="1:12">
      <c r="A2" s="246" t="s">
        <v>565</v>
      </c>
      <c r="B2" s="446"/>
      <c r="C2" s="446"/>
      <c r="D2" s="446"/>
      <c r="E2" s="446"/>
      <c r="F2" s="446"/>
      <c r="H2" s="289" t="s">
        <v>9</v>
      </c>
      <c r="J2" s="450">
        <f>SUM(K2:L2)</f>
        <v>67320.100000000006</v>
      </c>
      <c r="K2" s="451">
        <v>35101.300000000003</v>
      </c>
      <c r="L2" s="451">
        <v>32218.799999999999</v>
      </c>
    </row>
    <row r="3" spans="1:12">
      <c r="A3" s="246" t="s">
        <v>566</v>
      </c>
      <c r="B3" s="57"/>
      <c r="C3" s="461"/>
      <c r="D3" s="461"/>
      <c r="E3" s="461"/>
      <c r="F3" s="446"/>
      <c r="H3" s="351" t="s">
        <v>1225</v>
      </c>
      <c r="J3" s="452">
        <v>1</v>
      </c>
      <c r="K3" s="453">
        <f>ROUND(K2/J2,4)</f>
        <v>0.52139999999999997</v>
      </c>
      <c r="L3" s="454">
        <f>ROUND(L2/J2,4)</f>
        <v>0.47860000000000003</v>
      </c>
    </row>
    <row r="4" spans="1:12">
      <c r="A4" s="246" t="s">
        <v>86</v>
      </c>
      <c r="B4" s="446"/>
      <c r="C4" s="446"/>
      <c r="D4" s="446"/>
      <c r="E4" s="446"/>
      <c r="F4" s="446"/>
      <c r="H4" s="260" t="s">
        <v>705</v>
      </c>
    </row>
    <row r="5" spans="1:12">
      <c r="A5" s="272" t="s">
        <v>285</v>
      </c>
      <c r="B5" s="57"/>
      <c r="C5" s="446"/>
      <c r="D5" s="446"/>
      <c r="E5" s="446"/>
      <c r="F5" s="446"/>
      <c r="H5" s="260" t="s">
        <v>558</v>
      </c>
      <c r="J5" s="623">
        <f>3297.36/J2*L2</f>
        <v>1578.087114665605</v>
      </c>
    </row>
    <row r="6" spans="1:12" ht="12.75" customHeight="1">
      <c r="A6" s="1012" t="s">
        <v>79</v>
      </c>
      <c r="B6" s="1012"/>
      <c r="C6" s="1012"/>
      <c r="D6" s="1012"/>
      <c r="E6" s="1012"/>
      <c r="F6" s="1012"/>
      <c r="G6" s="1012"/>
      <c r="H6" s="1012"/>
    </row>
    <row r="7" spans="1:12" ht="12.75" thickBot="1">
      <c r="A7" s="1012"/>
      <c r="B7" s="1012"/>
      <c r="C7" s="1012"/>
      <c r="D7" s="1012"/>
      <c r="E7" s="1012"/>
      <c r="F7" s="1012"/>
      <c r="G7" s="1012"/>
      <c r="H7" s="1012"/>
    </row>
    <row r="8" spans="1:12">
      <c r="A8" s="624" t="s">
        <v>289</v>
      </c>
      <c r="B8" s="625"/>
      <c r="C8" s="626"/>
      <c r="D8" s="626"/>
      <c r="E8" s="626"/>
      <c r="F8" s="626"/>
      <c r="G8" s="627"/>
      <c r="H8" s="628"/>
    </row>
    <row r="9" spans="1:12" ht="14.25">
      <c r="A9" s="353" t="s">
        <v>351</v>
      </c>
      <c r="B9" s="629" t="s">
        <v>352</v>
      </c>
      <c r="C9" s="629"/>
      <c r="D9" s="629"/>
      <c r="E9" s="629"/>
      <c r="F9" s="629"/>
      <c r="G9" s="353" t="s">
        <v>251</v>
      </c>
      <c r="H9" s="353" t="s">
        <v>252</v>
      </c>
    </row>
    <row r="10" spans="1:12">
      <c r="A10" s="381">
        <v>1</v>
      </c>
      <c r="B10" s="460" t="s">
        <v>253</v>
      </c>
      <c r="C10" s="446" t="s">
        <v>152</v>
      </c>
      <c r="D10" s="630"/>
      <c r="E10" s="630"/>
      <c r="F10" s="630"/>
      <c r="G10" s="302"/>
      <c r="H10" s="302"/>
    </row>
    <row r="11" spans="1:12">
      <c r="A11" s="381">
        <f>A10+1</f>
        <v>2</v>
      </c>
      <c r="C11" s="473" t="s">
        <v>118</v>
      </c>
      <c r="D11" s="473"/>
      <c r="E11" s="473"/>
      <c r="F11" s="473"/>
      <c r="G11" s="302"/>
      <c r="H11" s="302"/>
    </row>
    <row r="12" spans="1:12">
      <c r="A12" s="381">
        <f t="shared" ref="A12:A65" si="0">A11+1</f>
        <v>3</v>
      </c>
      <c r="B12" s="489" t="s">
        <v>202</v>
      </c>
      <c r="C12" s="357" t="s">
        <v>520</v>
      </c>
      <c r="G12" s="302"/>
      <c r="H12" s="302"/>
    </row>
    <row r="13" spans="1:12">
      <c r="A13" s="381">
        <f t="shared" si="0"/>
        <v>4</v>
      </c>
      <c r="B13" s="550"/>
      <c r="D13" s="357" t="s">
        <v>487</v>
      </c>
      <c r="F13" s="242"/>
      <c r="G13" s="302">
        <f>'B 4'!D46</f>
        <v>16396326.749335999</v>
      </c>
      <c r="H13" s="302">
        <f>'B 4'!H46</f>
        <v>20840529.240663998</v>
      </c>
    </row>
    <row r="14" spans="1:12">
      <c r="A14" s="381">
        <f t="shared" si="0"/>
        <v>5</v>
      </c>
      <c r="B14" s="550"/>
      <c r="C14" s="489" t="s">
        <v>64</v>
      </c>
      <c r="D14" s="357" t="s">
        <v>545</v>
      </c>
      <c r="E14" s="242"/>
      <c r="F14" s="242"/>
      <c r="G14" s="302">
        <f>-'B 4'!D28</f>
        <v>-56545.400000000023</v>
      </c>
      <c r="H14" s="302">
        <f>-'B 4'!H30</f>
        <v>-74527.579999999987</v>
      </c>
    </row>
    <row r="15" spans="1:12">
      <c r="A15" s="381">
        <f t="shared" si="0"/>
        <v>6</v>
      </c>
      <c r="B15" s="550"/>
      <c r="C15" s="489" t="s">
        <v>65</v>
      </c>
      <c r="D15" s="357" t="s">
        <v>661</v>
      </c>
      <c r="F15" s="242"/>
      <c r="G15" s="302"/>
      <c r="H15" s="302">
        <f>-'B 4'!H40</f>
        <v>-725636.35999999987</v>
      </c>
      <c r="J15" s="385"/>
    </row>
    <row r="16" spans="1:12">
      <c r="A16" s="381">
        <f t="shared" si="0"/>
        <v>7</v>
      </c>
      <c r="B16" s="550"/>
      <c r="C16" s="489" t="s">
        <v>66</v>
      </c>
      <c r="D16" s="357" t="s">
        <v>606</v>
      </c>
      <c r="E16" s="242"/>
      <c r="F16" s="242"/>
      <c r="G16" s="302"/>
      <c r="H16" s="302">
        <v>-17340.239999999998</v>
      </c>
      <c r="J16" s="631" t="s">
        <v>880</v>
      </c>
      <c r="K16" s="632"/>
      <c r="L16" s="632"/>
    </row>
    <row r="17" spans="1:12">
      <c r="A17" s="381">
        <f t="shared" si="0"/>
        <v>8</v>
      </c>
      <c r="B17" s="550"/>
      <c r="C17" s="489" t="s">
        <v>69</v>
      </c>
      <c r="D17" s="357" t="s">
        <v>884</v>
      </c>
      <c r="E17" s="242"/>
      <c r="F17" s="242"/>
      <c r="G17" s="302">
        <v>-48252.58</v>
      </c>
      <c r="H17" s="302">
        <v>-56501.89</v>
      </c>
      <c r="J17" s="631"/>
      <c r="K17" s="632"/>
      <c r="L17" s="632"/>
    </row>
    <row r="18" spans="1:12">
      <c r="A18" s="381">
        <f t="shared" si="0"/>
        <v>9</v>
      </c>
      <c r="B18" s="550"/>
      <c r="C18" s="489"/>
      <c r="E18" s="242" t="s">
        <v>550</v>
      </c>
      <c r="F18" s="242"/>
      <c r="G18" s="633">
        <f>SUM(G14:G17)</f>
        <v>-104797.98000000003</v>
      </c>
      <c r="H18" s="633">
        <f>SUM(H14:H17)</f>
        <v>-874006.06999999983</v>
      </c>
      <c r="J18" s="385"/>
    </row>
    <row r="19" spans="1:12">
      <c r="A19" s="381">
        <f t="shared" si="0"/>
        <v>10</v>
      </c>
      <c r="B19" s="550"/>
      <c r="F19" s="242"/>
      <c r="G19" s="302"/>
      <c r="H19" s="302"/>
    </row>
    <row r="20" spans="1:12">
      <c r="A20" s="381">
        <f t="shared" si="0"/>
        <v>11</v>
      </c>
      <c r="B20" s="550"/>
      <c r="C20" s="357" t="s">
        <v>488</v>
      </c>
      <c r="G20" s="355">
        <f>G13+G18</f>
        <v>16291528.769335998</v>
      </c>
      <c r="H20" s="355">
        <f>H13+H18</f>
        <v>19966523.170663998</v>
      </c>
    </row>
    <row r="21" spans="1:12">
      <c r="A21" s="381">
        <f t="shared" si="0"/>
        <v>12</v>
      </c>
      <c r="B21" s="489"/>
      <c r="C21" s="504"/>
      <c r="D21" s="504"/>
      <c r="E21" s="504"/>
      <c r="G21" s="244"/>
      <c r="H21" s="244"/>
    </row>
    <row r="22" spans="1:12">
      <c r="A22" s="381">
        <f t="shared" si="0"/>
        <v>13</v>
      </c>
      <c r="B22" s="489" t="s">
        <v>203</v>
      </c>
      <c r="C22" s="357" t="s">
        <v>498</v>
      </c>
      <c r="D22" s="634"/>
      <c r="E22" s="634"/>
      <c r="G22" s="244"/>
      <c r="H22" s="244"/>
    </row>
    <row r="23" spans="1:12">
      <c r="A23" s="381">
        <f t="shared" si="0"/>
        <v>14</v>
      </c>
      <c r="B23" s="550"/>
      <c r="C23" s="634"/>
      <c r="D23" s="357" t="s">
        <v>116</v>
      </c>
      <c r="E23" s="634"/>
      <c r="G23" s="244"/>
      <c r="H23" s="244"/>
    </row>
    <row r="24" spans="1:12">
      <c r="A24" s="381">
        <f t="shared" si="0"/>
        <v>15</v>
      </c>
      <c r="B24" s="550"/>
      <c r="C24" s="242"/>
      <c r="D24" s="242"/>
      <c r="E24" s="354" t="s">
        <v>549</v>
      </c>
      <c r="G24" s="961">
        <v>16592523.830202002</v>
      </c>
      <c r="H24" s="961">
        <v>20298185.649798002</v>
      </c>
      <c r="J24" s="635" t="s">
        <v>648</v>
      </c>
    </row>
    <row r="25" spans="1:12">
      <c r="A25" s="381">
        <f t="shared" si="0"/>
        <v>16</v>
      </c>
      <c r="B25" s="550"/>
      <c r="C25" s="242"/>
      <c r="D25" s="242"/>
      <c r="E25" s="354" t="s">
        <v>859</v>
      </c>
      <c r="G25" s="301">
        <f>G20</f>
        <v>16291528.769335998</v>
      </c>
      <c r="H25" s="301">
        <f>H20</f>
        <v>19966523.170663998</v>
      </c>
    </row>
    <row r="26" spans="1:12" ht="12.75" customHeight="1">
      <c r="A26" s="381">
        <f t="shared" si="0"/>
        <v>17</v>
      </c>
      <c r="B26" s="550"/>
      <c r="C26" s="354" t="s">
        <v>117</v>
      </c>
      <c r="D26" s="636"/>
      <c r="E26" s="636"/>
      <c r="G26" s="637">
        <f>G24-G25</f>
        <v>300995.06086600386</v>
      </c>
      <c r="H26" s="637">
        <f>H24-H25</f>
        <v>331662.47913400456</v>
      </c>
      <c r="J26" s="623" t="s">
        <v>860</v>
      </c>
      <c r="K26" s="623"/>
    </row>
    <row r="27" spans="1:12">
      <c r="A27" s="381">
        <f t="shared" si="0"/>
        <v>18</v>
      </c>
      <c r="B27" s="489"/>
      <c r="C27" s="504"/>
      <c r="D27" s="504"/>
      <c r="E27" s="504"/>
      <c r="G27" s="244"/>
      <c r="H27" s="244"/>
    </row>
    <row r="28" spans="1:12">
      <c r="A28" s="381">
        <f t="shared" si="0"/>
        <v>19</v>
      </c>
      <c r="B28" s="550"/>
      <c r="C28" s="473" t="s">
        <v>119</v>
      </c>
      <c r="G28" s="302"/>
      <c r="H28" s="302"/>
    </row>
    <row r="29" spans="1:12">
      <c r="A29" s="381">
        <f t="shared" si="0"/>
        <v>20</v>
      </c>
      <c r="B29" s="489" t="s">
        <v>204</v>
      </c>
      <c r="C29" s="357" t="s">
        <v>499</v>
      </c>
      <c r="D29" s="638"/>
      <c r="E29" s="638"/>
      <c r="G29" s="305"/>
      <c r="H29" s="305"/>
    </row>
    <row r="30" spans="1:12">
      <c r="A30" s="381">
        <f t="shared" si="0"/>
        <v>21</v>
      </c>
      <c r="B30" s="550"/>
      <c r="C30" s="242"/>
      <c r="D30" s="354" t="s">
        <v>534</v>
      </c>
      <c r="E30" s="639"/>
      <c r="G30" s="962">
        <v>2823847.9248325857</v>
      </c>
      <c r="H30" s="962">
        <v>6529382.8886208739</v>
      </c>
    </row>
    <row r="31" spans="1:12">
      <c r="A31" s="381">
        <f t="shared" si="0"/>
        <v>22</v>
      </c>
      <c r="B31" s="550"/>
      <c r="G31" s="302"/>
      <c r="H31" s="302"/>
    </row>
    <row r="32" spans="1:12">
      <c r="A32" s="381">
        <f t="shared" si="0"/>
        <v>23</v>
      </c>
      <c r="B32" s="489" t="s">
        <v>205</v>
      </c>
      <c r="C32" s="357" t="s">
        <v>1132</v>
      </c>
      <c r="G32" s="302"/>
      <c r="H32" s="302"/>
    </row>
    <row r="33" spans="1:10">
      <c r="A33" s="381">
        <f t="shared" si="0"/>
        <v>24</v>
      </c>
      <c r="D33" s="357" t="s">
        <v>1133</v>
      </c>
      <c r="G33" s="302">
        <f>G382</f>
        <v>-114021.12651463502</v>
      </c>
      <c r="H33" s="302">
        <f>H382</f>
        <v>-179798.95554289789</v>
      </c>
    </row>
    <row r="34" spans="1:10">
      <c r="A34" s="381">
        <f t="shared" si="0"/>
        <v>25</v>
      </c>
      <c r="D34" s="357" t="s">
        <v>1134</v>
      </c>
      <c r="G34" s="302">
        <f>(G33/0.9555)-G33</f>
        <v>-5310.2460804827424</v>
      </c>
      <c r="H34" s="302">
        <f>(H33/0.9555)-H33</f>
        <v>-8373.6823879214644</v>
      </c>
    </row>
    <row r="35" spans="1:10">
      <c r="A35" s="381">
        <f t="shared" si="0"/>
        <v>26</v>
      </c>
      <c r="C35" s="357" t="s">
        <v>1135</v>
      </c>
      <c r="G35" s="367">
        <f>SUM(G33:G34)</f>
        <v>-119331.37259511776</v>
      </c>
      <c r="H35" s="367">
        <f>SUM(H33:H34)</f>
        <v>-188172.63793081936</v>
      </c>
    </row>
    <row r="36" spans="1:10">
      <c r="A36" s="381">
        <f t="shared" si="0"/>
        <v>27</v>
      </c>
      <c r="G36" s="302"/>
      <c r="H36" s="302"/>
    </row>
    <row r="37" spans="1:10" ht="12.75" thickBot="1">
      <c r="A37" s="381">
        <f t="shared" si="0"/>
        <v>28</v>
      </c>
      <c r="F37" s="478" t="s">
        <v>153</v>
      </c>
      <c r="G37" s="533">
        <f>G18+G26+G30+G35</f>
        <v>2900713.6331034717</v>
      </c>
      <c r="H37" s="533">
        <f>H18+H26+H30+H35</f>
        <v>5798866.6598240584</v>
      </c>
    </row>
    <row r="38" spans="1:10" ht="12.75" thickTop="1">
      <c r="A38" s="381">
        <f t="shared" si="0"/>
        <v>29</v>
      </c>
      <c r="B38" s="462"/>
      <c r="C38" s="504"/>
      <c r="D38" s="504"/>
      <c r="E38" s="504"/>
      <c r="G38" s="244"/>
      <c r="H38" s="244"/>
    </row>
    <row r="39" spans="1:10">
      <c r="A39" s="381">
        <f t="shared" si="0"/>
        <v>30</v>
      </c>
      <c r="B39" s="461" t="s">
        <v>254</v>
      </c>
      <c r="C39" s="460" t="s">
        <v>154</v>
      </c>
      <c r="D39" s="640"/>
      <c r="E39" s="640"/>
      <c r="F39" s="446"/>
      <c r="G39" s="244"/>
      <c r="H39" s="244"/>
    </row>
    <row r="40" spans="1:10">
      <c r="A40" s="381">
        <f t="shared" si="0"/>
        <v>31</v>
      </c>
      <c r="B40" s="489" t="s">
        <v>202</v>
      </c>
      <c r="C40" s="354" t="s">
        <v>464</v>
      </c>
      <c r="D40" s="504"/>
      <c r="E40" s="504"/>
      <c r="G40" s="248"/>
      <c r="H40" s="248"/>
    </row>
    <row r="41" spans="1:10">
      <c r="A41" s="381">
        <f t="shared" si="0"/>
        <v>32</v>
      </c>
      <c r="B41" s="462"/>
      <c r="C41" s="636" t="s">
        <v>544</v>
      </c>
      <c r="D41" s="504"/>
      <c r="E41" s="504"/>
      <c r="G41" s="248">
        <f>'Chemical Adj'!B61</f>
        <v>-36780.780000000086</v>
      </c>
      <c r="H41" s="248">
        <f>'Chemical Adj'!C61</f>
        <v>102121.31000000006</v>
      </c>
      <c r="J41" s="641" t="s">
        <v>851</v>
      </c>
    </row>
    <row r="42" spans="1:10">
      <c r="A42" s="381">
        <f t="shared" si="0"/>
        <v>33</v>
      </c>
      <c r="B42" s="622"/>
      <c r="C42" s="504"/>
      <c r="D42" s="504"/>
      <c r="E42" s="504"/>
      <c r="G42" s="248"/>
      <c r="H42" s="248"/>
      <c r="I42" s="244"/>
      <c r="J42" s="244"/>
    </row>
    <row r="43" spans="1:10">
      <c r="A43" s="381">
        <f t="shared" si="0"/>
        <v>34</v>
      </c>
      <c r="B43" s="489" t="s">
        <v>203</v>
      </c>
      <c r="C43" s="1013" t="s">
        <v>1070</v>
      </c>
      <c r="D43" s="1013"/>
      <c r="E43" s="1013"/>
      <c r="F43" s="1013"/>
      <c r="G43" s="248"/>
      <c r="H43" s="248"/>
      <c r="I43" s="244"/>
      <c r="J43" s="244"/>
    </row>
    <row r="44" spans="1:10">
      <c r="A44" s="381">
        <f t="shared" si="0"/>
        <v>35</v>
      </c>
      <c r="B44" s="642"/>
      <c r="C44" s="1013"/>
      <c r="D44" s="1013"/>
      <c r="E44" s="1013"/>
      <c r="F44" s="1013"/>
      <c r="G44" s="248"/>
      <c r="H44" s="248"/>
      <c r="I44" s="244"/>
      <c r="J44" s="244"/>
    </row>
    <row r="45" spans="1:10">
      <c r="A45" s="381">
        <f t="shared" si="0"/>
        <v>36</v>
      </c>
      <c r="B45" s="622"/>
      <c r="C45" s="504" t="s">
        <v>707</v>
      </c>
      <c r="D45" s="504"/>
      <c r="E45" s="504"/>
      <c r="F45" s="446"/>
      <c r="G45" s="248">
        <v>-9</v>
      </c>
      <c r="H45" s="248"/>
      <c r="I45" s="244"/>
      <c r="J45" s="244"/>
    </row>
    <row r="46" spans="1:10">
      <c r="A46" s="381">
        <f t="shared" si="0"/>
        <v>37</v>
      </c>
      <c r="B46" s="622"/>
      <c r="C46" s="504" t="s">
        <v>771</v>
      </c>
      <c r="D46" s="504"/>
      <c r="E46" s="504"/>
      <c r="F46" s="446"/>
      <c r="G46" s="248">
        <v>-8823</v>
      </c>
      <c r="H46" s="248"/>
      <c r="I46" s="244"/>
      <c r="J46" s="244"/>
    </row>
    <row r="47" spans="1:10">
      <c r="A47" s="381">
        <f t="shared" si="0"/>
        <v>38</v>
      </c>
      <c r="B47" s="622"/>
      <c r="C47" s="504" t="s">
        <v>772</v>
      </c>
      <c r="D47" s="504"/>
      <c r="E47" s="504"/>
      <c r="F47" s="446"/>
      <c r="G47" s="248">
        <v>-4193</v>
      </c>
      <c r="H47" s="248"/>
      <c r="I47" s="244" t="s">
        <v>825</v>
      </c>
      <c r="J47" s="244"/>
    </row>
    <row r="48" spans="1:10">
      <c r="A48" s="381">
        <f t="shared" si="0"/>
        <v>39</v>
      </c>
      <c r="B48" s="622"/>
      <c r="C48" s="354"/>
      <c r="D48" s="354" t="s">
        <v>708</v>
      </c>
      <c r="E48" s="504"/>
      <c r="F48" s="446"/>
      <c r="G48" s="300">
        <f>SUM(G45:G47)</f>
        <v>-13025</v>
      </c>
      <c r="H48" s="300">
        <f>SUM(H45:H47)</f>
        <v>0</v>
      </c>
      <c r="I48" s="244"/>
      <c r="J48" s="244"/>
    </row>
    <row r="49" spans="1:15">
      <c r="A49" s="381">
        <f t="shared" si="0"/>
        <v>40</v>
      </c>
      <c r="B49" s="622"/>
      <c r="C49" s="504"/>
      <c r="D49" s="504"/>
      <c r="E49" s="504"/>
      <c r="F49" s="446"/>
      <c r="G49" s="248"/>
      <c r="H49" s="248"/>
      <c r="I49" s="244"/>
      <c r="J49" s="244"/>
    </row>
    <row r="50" spans="1:15">
      <c r="A50" s="381">
        <f t="shared" si="0"/>
        <v>41</v>
      </c>
      <c r="B50" s="489" t="s">
        <v>204</v>
      </c>
      <c r="C50" s="354" t="s">
        <v>775</v>
      </c>
      <c r="D50" s="504"/>
      <c r="E50" s="504"/>
      <c r="F50" s="446"/>
      <c r="G50" s="248"/>
      <c r="H50" s="248"/>
      <c r="I50" s="244"/>
      <c r="J50" s="244"/>
    </row>
    <row r="51" spans="1:15">
      <c r="A51" s="381">
        <f t="shared" si="0"/>
        <v>42</v>
      </c>
      <c r="B51" s="622"/>
      <c r="C51" s="504" t="s">
        <v>709</v>
      </c>
      <c r="D51" s="504"/>
      <c r="E51" s="504"/>
      <c r="F51" s="446"/>
      <c r="G51" s="248"/>
      <c r="H51" s="248">
        <v>-24927</v>
      </c>
      <c r="I51" s="244"/>
      <c r="J51" s="244"/>
    </row>
    <row r="52" spans="1:15">
      <c r="A52" s="381">
        <f t="shared" si="0"/>
        <v>43</v>
      </c>
      <c r="B52" s="622"/>
      <c r="C52" s="504" t="s">
        <v>773</v>
      </c>
      <c r="D52" s="504"/>
      <c r="E52" s="504"/>
      <c r="F52" s="446"/>
      <c r="G52" s="248"/>
      <c r="H52" s="248">
        <v>-325</v>
      </c>
      <c r="I52" s="244"/>
      <c r="J52" s="244"/>
    </row>
    <row r="53" spans="1:15">
      <c r="A53" s="381">
        <f t="shared" si="0"/>
        <v>44</v>
      </c>
      <c r="B53" s="622"/>
      <c r="C53" s="504" t="s">
        <v>774</v>
      </c>
      <c r="D53" s="504"/>
      <c r="E53" s="504"/>
      <c r="F53" s="446"/>
      <c r="G53" s="248"/>
      <c r="H53" s="248">
        <v>0</v>
      </c>
      <c r="I53" s="244"/>
      <c r="J53" s="244"/>
    </row>
    <row r="54" spans="1:15">
      <c r="A54" s="381">
        <f t="shared" si="0"/>
        <v>45</v>
      </c>
      <c r="B54" s="622"/>
      <c r="C54" s="354"/>
      <c r="D54" s="354" t="s">
        <v>710</v>
      </c>
      <c r="E54" s="504"/>
      <c r="F54" s="446"/>
      <c r="G54" s="300">
        <f>SUM(G51:G53)</f>
        <v>0</v>
      </c>
      <c r="H54" s="300">
        <f>SUM(H51:H53)</f>
        <v>-25252</v>
      </c>
      <c r="I54" s="244"/>
      <c r="J54" s="244"/>
    </row>
    <row r="55" spans="1:15">
      <c r="A55" s="381">
        <f t="shared" si="0"/>
        <v>46</v>
      </c>
      <c r="B55" s="622"/>
      <c r="C55" s="504"/>
      <c r="D55" s="504"/>
      <c r="E55" s="504"/>
      <c r="F55" s="446"/>
      <c r="G55" s="248"/>
      <c r="H55" s="248"/>
      <c r="I55" s="244"/>
      <c r="J55" s="244"/>
    </row>
    <row r="56" spans="1:15">
      <c r="A56" s="381">
        <f t="shared" si="0"/>
        <v>47</v>
      </c>
      <c r="B56" s="489" t="s">
        <v>205</v>
      </c>
      <c r="C56" s="354" t="s">
        <v>861</v>
      </c>
      <c r="D56" s="504"/>
      <c r="E56" s="504"/>
      <c r="F56" s="446"/>
      <c r="G56" s="248">
        <f>-'B 5'!C28</f>
        <v>-14249.090328</v>
      </c>
      <c r="H56" s="248">
        <f>-G56</f>
        <v>14249.090328</v>
      </c>
      <c r="I56" s="244"/>
      <c r="J56" s="244"/>
    </row>
    <row r="57" spans="1:15">
      <c r="A57" s="381">
        <f t="shared" si="0"/>
        <v>48</v>
      </c>
      <c r="B57" s="622"/>
      <c r="C57" s="504"/>
      <c r="D57" s="504"/>
      <c r="E57" s="504"/>
      <c r="F57" s="446"/>
      <c r="G57" s="248"/>
      <c r="H57" s="248"/>
      <c r="I57" s="244"/>
      <c r="J57" s="244"/>
      <c r="M57" s="622" t="s">
        <v>714</v>
      </c>
      <c r="N57" s="622" t="s">
        <v>713</v>
      </c>
      <c r="O57" s="242" t="s">
        <v>242</v>
      </c>
    </row>
    <row r="58" spans="1:15">
      <c r="A58" s="381">
        <f t="shared" si="0"/>
        <v>49</v>
      </c>
      <c r="B58" s="489" t="s">
        <v>429</v>
      </c>
      <c r="C58" s="288" t="s">
        <v>881</v>
      </c>
      <c r="D58" s="504"/>
      <c r="E58" s="504"/>
      <c r="F58" s="446"/>
      <c r="G58" s="244"/>
      <c r="H58" s="244"/>
      <c r="I58" s="244"/>
      <c r="J58" s="244"/>
      <c r="K58" s="622" t="s">
        <v>883</v>
      </c>
      <c r="M58" s="283">
        <f>O58*K3</f>
        <v>135569.21400000001</v>
      </c>
      <c r="N58" s="283">
        <f>O58*L3</f>
        <v>124440.78600000001</v>
      </c>
      <c r="O58" s="283">
        <v>260010</v>
      </c>
    </row>
    <row r="59" spans="1:15">
      <c r="A59" s="381">
        <f t="shared" si="0"/>
        <v>50</v>
      </c>
      <c r="B59" s="642"/>
      <c r="C59" s="288"/>
      <c r="D59" s="357" t="s">
        <v>1141</v>
      </c>
      <c r="G59" s="244">
        <f>M58</f>
        <v>135569.21400000001</v>
      </c>
      <c r="H59" s="244">
        <f>N58</f>
        <v>124440.78600000001</v>
      </c>
      <c r="I59" s="244"/>
      <c r="J59" s="244"/>
      <c r="K59" s="622" t="s">
        <v>1143</v>
      </c>
      <c r="M59" s="356">
        <v>31307</v>
      </c>
      <c r="N59" s="356">
        <v>12796</v>
      </c>
      <c r="O59" s="643">
        <f>SUM(M59:N59)</f>
        <v>44103</v>
      </c>
    </row>
    <row r="60" spans="1:15">
      <c r="A60" s="381">
        <f t="shared" si="0"/>
        <v>51</v>
      </c>
      <c r="B60" s="642"/>
      <c r="C60" s="288"/>
      <c r="D60" s="357" t="s">
        <v>1142</v>
      </c>
      <c r="E60" s="242"/>
      <c r="F60" s="242"/>
      <c r="G60" s="244">
        <f>'Prior RCE'!G25</f>
        <v>10414.727077492853</v>
      </c>
      <c r="H60" s="244">
        <f>'Prior RCE'!H25</f>
        <v>9531.7729225071471</v>
      </c>
      <c r="I60" s="244"/>
      <c r="J60" s="244"/>
      <c r="K60" s="622" t="s">
        <v>699</v>
      </c>
      <c r="M60" s="283">
        <v>181279</v>
      </c>
      <c r="N60" s="283">
        <v>166398</v>
      </c>
      <c r="O60" s="283">
        <v>347677</v>
      </c>
    </row>
    <row r="61" spans="1:15">
      <c r="A61" s="381">
        <f t="shared" si="0"/>
        <v>52</v>
      </c>
      <c r="B61" s="642"/>
      <c r="C61" s="288"/>
      <c r="D61" s="354" t="s">
        <v>1144</v>
      </c>
      <c r="E61" s="560"/>
      <c r="F61" s="560"/>
      <c r="G61" s="644">
        <f>-M60</f>
        <v>-181279</v>
      </c>
      <c r="H61" s="644">
        <f>-N60</f>
        <v>-166398</v>
      </c>
      <c r="I61" s="244"/>
      <c r="J61" s="244"/>
      <c r="K61" s="622" t="s">
        <v>277</v>
      </c>
      <c r="M61" s="283">
        <f>M58+M59-M60</f>
        <v>-14402.785999999993</v>
      </c>
      <c r="N61" s="283">
        <f>N58+N59-N60</f>
        <v>-29161.213999999978</v>
      </c>
      <c r="O61" s="283">
        <f>SUM(O60)</f>
        <v>347677</v>
      </c>
    </row>
    <row r="62" spans="1:15">
      <c r="A62" s="381">
        <f t="shared" si="0"/>
        <v>53</v>
      </c>
      <c r="B62" s="642"/>
      <c r="C62" s="288"/>
      <c r="D62" s="1013" t="s">
        <v>882</v>
      </c>
      <c r="E62" s="1013"/>
      <c r="F62" s="1013"/>
      <c r="G62" s="248"/>
      <c r="H62" s="248"/>
      <c r="I62" s="244"/>
      <c r="J62" s="244"/>
      <c r="M62" s="283"/>
      <c r="N62" s="283"/>
      <c r="O62" s="283"/>
    </row>
    <row r="63" spans="1:15">
      <c r="A63" s="381">
        <f t="shared" si="0"/>
        <v>54</v>
      </c>
      <c r="B63" s="642"/>
      <c r="C63" s="288"/>
      <c r="D63" s="1013"/>
      <c r="E63" s="1013"/>
      <c r="F63" s="1013"/>
      <c r="G63" s="644">
        <f>SUM(G59:G62)</f>
        <v>-35295.058922507131</v>
      </c>
      <c r="H63" s="644">
        <f>SUM(H59:H62)</f>
        <v>-32425.44107749284</v>
      </c>
      <c r="I63" s="244"/>
      <c r="J63" s="244"/>
      <c r="M63" s="283"/>
      <c r="N63" s="283"/>
      <c r="O63" s="283"/>
    </row>
    <row r="64" spans="1:15">
      <c r="A64" s="381">
        <f t="shared" si="0"/>
        <v>55</v>
      </c>
      <c r="B64" s="622"/>
      <c r="C64" s="504"/>
      <c r="D64" s="504"/>
      <c r="E64" s="504"/>
      <c r="F64" s="446"/>
      <c r="G64" s="248"/>
      <c r="H64" s="248"/>
      <c r="I64" s="244"/>
      <c r="J64" s="244"/>
    </row>
    <row r="65" spans="1:13">
      <c r="A65" s="381">
        <f t="shared" si="0"/>
        <v>56</v>
      </c>
      <c r="B65" s="622"/>
      <c r="C65" s="504"/>
      <c r="D65" s="504"/>
      <c r="E65" s="504"/>
      <c r="F65" s="446" t="s">
        <v>506</v>
      </c>
      <c r="G65" s="645">
        <f>G41+G48+G54+G56+G63</f>
        <v>-99349.929250507208</v>
      </c>
      <c r="H65" s="645">
        <f>H41+H48+H54+H56+H63</f>
        <v>58692.959250507221</v>
      </c>
      <c r="I65" s="244"/>
      <c r="J65" s="244"/>
    </row>
    <row r="66" spans="1:13">
      <c r="A66" s="381"/>
      <c r="B66" s="622"/>
      <c r="C66" s="504"/>
      <c r="D66" s="504"/>
      <c r="E66" s="504"/>
      <c r="F66" s="646"/>
      <c r="G66" s="248"/>
      <c r="H66" s="248"/>
      <c r="I66" s="244"/>
      <c r="J66" s="244"/>
    </row>
    <row r="67" spans="1:13">
      <c r="A67" s="246" t="s">
        <v>8</v>
      </c>
      <c r="B67" s="446"/>
      <c r="C67" s="446"/>
      <c r="D67" s="446"/>
      <c r="E67" s="446"/>
      <c r="F67" s="446"/>
      <c r="H67" s="289" t="s">
        <v>84</v>
      </c>
      <c r="J67" s="244"/>
      <c r="K67" s="244"/>
      <c r="L67" s="244"/>
      <c r="M67" s="244"/>
    </row>
    <row r="68" spans="1:13">
      <c r="A68" s="246" t="s">
        <v>565</v>
      </c>
      <c r="B68" s="446"/>
      <c r="C68" s="446"/>
      <c r="D68" s="446"/>
      <c r="E68" s="446"/>
      <c r="F68" s="446"/>
      <c r="H68" s="289" t="s">
        <v>9</v>
      </c>
      <c r="J68" s="244"/>
      <c r="K68" s="244"/>
      <c r="L68" s="244"/>
      <c r="M68" s="244"/>
    </row>
    <row r="69" spans="1:13">
      <c r="A69" s="246" t="s">
        <v>566</v>
      </c>
      <c r="B69" s="57"/>
      <c r="C69" s="461"/>
      <c r="D69" s="461"/>
      <c r="E69" s="461"/>
      <c r="F69" s="446"/>
      <c r="H69" s="351" t="s">
        <v>1224</v>
      </c>
      <c r="J69" s="244"/>
      <c r="K69" s="244"/>
      <c r="L69" s="244"/>
      <c r="M69" s="244"/>
    </row>
    <row r="70" spans="1:13">
      <c r="A70" s="246" t="s">
        <v>86</v>
      </c>
      <c r="B70" s="446"/>
      <c r="C70" s="446"/>
      <c r="D70" s="446"/>
      <c r="E70" s="446"/>
      <c r="F70" s="446"/>
      <c r="H70" s="260" t="s">
        <v>705</v>
      </c>
    </row>
    <row r="71" spans="1:13">
      <c r="A71" s="272" t="s">
        <v>285</v>
      </c>
      <c r="B71" s="57"/>
      <c r="C71" s="446"/>
      <c r="D71" s="446"/>
      <c r="E71" s="446"/>
      <c r="F71" s="446"/>
      <c r="H71" s="260" t="s">
        <v>558</v>
      </c>
      <c r="J71" s="244"/>
    </row>
    <row r="72" spans="1:13" ht="12.75" customHeight="1">
      <c r="A72" s="1012" t="s">
        <v>79</v>
      </c>
      <c r="B72" s="1012"/>
      <c r="C72" s="1012"/>
      <c r="D72" s="1012"/>
      <c r="E72" s="1012"/>
      <c r="F72" s="1012"/>
      <c r="G72" s="1012"/>
      <c r="H72" s="1012"/>
    </row>
    <row r="73" spans="1:13" ht="12.75" thickBot="1">
      <c r="A73" s="1012"/>
      <c r="B73" s="1012"/>
      <c r="C73" s="1012"/>
      <c r="D73" s="1012"/>
      <c r="E73" s="1012"/>
      <c r="F73" s="1012"/>
      <c r="G73" s="1012"/>
      <c r="H73" s="1012"/>
    </row>
    <row r="74" spans="1:13">
      <c r="A74" s="624" t="s">
        <v>289</v>
      </c>
      <c r="B74" s="625"/>
      <c r="C74" s="626"/>
      <c r="D74" s="626"/>
      <c r="E74" s="626"/>
      <c r="F74" s="626"/>
      <c r="G74" s="627"/>
      <c r="H74" s="628"/>
    </row>
    <row r="75" spans="1:13" ht="14.25">
      <c r="A75" s="353" t="s">
        <v>351</v>
      </c>
      <c r="B75" s="629" t="s">
        <v>352</v>
      </c>
      <c r="C75" s="629"/>
      <c r="D75" s="629"/>
      <c r="E75" s="629"/>
      <c r="F75" s="629"/>
      <c r="G75" s="353" t="s">
        <v>251</v>
      </c>
      <c r="H75" s="353" t="s">
        <v>252</v>
      </c>
    </row>
    <row r="76" spans="1:13">
      <c r="A76" s="381">
        <v>1</v>
      </c>
      <c r="B76" s="622"/>
      <c r="C76" s="473" t="s">
        <v>119</v>
      </c>
      <c r="D76" s="504"/>
      <c r="E76" s="504"/>
      <c r="G76" s="248"/>
      <c r="H76" s="248"/>
      <c r="I76" s="244"/>
      <c r="J76" s="244"/>
    </row>
    <row r="77" spans="1:13">
      <c r="A77" s="381">
        <f t="shared" ref="A77:A140" si="1">A76+1</f>
        <v>2</v>
      </c>
      <c r="B77" s="489" t="s">
        <v>202</v>
      </c>
      <c r="C77" s="354" t="s">
        <v>1062</v>
      </c>
      <c r="D77" s="504"/>
      <c r="E77" s="504"/>
      <c r="G77" s="244"/>
      <c r="H77" s="244"/>
    </row>
    <row r="78" spans="1:13">
      <c r="A78" s="381">
        <f t="shared" si="1"/>
        <v>3</v>
      </c>
      <c r="B78" s="461"/>
      <c r="C78" s="354" t="s">
        <v>767</v>
      </c>
      <c r="D78" s="242"/>
      <c r="E78" s="640"/>
      <c r="F78" s="550" t="s">
        <v>751</v>
      </c>
      <c r="G78" s="244"/>
      <c r="H78" s="647"/>
    </row>
    <row r="79" spans="1:13">
      <c r="A79" s="381">
        <f t="shared" si="1"/>
        <v>4</v>
      </c>
      <c r="B79" s="461"/>
      <c r="C79" s="354"/>
      <c r="D79" s="242"/>
      <c r="E79" s="640"/>
      <c r="F79" s="550" t="s">
        <v>1094</v>
      </c>
      <c r="G79" s="468"/>
      <c r="H79" s="468">
        <f>87809*(4.196-3.801)*1.25</f>
        <v>43355.693749999955</v>
      </c>
    </row>
    <row r="80" spans="1:13">
      <c r="A80" s="381">
        <f t="shared" si="1"/>
        <v>5</v>
      </c>
      <c r="B80" s="461"/>
      <c r="C80" s="354" t="s">
        <v>767</v>
      </c>
      <c r="D80" s="242"/>
      <c r="E80" s="640"/>
      <c r="F80" s="550" t="s">
        <v>1093</v>
      </c>
      <c r="G80" s="244"/>
      <c r="H80" s="647"/>
    </row>
    <row r="81" spans="1:10">
      <c r="A81" s="381">
        <f t="shared" si="1"/>
        <v>6</v>
      </c>
      <c r="B81" s="461"/>
      <c r="C81" s="354"/>
      <c r="D81" s="242"/>
      <c r="E81" s="640"/>
      <c r="F81" s="550" t="s">
        <v>1095</v>
      </c>
      <c r="G81" s="468"/>
      <c r="H81" s="468">
        <f>116681*(4.693-4.196)*1.25</f>
        <v>72488.071249999979</v>
      </c>
      <c r="J81" s="642" t="s">
        <v>1096</v>
      </c>
    </row>
    <row r="82" spans="1:10">
      <c r="A82" s="381">
        <f t="shared" si="1"/>
        <v>7</v>
      </c>
      <c r="B82" s="461"/>
      <c r="C82" s="354" t="s">
        <v>581</v>
      </c>
      <c r="D82" s="242"/>
      <c r="E82" s="640"/>
      <c r="F82" s="550" t="s">
        <v>750</v>
      </c>
      <c r="G82" s="468"/>
      <c r="H82" s="468"/>
    </row>
    <row r="83" spans="1:10">
      <c r="A83" s="381">
        <f t="shared" si="1"/>
        <v>8</v>
      </c>
      <c r="B83" s="461"/>
      <c r="C83" s="354"/>
      <c r="D83" s="242"/>
      <c r="E83" s="640"/>
      <c r="F83" s="550" t="s">
        <v>760</v>
      </c>
      <c r="G83" s="468"/>
      <c r="H83" s="468">
        <f>30505*(7.48-7.19)</f>
        <v>8846.4500000000007</v>
      </c>
    </row>
    <row r="84" spans="1:10">
      <c r="A84" s="381">
        <f t="shared" si="1"/>
        <v>9</v>
      </c>
      <c r="B84" s="461"/>
      <c r="C84" s="354" t="s">
        <v>768</v>
      </c>
      <c r="D84" s="640"/>
      <c r="E84" s="640"/>
      <c r="F84" s="550" t="s">
        <v>752</v>
      </c>
      <c r="G84" s="468"/>
      <c r="H84" s="468"/>
    </row>
    <row r="85" spans="1:10">
      <c r="A85" s="381">
        <f t="shared" si="1"/>
        <v>10</v>
      </c>
      <c r="B85" s="461"/>
      <c r="C85" s="354"/>
      <c r="D85" s="640"/>
      <c r="E85" s="640"/>
      <c r="F85" s="550" t="s">
        <v>761</v>
      </c>
      <c r="G85" s="468"/>
      <c r="H85" s="468">
        <f>17609*(7.54-7.39)</f>
        <v>2641.3500000000063</v>
      </c>
    </row>
    <row r="86" spans="1:10">
      <c r="A86" s="381">
        <f t="shared" si="1"/>
        <v>11</v>
      </c>
      <c r="B86" s="461"/>
      <c r="C86" s="354"/>
      <c r="D86" s="640"/>
      <c r="E86" s="640"/>
      <c r="F86" s="550" t="s">
        <v>753</v>
      </c>
      <c r="G86" s="468"/>
      <c r="H86" s="468">
        <f>(740.13-725.61)*9</f>
        <v>130.67999999999984</v>
      </c>
    </row>
    <row r="87" spans="1:10">
      <c r="A87" s="381">
        <f t="shared" si="1"/>
        <v>12</v>
      </c>
      <c r="B87" s="461"/>
      <c r="C87" s="354" t="s">
        <v>746</v>
      </c>
      <c r="D87" s="242"/>
      <c r="E87" s="640"/>
      <c r="F87" s="550" t="s">
        <v>754</v>
      </c>
      <c r="G87" s="468"/>
      <c r="H87" s="468"/>
    </row>
    <row r="88" spans="1:10">
      <c r="A88" s="381">
        <f t="shared" si="1"/>
        <v>13</v>
      </c>
      <c r="B88" s="461"/>
      <c r="C88" s="354"/>
      <c r="D88" s="242"/>
      <c r="E88" s="640"/>
      <c r="F88" s="550" t="s">
        <v>766</v>
      </c>
      <c r="G88" s="468"/>
      <c r="H88" s="468">
        <f>29668*(3.76-3.67)</f>
        <v>2670.1199999999958</v>
      </c>
    </row>
    <row r="89" spans="1:10">
      <c r="A89" s="381">
        <f t="shared" si="1"/>
        <v>14</v>
      </c>
      <c r="B89" s="461"/>
      <c r="C89" s="354" t="s">
        <v>651</v>
      </c>
      <c r="D89" s="640"/>
      <c r="E89" s="640"/>
      <c r="F89" s="550" t="s">
        <v>755</v>
      </c>
      <c r="G89" s="468"/>
      <c r="H89" s="468"/>
    </row>
    <row r="90" spans="1:10">
      <c r="A90" s="381">
        <f t="shared" si="1"/>
        <v>15</v>
      </c>
      <c r="B90" s="461"/>
      <c r="C90" s="354"/>
      <c r="D90" s="640"/>
      <c r="E90" s="640"/>
      <c r="F90" s="550" t="s">
        <v>762</v>
      </c>
      <c r="G90" s="468">
        <f>36857*(3.75-3.69)</f>
        <v>2211.4200000000019</v>
      </c>
      <c r="H90" s="468">
        <f>26646*(5.31-5.13)</f>
        <v>4796.2799999999925</v>
      </c>
    </row>
    <row r="91" spans="1:10">
      <c r="A91" s="381">
        <f t="shared" si="1"/>
        <v>16</v>
      </c>
      <c r="B91" s="461"/>
      <c r="C91" s="354" t="s">
        <v>747</v>
      </c>
      <c r="D91" s="242"/>
      <c r="E91" s="640"/>
      <c r="F91" s="550" t="s">
        <v>755</v>
      </c>
      <c r="G91" s="468"/>
      <c r="H91" s="468"/>
    </row>
    <row r="92" spans="1:10">
      <c r="A92" s="381">
        <f t="shared" si="1"/>
        <v>17</v>
      </c>
      <c r="B92" s="461"/>
      <c r="C92" s="354"/>
      <c r="D92" s="242"/>
      <c r="E92" s="640"/>
      <c r="F92" s="550" t="s">
        <v>765</v>
      </c>
      <c r="G92" s="468"/>
      <c r="H92" s="468">
        <f>4177*(5.31-5.13)</f>
        <v>751.85999999999876</v>
      </c>
    </row>
    <row r="93" spans="1:10">
      <c r="A93" s="381">
        <f t="shared" si="1"/>
        <v>18</v>
      </c>
      <c r="B93" s="461"/>
      <c r="C93" s="354" t="s">
        <v>748</v>
      </c>
      <c r="D93" s="640"/>
      <c r="E93" s="640"/>
      <c r="F93" s="550" t="s">
        <v>756</v>
      </c>
      <c r="G93" s="468"/>
      <c r="H93" s="468"/>
    </row>
    <row r="94" spans="1:10">
      <c r="A94" s="381">
        <f t="shared" si="1"/>
        <v>19</v>
      </c>
      <c r="B94" s="461"/>
      <c r="C94" s="354"/>
      <c r="D94" s="640"/>
      <c r="E94" s="640"/>
      <c r="F94" s="550" t="s">
        <v>763</v>
      </c>
      <c r="G94" s="468">
        <f>16247*(1.764-1.7)</f>
        <v>1039.8080000000009</v>
      </c>
      <c r="H94" s="468"/>
    </row>
    <row r="95" spans="1:10">
      <c r="A95" s="381">
        <f t="shared" si="1"/>
        <v>20</v>
      </c>
      <c r="B95" s="461"/>
      <c r="C95" s="354"/>
      <c r="D95" s="640"/>
      <c r="E95" s="640"/>
      <c r="F95" s="550" t="s">
        <v>758</v>
      </c>
      <c r="G95" s="468">
        <f>(246.97-232.74)*9</f>
        <v>128.06999999999991</v>
      </c>
      <c r="H95" s="468"/>
    </row>
    <row r="96" spans="1:10">
      <c r="A96" s="381">
        <f t="shared" si="1"/>
        <v>21</v>
      </c>
      <c r="B96" s="461"/>
      <c r="C96" s="354" t="s">
        <v>749</v>
      </c>
      <c r="D96" s="640"/>
      <c r="E96" s="640"/>
      <c r="F96" s="550" t="s">
        <v>757</v>
      </c>
      <c r="G96" s="468"/>
      <c r="H96" s="468"/>
    </row>
    <row r="97" spans="1:10">
      <c r="A97" s="381">
        <f t="shared" si="1"/>
        <v>22</v>
      </c>
      <c r="B97" s="461"/>
      <c r="C97" s="460"/>
      <c r="D97" s="640"/>
      <c r="E97" s="640"/>
      <c r="F97" s="550" t="s">
        <v>764</v>
      </c>
      <c r="G97" s="468">
        <f>2995*(1.68-1.61)</f>
        <v>209.64999999999952</v>
      </c>
      <c r="H97" s="468"/>
    </row>
    <row r="98" spans="1:10">
      <c r="A98" s="381">
        <f t="shared" si="1"/>
        <v>23</v>
      </c>
      <c r="B98" s="461"/>
      <c r="C98" s="460"/>
      <c r="D98" s="640"/>
      <c r="E98" s="640"/>
      <c r="F98" s="550" t="s">
        <v>759</v>
      </c>
      <c r="G98" s="648">
        <f>(159.49-154.84)*9</f>
        <v>41.850000000000051</v>
      </c>
      <c r="H98" s="648"/>
    </row>
    <row r="99" spans="1:10">
      <c r="A99" s="381">
        <f t="shared" si="1"/>
        <v>24</v>
      </c>
      <c r="B99" s="461"/>
      <c r="C99" s="242"/>
      <c r="D99" s="640"/>
      <c r="E99" s="640"/>
      <c r="F99" s="550" t="s">
        <v>1063</v>
      </c>
      <c r="G99" s="386">
        <f>SUM(G78:G98)</f>
        <v>3630.798000000002</v>
      </c>
      <c r="H99" s="386">
        <f>SUM(H78:H98)</f>
        <v>135680.50499999989</v>
      </c>
    </row>
    <row r="100" spans="1:10">
      <c r="A100" s="381">
        <f t="shared" si="1"/>
        <v>25</v>
      </c>
      <c r="B100" s="461"/>
      <c r="C100" s="460"/>
      <c r="D100" s="640"/>
      <c r="E100" s="640"/>
      <c r="F100" s="446"/>
      <c r="G100" s="244"/>
      <c r="H100" s="244"/>
    </row>
    <row r="101" spans="1:10">
      <c r="A101" s="381">
        <f t="shared" si="1"/>
        <v>26</v>
      </c>
      <c r="B101" s="489" t="s">
        <v>203</v>
      </c>
      <c r="C101" s="462" t="s">
        <v>769</v>
      </c>
      <c r="D101" s="522"/>
      <c r="E101" s="522"/>
      <c r="G101" s="302"/>
      <c r="H101" s="302"/>
      <c r="I101" s="244"/>
      <c r="J101" s="244"/>
    </row>
    <row r="102" spans="1:10">
      <c r="A102" s="381">
        <f t="shared" si="1"/>
        <v>27</v>
      </c>
      <c r="B102" s="242"/>
      <c r="C102" s="354" t="s">
        <v>495</v>
      </c>
      <c r="E102" s="649"/>
      <c r="G102" s="367">
        <f>'B 10'!D36</f>
        <v>102792.75</v>
      </c>
      <c r="H102" s="367">
        <f>'B 10'!E36</f>
        <v>94351.5</v>
      </c>
    </row>
    <row r="103" spans="1:10">
      <c r="A103" s="381">
        <f t="shared" si="1"/>
        <v>28</v>
      </c>
      <c r="B103" s="242"/>
      <c r="D103" s="354"/>
      <c r="E103" s="649"/>
      <c r="G103" s="302"/>
      <c r="H103" s="302"/>
    </row>
    <row r="104" spans="1:10">
      <c r="A104" s="381">
        <f t="shared" si="1"/>
        <v>29</v>
      </c>
      <c r="B104" s="489" t="s">
        <v>204</v>
      </c>
      <c r="C104" s="357" t="s">
        <v>1052</v>
      </c>
      <c r="D104" s="354"/>
      <c r="E104" s="649"/>
      <c r="G104" s="302"/>
      <c r="H104" s="302"/>
    </row>
    <row r="105" spans="1:10">
      <c r="A105" s="381">
        <f t="shared" si="1"/>
        <v>30</v>
      </c>
      <c r="B105" s="489"/>
      <c r="C105" s="242" t="s">
        <v>188</v>
      </c>
      <c r="D105" s="354"/>
      <c r="E105" s="649"/>
      <c r="G105" s="302"/>
      <c r="H105" s="302"/>
    </row>
    <row r="106" spans="1:10">
      <c r="A106" s="381">
        <f t="shared" si="1"/>
        <v>31</v>
      </c>
      <c r="B106" s="489"/>
      <c r="D106" s="357" t="s">
        <v>1057</v>
      </c>
      <c r="E106" s="649"/>
      <c r="G106" s="468">
        <f>37205+29448</f>
        <v>66653</v>
      </c>
      <c r="H106" s="468"/>
    </row>
    <row r="107" spans="1:10">
      <c r="A107" s="381">
        <f t="shared" si="1"/>
        <v>32</v>
      </c>
      <c r="B107" s="489"/>
      <c r="D107" s="468" t="s">
        <v>1056</v>
      </c>
      <c r="E107" s="649"/>
      <c r="G107" s="302">
        <v>5000</v>
      </c>
      <c r="H107" s="302"/>
    </row>
    <row r="108" spans="1:10">
      <c r="A108" s="381">
        <f t="shared" si="1"/>
        <v>33</v>
      </c>
      <c r="B108" s="489"/>
      <c r="C108" s="288" t="s">
        <v>268</v>
      </c>
      <c r="D108" s="354"/>
      <c r="E108" s="649"/>
      <c r="H108" s="302"/>
    </row>
    <row r="109" spans="1:10">
      <c r="A109" s="381">
        <f t="shared" si="1"/>
        <v>34</v>
      </c>
      <c r="B109" s="489"/>
      <c r="D109" s="357" t="s">
        <v>1053</v>
      </c>
      <c r="E109" s="649"/>
      <c r="F109" s="242"/>
      <c r="G109" s="302">
        <v>24500</v>
      </c>
      <c r="H109" s="302"/>
    </row>
    <row r="110" spans="1:10">
      <c r="A110" s="381">
        <f t="shared" si="1"/>
        <v>35</v>
      </c>
      <c r="B110" s="489"/>
      <c r="C110" s="650" t="s">
        <v>270</v>
      </c>
      <c r="D110" s="354"/>
      <c r="E110" s="649"/>
      <c r="G110" s="302"/>
      <c r="H110" s="302"/>
    </row>
    <row r="111" spans="1:10" ht="12" customHeight="1">
      <c r="A111" s="381">
        <f t="shared" si="1"/>
        <v>36</v>
      </c>
      <c r="B111" s="489"/>
      <c r="D111" s="357" t="s">
        <v>1055</v>
      </c>
      <c r="E111" s="649"/>
      <c r="F111" s="242"/>
      <c r="G111" s="302"/>
      <c r="H111" s="302"/>
    </row>
    <row r="112" spans="1:10">
      <c r="A112" s="381">
        <f t="shared" si="1"/>
        <v>37</v>
      </c>
      <c r="B112" s="489"/>
      <c r="D112" s="354"/>
      <c r="E112" s="326" t="s">
        <v>581</v>
      </c>
      <c r="F112" s="242"/>
      <c r="G112" s="302"/>
      <c r="H112" s="302">
        <v>10800</v>
      </c>
    </row>
    <row r="113" spans="1:22">
      <c r="A113" s="381">
        <f t="shared" si="1"/>
        <v>38</v>
      </c>
      <c r="B113" s="489"/>
      <c r="D113" s="354"/>
      <c r="E113" s="326" t="s">
        <v>577</v>
      </c>
      <c r="F113" s="242"/>
      <c r="G113" s="302"/>
      <c r="H113" s="302">
        <v>22800</v>
      </c>
    </row>
    <row r="114" spans="1:22">
      <c r="A114" s="381">
        <f t="shared" si="1"/>
        <v>39</v>
      </c>
      <c r="B114" s="489"/>
      <c r="C114" s="634" t="s">
        <v>1067</v>
      </c>
      <c r="D114" s="242"/>
      <c r="E114" s="649"/>
      <c r="F114" s="242"/>
      <c r="G114" s="302">
        <f>ROUND(I114*K3,0)</f>
        <v>11314</v>
      </c>
      <c r="H114" s="302">
        <f>ROUND(I114*L3,0)</f>
        <v>10386</v>
      </c>
      <c r="I114" s="622">
        <v>21700</v>
      </c>
      <c r="J114" s="622" t="s">
        <v>1066</v>
      </c>
    </row>
    <row r="115" spans="1:22">
      <c r="A115" s="381">
        <f t="shared" si="1"/>
        <v>40</v>
      </c>
      <c r="B115" s="489"/>
      <c r="C115" s="288" t="s">
        <v>1065</v>
      </c>
      <c r="D115" s="354"/>
      <c r="E115" s="649"/>
      <c r="G115" s="302"/>
      <c r="H115" s="302"/>
      <c r="J115" s="651"/>
      <c r="K115" s="652"/>
      <c r="L115" s="652"/>
      <c r="M115" s="652"/>
      <c r="N115" s="653" t="s">
        <v>120</v>
      </c>
      <c r="O115" s="653" t="s">
        <v>121</v>
      </c>
      <c r="P115" s="653" t="s">
        <v>121</v>
      </c>
      <c r="Q115" s="653" t="s">
        <v>121</v>
      </c>
      <c r="R115" s="653" t="s">
        <v>122</v>
      </c>
      <c r="S115" s="654" t="s">
        <v>804</v>
      </c>
      <c r="T115" s="654"/>
      <c r="U115" s="654"/>
      <c r="V115" s="655"/>
    </row>
    <row r="116" spans="1:22">
      <c r="A116" s="381">
        <f t="shared" si="1"/>
        <v>41</v>
      </c>
      <c r="B116" s="489"/>
      <c r="D116" s="357" t="s">
        <v>1054</v>
      </c>
      <c r="E116" s="649"/>
      <c r="F116" s="242"/>
      <c r="G116" s="302"/>
      <c r="H116" s="302">
        <v>5053</v>
      </c>
      <c r="J116" s="656" t="s">
        <v>1098</v>
      </c>
      <c r="K116" s="657" t="s">
        <v>1099</v>
      </c>
      <c r="L116" s="657" t="s">
        <v>1100</v>
      </c>
      <c r="M116" s="657" t="s">
        <v>413</v>
      </c>
      <c r="N116" s="657" t="s">
        <v>1101</v>
      </c>
      <c r="O116" s="657" t="s">
        <v>1102</v>
      </c>
      <c r="P116" s="657" t="s">
        <v>1103</v>
      </c>
      <c r="Q116" s="657" t="s">
        <v>853</v>
      </c>
      <c r="R116" s="657" t="s">
        <v>1104</v>
      </c>
      <c r="S116" s="657" t="s">
        <v>1105</v>
      </c>
      <c r="T116" s="657" t="s">
        <v>1106</v>
      </c>
      <c r="U116" s="657" t="s">
        <v>1107</v>
      </c>
      <c r="V116" s="658" t="s">
        <v>73</v>
      </c>
    </row>
    <row r="117" spans="1:22">
      <c r="A117" s="381">
        <f t="shared" si="1"/>
        <v>42</v>
      </c>
      <c r="B117" s="489" t="s">
        <v>205</v>
      </c>
      <c r="C117" s="357" t="s">
        <v>770</v>
      </c>
      <c r="D117" s="354"/>
      <c r="E117" s="649"/>
      <c r="G117" s="302"/>
      <c r="H117" s="302"/>
      <c r="J117" s="659" t="s">
        <v>1108</v>
      </c>
      <c r="K117" s="266">
        <v>19.54</v>
      </c>
      <c r="L117" s="266">
        <v>262</v>
      </c>
      <c r="M117" s="266">
        <v>8</v>
      </c>
      <c r="N117" s="660">
        <f>K117*L117*M117</f>
        <v>40955.839999999997</v>
      </c>
      <c r="O117" s="660">
        <f>(1102.76+170.26-246.25+33.72)*12</f>
        <v>12725.880000000001</v>
      </c>
      <c r="P117" s="661">
        <f>N117*0.009</f>
        <v>368.60255999999993</v>
      </c>
      <c r="Q117" s="661">
        <f>N117*0.07</f>
        <v>2866.9088000000002</v>
      </c>
      <c r="R117" s="661">
        <v>919</v>
      </c>
      <c r="S117" s="661">
        <f>0.062*N117</f>
        <v>2539.26208</v>
      </c>
      <c r="T117" s="661">
        <f>N117*0.0145</f>
        <v>593.85968000000003</v>
      </c>
      <c r="U117" s="661">
        <f>0.0026*N117+(0.006*N117)</f>
        <v>352.22022399999997</v>
      </c>
      <c r="V117" s="662">
        <f>SUM(N117:U117)</f>
        <v>61321.573343999997</v>
      </c>
    </row>
    <row r="118" spans="1:22" ht="12.75" customHeight="1">
      <c r="A118" s="381">
        <f t="shared" si="1"/>
        <v>43</v>
      </c>
      <c r="C118" s="663" t="s">
        <v>1097</v>
      </c>
      <c r="E118" s="649"/>
      <c r="G118" s="302"/>
      <c r="H118" s="302"/>
      <c r="J118" s="659" t="s">
        <v>1109</v>
      </c>
      <c r="K118" s="266"/>
      <c r="L118" s="266"/>
      <c r="M118" s="266"/>
      <c r="N118" s="660">
        <v>52000</v>
      </c>
      <c r="O118" s="660">
        <f>(1102.76+170.26-246.25+33.72)*12</f>
        <v>12725.880000000001</v>
      </c>
      <c r="P118" s="661">
        <f>N118*0.009</f>
        <v>467.99999999999994</v>
      </c>
      <c r="Q118" s="661">
        <f>N118*0.07</f>
        <v>3640.0000000000005</v>
      </c>
      <c r="R118" s="661">
        <v>919</v>
      </c>
      <c r="S118" s="661">
        <f>0.062*N118</f>
        <v>3224</v>
      </c>
      <c r="T118" s="661">
        <f>N118*0.0145</f>
        <v>754</v>
      </c>
      <c r="U118" s="661">
        <f>0.0026*N118+(0.006*N118)</f>
        <v>447.2</v>
      </c>
      <c r="V118" s="662">
        <f>SUM(N118:U118)</f>
        <v>74178.080000000002</v>
      </c>
    </row>
    <row r="119" spans="1:22">
      <c r="A119" s="381">
        <f t="shared" si="1"/>
        <v>44</v>
      </c>
      <c r="C119" s="242"/>
      <c r="D119" s="288" t="s">
        <v>559</v>
      </c>
      <c r="G119" s="302">
        <f>N121*K3</f>
        <v>73181.534975999995</v>
      </c>
      <c r="H119" s="302">
        <f>N121*L3</f>
        <v>67174.305024000001</v>
      </c>
      <c r="J119" s="659" t="s">
        <v>1110</v>
      </c>
      <c r="K119" s="266"/>
      <c r="L119" s="266"/>
      <c r="M119" s="266"/>
      <c r="N119" s="660">
        <v>29000</v>
      </c>
      <c r="O119" s="660">
        <f>(1102.76+170.26-246.25+33.72)*12</f>
        <v>12725.880000000001</v>
      </c>
      <c r="P119" s="661">
        <f>N119*0.009</f>
        <v>261</v>
      </c>
      <c r="Q119" s="661">
        <f>N119*0.07</f>
        <v>2030.0000000000002</v>
      </c>
      <c r="R119" s="661">
        <v>919</v>
      </c>
      <c r="S119" s="661">
        <f>0.062*N119</f>
        <v>1798</v>
      </c>
      <c r="T119" s="661">
        <f>N119*0.0145</f>
        <v>420.5</v>
      </c>
      <c r="U119" s="661">
        <f>0.0026*N119+(0.006*N119)</f>
        <v>249.39999999999998</v>
      </c>
      <c r="V119" s="662">
        <f>SUM(N119:U119)</f>
        <v>47403.780000000006</v>
      </c>
    </row>
    <row r="120" spans="1:22">
      <c r="A120" s="381">
        <f t="shared" si="1"/>
        <v>45</v>
      </c>
      <c r="C120" s="242"/>
      <c r="D120" s="288" t="s">
        <v>560</v>
      </c>
      <c r="G120" s="302">
        <f>SUM(O121:Q121)*K3</f>
        <v>32322.436591103997</v>
      </c>
      <c r="H120" s="302">
        <f>SUM(O121:Q121)*L3</f>
        <v>29669.194768896003</v>
      </c>
      <c r="J120" s="659" t="s">
        <v>1109</v>
      </c>
      <c r="K120" s="266"/>
      <c r="L120" s="266"/>
      <c r="M120" s="266"/>
      <c r="N120" s="660">
        <v>18400</v>
      </c>
      <c r="O120" s="660">
        <f>(1102.76+170.26-246.25+33.72)*12</f>
        <v>12725.880000000001</v>
      </c>
      <c r="P120" s="661">
        <f>N120*0.009</f>
        <v>165.6</v>
      </c>
      <c r="Q120" s="661">
        <f>N120*0.07</f>
        <v>1288.0000000000002</v>
      </c>
      <c r="R120" s="661">
        <v>919</v>
      </c>
      <c r="S120" s="661">
        <f>0.062*N120</f>
        <v>1140.8</v>
      </c>
      <c r="T120" s="661">
        <f>N120*0.0145</f>
        <v>266.8</v>
      </c>
      <c r="U120" s="661">
        <f>0.0026*N120+(0.006*N120)</f>
        <v>158.24</v>
      </c>
      <c r="V120" s="662">
        <f>SUM(N120:U120)</f>
        <v>35064.32</v>
      </c>
    </row>
    <row r="121" spans="1:22">
      <c r="A121" s="381">
        <f t="shared" si="1"/>
        <v>46</v>
      </c>
      <c r="C121" s="663" t="s">
        <v>1068</v>
      </c>
      <c r="F121" s="446"/>
      <c r="G121" s="248"/>
      <c r="H121" s="248"/>
      <c r="J121" s="664" t="s">
        <v>73</v>
      </c>
      <c r="K121" s="344"/>
      <c r="L121" s="344"/>
      <c r="M121" s="344"/>
      <c r="N121" s="665">
        <f t="shared" ref="N121:V121" si="2">SUM(N117:N120)</f>
        <v>140355.84</v>
      </c>
      <c r="O121" s="665">
        <f t="shared" si="2"/>
        <v>50903.520000000004</v>
      </c>
      <c r="P121" s="665">
        <f t="shared" si="2"/>
        <v>1263.2025599999997</v>
      </c>
      <c r="Q121" s="665">
        <f t="shared" si="2"/>
        <v>9824.9088000000011</v>
      </c>
      <c r="R121" s="665">
        <f t="shared" si="2"/>
        <v>3676</v>
      </c>
      <c r="S121" s="665">
        <f t="shared" si="2"/>
        <v>8702.0620799999997</v>
      </c>
      <c r="T121" s="665">
        <f t="shared" si="2"/>
        <v>2035.15968</v>
      </c>
      <c r="U121" s="665">
        <f t="shared" si="2"/>
        <v>1207.0602240000001</v>
      </c>
      <c r="V121" s="666">
        <f t="shared" si="2"/>
        <v>217967.753344</v>
      </c>
    </row>
    <row r="122" spans="1:22">
      <c r="A122" s="381">
        <f t="shared" si="1"/>
        <v>47</v>
      </c>
      <c r="C122" s="242"/>
      <c r="D122" s="354" t="s">
        <v>51</v>
      </c>
      <c r="F122" s="446"/>
      <c r="G122" s="248">
        <f>('B 5'!C13-'B 5'!E13)*0.0375</f>
        <v>106783.98400394998</v>
      </c>
      <c r="H122" s="248">
        <f>('B 6'!C13-'B 6'!E13)*0.0375</f>
        <v>98018.440246049999</v>
      </c>
      <c r="J122" s="622" t="s">
        <v>1069</v>
      </c>
    </row>
    <row r="123" spans="1:22">
      <c r="A123" s="381">
        <f t="shared" si="1"/>
        <v>48</v>
      </c>
      <c r="C123" s="242"/>
      <c r="D123" s="278" t="s">
        <v>564</v>
      </c>
      <c r="F123" s="446"/>
      <c r="G123" s="248">
        <f>('B 5'!C14-'B 5'!E14)*0.0375</f>
        <v>8119.2911802750004</v>
      </c>
      <c r="H123" s="248">
        <f>('B 6'!C14-'B 6'!E14)*0.0375</f>
        <v>7452.8054447250006</v>
      </c>
    </row>
    <row r="124" spans="1:22">
      <c r="A124" s="381">
        <f t="shared" si="1"/>
        <v>49</v>
      </c>
      <c r="B124" s="622"/>
      <c r="C124" s="242"/>
      <c r="D124" s="354" t="s">
        <v>532</v>
      </c>
      <c r="F124" s="446"/>
      <c r="G124" s="248">
        <f>('B 5'!C15-'B 5'!E15)*0.0375</f>
        <v>29450.795140799997</v>
      </c>
      <c r="H124" s="248">
        <f>('B 6'!C15-'B 6'!E15)*0.0375</f>
        <v>27033.276859199996</v>
      </c>
    </row>
    <row r="125" spans="1:22">
      <c r="A125" s="381">
        <f t="shared" si="1"/>
        <v>50</v>
      </c>
      <c r="B125" s="489" t="s">
        <v>429</v>
      </c>
      <c r="C125" s="634" t="s">
        <v>1116</v>
      </c>
      <c r="D125" s="504"/>
      <c r="E125" s="504"/>
      <c r="G125" s="244">
        <f>R121*K3</f>
        <v>1916.6663999999998</v>
      </c>
      <c r="H125" s="244">
        <f>R121*L3</f>
        <v>1759.3336000000002</v>
      </c>
      <c r="J125" s="385"/>
      <c r="K125" s="244"/>
    </row>
    <row r="126" spans="1:22" s="243" customFormat="1">
      <c r="A126" s="381">
        <f t="shared" si="1"/>
        <v>51</v>
      </c>
      <c r="B126" s="489" t="s">
        <v>435</v>
      </c>
      <c r="C126" s="462" t="s">
        <v>1129</v>
      </c>
      <c r="D126" s="242"/>
      <c r="E126" s="649"/>
      <c r="F126" s="357"/>
      <c r="G126" s="244">
        <f>ROUND('B 5'!C29*0.038,0)</f>
        <v>6931</v>
      </c>
      <c r="H126" s="326">
        <f>ROUND('B 6'!C30*0.038,0)</f>
        <v>6362</v>
      </c>
      <c r="I126" s="326"/>
      <c r="J126" s="246"/>
      <c r="K126" s="667"/>
      <c r="L126" s="247"/>
    </row>
    <row r="127" spans="1:22">
      <c r="A127" s="381">
        <f t="shared" si="1"/>
        <v>52</v>
      </c>
      <c r="B127" s="622"/>
      <c r="C127" s="504"/>
      <c r="D127" s="504"/>
      <c r="E127" s="504"/>
      <c r="G127" s="244"/>
      <c r="H127" s="244"/>
      <c r="J127" s="385"/>
      <c r="K127" s="244"/>
    </row>
    <row r="128" spans="1:22">
      <c r="A128" s="381">
        <f t="shared" si="1"/>
        <v>53</v>
      </c>
      <c r="C128" s="504"/>
      <c r="D128" s="504"/>
      <c r="E128" s="504"/>
      <c r="F128" s="446" t="s">
        <v>556</v>
      </c>
      <c r="G128" s="513">
        <f>SUM(G102:G126)+G99</f>
        <v>472596.25629212894</v>
      </c>
      <c r="H128" s="513">
        <f>SUM(H102:H126)+H99</f>
        <v>516540.36094287084</v>
      </c>
    </row>
    <row r="129" spans="1:13">
      <c r="A129" s="381">
        <f t="shared" si="1"/>
        <v>54</v>
      </c>
      <c r="C129" s="504"/>
      <c r="D129" s="504"/>
      <c r="E129" s="504"/>
      <c r="G129" s="244"/>
      <c r="H129" s="244"/>
    </row>
    <row r="130" spans="1:13" ht="12.75" thickBot="1">
      <c r="A130" s="381">
        <f t="shared" si="1"/>
        <v>55</v>
      </c>
      <c r="B130" s="462"/>
      <c r="F130" s="478" t="s">
        <v>461</v>
      </c>
      <c r="G130" s="533">
        <f>G128+G65</f>
        <v>373246.32704162173</v>
      </c>
      <c r="H130" s="533">
        <f>H128+H65</f>
        <v>575233.32019337802</v>
      </c>
    </row>
    <row r="131" spans="1:13" ht="12.75" thickTop="1">
      <c r="A131" s="381">
        <f t="shared" si="1"/>
        <v>56</v>
      </c>
      <c r="C131" s="504"/>
      <c r="D131" s="504"/>
      <c r="E131" s="504"/>
      <c r="G131" s="244"/>
      <c r="H131" s="244"/>
    </row>
    <row r="132" spans="1:13">
      <c r="A132" s="381">
        <f t="shared" si="1"/>
        <v>57</v>
      </c>
      <c r="B132" s="461" t="s">
        <v>281</v>
      </c>
      <c r="C132" s="246" t="s">
        <v>62</v>
      </c>
      <c r="D132" s="246"/>
      <c r="E132" s="246"/>
      <c r="F132" s="446"/>
      <c r="G132" s="302"/>
      <c r="H132" s="302"/>
    </row>
    <row r="133" spans="1:13">
      <c r="A133" s="381">
        <f t="shared" si="1"/>
        <v>58</v>
      </c>
      <c r="B133" s="489" t="s">
        <v>202</v>
      </c>
      <c r="C133" s="482" t="s">
        <v>715</v>
      </c>
      <c r="D133" s="354"/>
      <c r="E133" s="242"/>
      <c r="F133" s="242"/>
      <c r="G133" s="302"/>
      <c r="H133" s="302"/>
      <c r="J133" s="287"/>
    </row>
    <row r="134" spans="1:13">
      <c r="A134" s="381">
        <f t="shared" si="1"/>
        <v>59</v>
      </c>
      <c r="B134" s="489"/>
      <c r="C134" s="636"/>
      <c r="D134" s="242" t="s">
        <v>378</v>
      </c>
      <c r="E134" s="242"/>
      <c r="G134" s="302">
        <v>-46704</v>
      </c>
      <c r="H134" s="302"/>
      <c r="I134" s="242"/>
      <c r="J134" s="287"/>
    </row>
    <row r="135" spans="1:13">
      <c r="A135" s="381">
        <f t="shared" si="1"/>
        <v>60</v>
      </c>
      <c r="B135" s="489"/>
      <c r="C135" s="636"/>
      <c r="D135" s="288" t="s">
        <v>679</v>
      </c>
      <c r="E135" s="242"/>
      <c r="G135" s="302"/>
      <c r="H135" s="302">
        <v>-101889</v>
      </c>
      <c r="J135" s="287"/>
    </row>
    <row r="136" spans="1:13">
      <c r="A136" s="381">
        <f t="shared" si="1"/>
        <v>61</v>
      </c>
      <c r="C136" s="522"/>
      <c r="D136" s="242"/>
      <c r="E136" s="242"/>
      <c r="F136" s="242"/>
      <c r="G136" s="633">
        <f>SUM(G134:G135)</f>
        <v>-46704</v>
      </c>
      <c r="H136" s="633">
        <f>SUM(H134:H135)</f>
        <v>-101889</v>
      </c>
      <c r="I136" s="242"/>
      <c r="J136" s="287"/>
    </row>
    <row r="137" spans="1:13">
      <c r="A137" s="381">
        <f t="shared" si="1"/>
        <v>62</v>
      </c>
      <c r="B137" s="489" t="s">
        <v>203</v>
      </c>
      <c r="C137" s="482" t="s">
        <v>736</v>
      </c>
      <c r="D137" s="354"/>
      <c r="E137" s="242"/>
      <c r="F137" s="242"/>
      <c r="G137" s="302"/>
      <c r="H137" s="302"/>
      <c r="I137" s="242"/>
      <c r="J137" s="287"/>
    </row>
    <row r="138" spans="1:13">
      <c r="A138" s="381">
        <f t="shared" si="1"/>
        <v>63</v>
      </c>
      <c r="B138" s="489"/>
      <c r="C138" s="636"/>
      <c r="D138" s="288" t="s">
        <v>744</v>
      </c>
      <c r="E138" s="242"/>
      <c r="G138" s="302"/>
      <c r="H138" s="302">
        <f>-EWD!D50</f>
        <v>-222979.9</v>
      </c>
      <c r="I138" s="242"/>
      <c r="J138" s="287"/>
    </row>
    <row r="139" spans="1:13">
      <c r="A139" s="381">
        <f t="shared" si="1"/>
        <v>64</v>
      </c>
      <c r="B139" s="489"/>
      <c r="C139" s="636"/>
      <c r="D139" s="288" t="s">
        <v>745</v>
      </c>
      <c r="E139" s="242"/>
      <c r="G139" s="302"/>
      <c r="H139" s="302">
        <f>EWD!E50</f>
        <v>55744.974999999999</v>
      </c>
      <c r="I139" s="242"/>
      <c r="J139" s="287"/>
    </row>
    <row r="140" spans="1:13">
      <c r="A140" s="381">
        <f t="shared" si="1"/>
        <v>65</v>
      </c>
      <c r="B140" s="489"/>
      <c r="C140" s="522"/>
      <c r="D140" s="242"/>
      <c r="E140" s="242"/>
      <c r="F140" s="242"/>
      <c r="G140" s="633">
        <f>SUM(G138:G139)</f>
        <v>0</v>
      </c>
      <c r="H140" s="633">
        <f>SUM(H138:H139)</f>
        <v>-167234.92499999999</v>
      </c>
      <c r="I140" s="242"/>
      <c r="J140" s="287"/>
    </row>
    <row r="141" spans="1:13">
      <c r="A141" s="381"/>
      <c r="B141" s="489"/>
      <c r="C141" s="522"/>
      <c r="D141" s="242"/>
      <c r="E141" s="242"/>
      <c r="F141" s="242"/>
      <c r="G141" s="302"/>
      <c r="H141" s="302"/>
      <c r="I141" s="242"/>
      <c r="J141" s="287"/>
    </row>
    <row r="142" spans="1:13">
      <c r="A142" s="246" t="s">
        <v>8</v>
      </c>
      <c r="B142" s="446"/>
      <c r="C142" s="446"/>
      <c r="D142" s="446"/>
      <c r="E142" s="446"/>
      <c r="F142" s="446"/>
      <c r="H142" s="289" t="s">
        <v>84</v>
      </c>
      <c r="J142" s="244"/>
      <c r="K142" s="244"/>
      <c r="L142" s="244"/>
      <c r="M142" s="244"/>
    </row>
    <row r="143" spans="1:13">
      <c r="A143" s="246" t="s">
        <v>565</v>
      </c>
      <c r="B143" s="446"/>
      <c r="C143" s="446"/>
      <c r="D143" s="446"/>
      <c r="E143" s="446"/>
      <c r="F143" s="446"/>
      <c r="H143" s="289" t="s">
        <v>9</v>
      </c>
      <c r="J143" s="244"/>
      <c r="K143" s="244"/>
      <c r="L143" s="244"/>
      <c r="M143" s="244"/>
    </row>
    <row r="144" spans="1:13">
      <c r="A144" s="246" t="s">
        <v>566</v>
      </c>
      <c r="B144" s="57"/>
      <c r="C144" s="461"/>
      <c r="D144" s="461"/>
      <c r="E144" s="461"/>
      <c r="F144" s="446"/>
      <c r="H144" s="351" t="s">
        <v>1223</v>
      </c>
      <c r="J144" s="244"/>
      <c r="K144" s="244"/>
      <c r="L144" s="244"/>
      <c r="M144" s="244"/>
    </row>
    <row r="145" spans="1:10">
      <c r="A145" s="246" t="s">
        <v>86</v>
      </c>
      <c r="B145" s="446"/>
      <c r="C145" s="446"/>
      <c r="D145" s="446"/>
      <c r="E145" s="446"/>
      <c r="F145" s="446"/>
      <c r="H145" s="260" t="s">
        <v>705</v>
      </c>
    </row>
    <row r="146" spans="1:10">
      <c r="A146" s="272" t="s">
        <v>285</v>
      </c>
      <c r="B146" s="57"/>
      <c r="C146" s="446"/>
      <c r="D146" s="446"/>
      <c r="E146" s="446"/>
      <c r="F146" s="446"/>
      <c r="H146" s="260" t="s">
        <v>558</v>
      </c>
      <c r="J146" s="244"/>
    </row>
    <row r="147" spans="1:10" ht="12.75" customHeight="1">
      <c r="A147" s="1012" t="s">
        <v>79</v>
      </c>
      <c r="B147" s="1012"/>
      <c r="C147" s="1012"/>
      <c r="D147" s="1012"/>
      <c r="E147" s="1012"/>
      <c r="F147" s="1012"/>
      <c r="G147" s="1012"/>
      <c r="H147" s="1012"/>
    </row>
    <row r="148" spans="1:10" ht="12.75" thickBot="1">
      <c r="A148" s="1012"/>
      <c r="B148" s="1012"/>
      <c r="C148" s="1012"/>
      <c r="D148" s="1012"/>
      <c r="E148" s="1012"/>
      <c r="F148" s="1012"/>
      <c r="G148" s="1012"/>
      <c r="H148" s="1012"/>
    </row>
    <row r="149" spans="1:10">
      <c r="A149" s="624" t="s">
        <v>289</v>
      </c>
      <c r="B149" s="625"/>
      <c r="C149" s="626"/>
      <c r="D149" s="626"/>
      <c r="E149" s="626"/>
      <c r="F149" s="626"/>
      <c r="G149" s="627"/>
      <c r="H149" s="628"/>
    </row>
    <row r="150" spans="1:10" ht="14.25">
      <c r="A150" s="353" t="s">
        <v>351</v>
      </c>
      <c r="B150" s="629" t="s">
        <v>352</v>
      </c>
      <c r="C150" s="629"/>
      <c r="D150" s="629"/>
      <c r="E150" s="629"/>
      <c r="F150" s="629"/>
      <c r="G150" s="353" t="s">
        <v>251</v>
      </c>
      <c r="H150" s="353" t="s">
        <v>252</v>
      </c>
    </row>
    <row r="151" spans="1:10">
      <c r="A151" s="381">
        <v>1</v>
      </c>
      <c r="B151" s="489" t="s">
        <v>204</v>
      </c>
      <c r="C151" s="482" t="s">
        <v>1030</v>
      </c>
      <c r="D151" s="242"/>
      <c r="E151" s="242"/>
      <c r="F151" s="446"/>
      <c r="G151" s="302"/>
      <c r="H151" s="302"/>
      <c r="I151" s="242"/>
      <c r="J151" s="287"/>
    </row>
    <row r="152" spans="1:10">
      <c r="A152" s="381">
        <f t="shared" ref="A152:A213" si="3">A151+1</f>
        <v>2</v>
      </c>
      <c r="B152" s="489"/>
      <c r="C152" s="636"/>
      <c r="D152" s="242" t="s">
        <v>359</v>
      </c>
      <c r="E152" s="242"/>
      <c r="G152" s="302"/>
      <c r="H152" s="302">
        <f>-'B 14'!I15</f>
        <v>-26969</v>
      </c>
      <c r="I152" s="242"/>
      <c r="J152" s="287"/>
    </row>
    <row r="153" spans="1:10">
      <c r="A153" s="381">
        <f t="shared" si="3"/>
        <v>3</v>
      </c>
      <c r="B153" s="489"/>
      <c r="C153" s="636"/>
      <c r="D153" s="242" t="s">
        <v>104</v>
      </c>
      <c r="E153" s="242"/>
      <c r="G153" s="302"/>
      <c r="H153" s="302">
        <f>-'B 14'!I37</f>
        <v>-28357</v>
      </c>
      <c r="I153" s="242"/>
      <c r="J153" s="287"/>
    </row>
    <row r="154" spans="1:10">
      <c r="A154" s="381">
        <f t="shared" si="3"/>
        <v>4</v>
      </c>
      <c r="B154" s="489"/>
      <c r="C154" s="636"/>
      <c r="D154" s="288" t="s">
        <v>210</v>
      </c>
      <c r="E154" s="242"/>
      <c r="G154" s="302"/>
      <c r="H154" s="302">
        <f>-'B 14'!I38</f>
        <v>-13</v>
      </c>
      <c r="I154" s="242"/>
      <c r="J154" s="287"/>
    </row>
    <row r="155" spans="1:10">
      <c r="A155" s="381">
        <f t="shared" si="3"/>
        <v>5</v>
      </c>
      <c r="B155" s="489"/>
      <c r="C155" s="636"/>
      <c r="D155" s="242" t="s">
        <v>105</v>
      </c>
      <c r="E155" s="242"/>
      <c r="G155" s="302"/>
      <c r="H155" s="302">
        <f>-'B 14'!I39</f>
        <v>-70602</v>
      </c>
      <c r="I155" s="242"/>
      <c r="J155" s="287"/>
    </row>
    <row r="156" spans="1:10">
      <c r="A156" s="381">
        <f t="shared" si="3"/>
        <v>6</v>
      </c>
      <c r="B156" s="489"/>
      <c r="C156" s="636"/>
      <c r="D156" s="242" t="s">
        <v>106</v>
      </c>
      <c r="E156" s="242"/>
      <c r="G156" s="302"/>
      <c r="H156" s="302">
        <f>-'B 14'!I40</f>
        <v>-3793</v>
      </c>
      <c r="I156" s="242"/>
      <c r="J156" s="287"/>
    </row>
    <row r="157" spans="1:10">
      <c r="A157" s="381">
        <f t="shared" si="3"/>
        <v>7</v>
      </c>
      <c r="B157" s="489"/>
      <c r="C157" s="636"/>
      <c r="D157" s="242" t="s">
        <v>107</v>
      </c>
      <c r="E157" s="242"/>
      <c r="G157" s="302"/>
      <c r="H157" s="302">
        <f>-'B 14'!I41</f>
        <v>-19</v>
      </c>
      <c r="I157" s="242"/>
      <c r="J157" s="287"/>
    </row>
    <row r="158" spans="1:10">
      <c r="A158" s="381">
        <f t="shared" si="3"/>
        <v>8</v>
      </c>
      <c r="B158" s="489"/>
      <c r="C158" s="636"/>
      <c r="D158" s="242"/>
      <c r="E158" s="242"/>
      <c r="F158" s="242" t="s">
        <v>801</v>
      </c>
      <c r="G158" s="633">
        <f>SUM(G152:G157)</f>
        <v>0</v>
      </c>
      <c r="H158" s="633">
        <f>SUM(H152:H157)</f>
        <v>-129753</v>
      </c>
      <c r="I158" s="242"/>
      <c r="J158" s="287"/>
    </row>
    <row r="159" spans="1:10">
      <c r="A159" s="381">
        <f t="shared" si="3"/>
        <v>9</v>
      </c>
      <c r="B159" s="489"/>
      <c r="C159" s="636"/>
      <c r="D159" s="242"/>
      <c r="E159" s="242"/>
      <c r="F159" s="242"/>
      <c r="G159" s="302"/>
      <c r="H159" s="302"/>
      <c r="I159" s="242"/>
      <c r="J159" s="287"/>
    </row>
    <row r="160" spans="1:10">
      <c r="A160" s="381">
        <f t="shared" si="3"/>
        <v>10</v>
      </c>
      <c r="B160" s="489" t="s">
        <v>205</v>
      </c>
      <c r="C160" s="482" t="s">
        <v>1031</v>
      </c>
      <c r="D160" s="242"/>
      <c r="E160" s="242"/>
      <c r="F160" s="336"/>
      <c r="G160" s="633"/>
      <c r="H160" s="633">
        <f>-'B 14'!I78</f>
        <v>46509</v>
      </c>
      <c r="I160" s="242"/>
      <c r="J160" s="287"/>
    </row>
    <row r="161" spans="1:14">
      <c r="A161" s="381">
        <f t="shared" si="3"/>
        <v>11</v>
      </c>
      <c r="B161" s="489"/>
      <c r="C161" s="636"/>
      <c r="D161" s="242"/>
      <c r="E161" s="242"/>
      <c r="F161" s="242"/>
      <c r="G161" s="302"/>
      <c r="H161" s="302"/>
      <c r="I161" s="242"/>
      <c r="J161" s="287"/>
    </row>
    <row r="162" spans="1:14">
      <c r="A162" s="381">
        <f t="shared" si="3"/>
        <v>12</v>
      </c>
      <c r="B162" s="489" t="s">
        <v>429</v>
      </c>
      <c r="C162" s="462" t="s">
        <v>852</v>
      </c>
      <c r="D162" s="242"/>
      <c r="E162" s="242"/>
      <c r="F162" s="446"/>
      <c r="I162" s="242"/>
      <c r="J162" s="287"/>
    </row>
    <row r="163" spans="1:14">
      <c r="A163" s="381">
        <f t="shared" si="3"/>
        <v>13</v>
      </c>
      <c r="B163" s="489"/>
      <c r="C163" s="636"/>
      <c r="D163" s="242" t="s">
        <v>806</v>
      </c>
      <c r="E163" s="242"/>
      <c r="F163" s="446"/>
      <c r="G163" s="244">
        <v>1084</v>
      </c>
      <c r="H163" s="244">
        <v>1970</v>
      </c>
      <c r="I163" s="242"/>
      <c r="J163" s="287"/>
    </row>
    <row r="164" spans="1:14">
      <c r="A164" s="381">
        <f t="shared" si="3"/>
        <v>14</v>
      </c>
      <c r="B164" s="489"/>
      <c r="C164" s="636"/>
      <c r="D164" s="242" t="s">
        <v>805</v>
      </c>
      <c r="E164" s="242"/>
      <c r="F164" s="446"/>
      <c r="G164" s="302"/>
      <c r="H164" s="302">
        <v>49982</v>
      </c>
      <c r="I164" s="242"/>
      <c r="J164" s="287"/>
    </row>
    <row r="165" spans="1:14">
      <c r="A165" s="381">
        <f t="shared" si="3"/>
        <v>15</v>
      </c>
      <c r="B165" s="489"/>
      <c r="C165" s="636"/>
      <c r="D165" s="242" t="s">
        <v>822</v>
      </c>
      <c r="E165" s="242"/>
      <c r="F165" s="446"/>
      <c r="G165" s="302"/>
      <c r="H165" s="302">
        <v>298742</v>
      </c>
      <c r="I165" s="242"/>
      <c r="J165" s="287"/>
    </row>
    <row r="166" spans="1:14">
      <c r="A166" s="381">
        <f t="shared" si="3"/>
        <v>16</v>
      </c>
      <c r="B166" s="489"/>
      <c r="C166" s="636"/>
      <c r="D166" s="242"/>
      <c r="E166" s="242"/>
      <c r="F166" s="668" t="s">
        <v>1064</v>
      </c>
      <c r="G166" s="633">
        <f>SUM(G163:G165)</f>
        <v>1084</v>
      </c>
      <c r="H166" s="633">
        <f>SUM(H163:H165)</f>
        <v>350694</v>
      </c>
      <c r="I166" s="242"/>
      <c r="J166" s="287"/>
    </row>
    <row r="167" spans="1:14">
      <c r="A167" s="381">
        <f t="shared" si="3"/>
        <v>17</v>
      </c>
      <c r="B167" s="489"/>
      <c r="C167" s="636"/>
      <c r="D167" s="242"/>
      <c r="E167" s="242"/>
      <c r="F167" s="446"/>
      <c r="I167" s="242"/>
      <c r="J167" s="287"/>
    </row>
    <row r="168" spans="1:14">
      <c r="A168" s="381">
        <f t="shared" si="3"/>
        <v>18</v>
      </c>
      <c r="B168" s="489"/>
      <c r="C168" s="636"/>
      <c r="D168" s="242"/>
      <c r="E168" s="242"/>
      <c r="F168" s="242"/>
      <c r="G168" s="302"/>
      <c r="H168" s="302"/>
      <c r="I168" s="242"/>
      <c r="J168" s="287"/>
    </row>
    <row r="169" spans="1:14">
      <c r="A169" s="381">
        <f t="shared" si="3"/>
        <v>19</v>
      </c>
      <c r="B169" s="276"/>
      <c r="C169" s="522"/>
      <c r="D169" s="242"/>
      <c r="E169" s="242"/>
      <c r="F169" s="446" t="s">
        <v>553</v>
      </c>
      <c r="G169" s="669">
        <f>G136+G140+G158+G166+G160</f>
        <v>-45620</v>
      </c>
      <c r="H169" s="669">
        <f>H136+H140+H158+H166+H160</f>
        <v>-1673.9249999999884</v>
      </c>
      <c r="I169" s="287"/>
      <c r="N169" s="242"/>
    </row>
    <row r="170" spans="1:14">
      <c r="A170" s="381">
        <f t="shared" si="3"/>
        <v>20</v>
      </c>
      <c r="B170" s="489"/>
      <c r="C170" s="473" t="s">
        <v>119</v>
      </c>
      <c r="D170" s="242"/>
      <c r="E170" s="242"/>
      <c r="F170" s="446"/>
    </row>
    <row r="171" spans="1:14">
      <c r="A171" s="381">
        <f t="shared" si="3"/>
        <v>21</v>
      </c>
      <c r="B171" s="489" t="s">
        <v>202</v>
      </c>
      <c r="C171" s="354" t="s">
        <v>1041</v>
      </c>
      <c r="D171" s="242"/>
      <c r="E171" s="242"/>
      <c r="F171" s="446"/>
    </row>
    <row r="172" spans="1:14">
      <c r="A172" s="381">
        <f t="shared" si="3"/>
        <v>22</v>
      </c>
      <c r="B172" s="489"/>
      <c r="C172" s="354"/>
      <c r="D172" s="242" t="s">
        <v>869</v>
      </c>
      <c r="E172" s="242"/>
      <c r="F172" s="242"/>
      <c r="G172" s="244">
        <f>'A 3'!E103</f>
        <v>583.75520833333337</v>
      </c>
      <c r="H172" s="244"/>
    </row>
    <row r="173" spans="1:14">
      <c r="A173" s="381">
        <f t="shared" si="3"/>
        <v>23</v>
      </c>
      <c r="B173" s="489"/>
      <c r="C173" s="354"/>
      <c r="D173" s="242" t="s">
        <v>378</v>
      </c>
      <c r="E173" s="242"/>
      <c r="F173" s="242"/>
      <c r="G173" s="244">
        <f>'A 3'!E104</f>
        <v>206.4111111111111</v>
      </c>
    </row>
    <row r="174" spans="1:14">
      <c r="A174" s="381">
        <f t="shared" si="3"/>
        <v>24</v>
      </c>
      <c r="B174" s="489"/>
      <c r="C174" s="354"/>
      <c r="D174" s="242" t="s">
        <v>380</v>
      </c>
      <c r="E174" s="242"/>
      <c r="F174" s="242"/>
      <c r="G174" s="244">
        <f>'A 3'!E105</f>
        <v>584.44523809523798</v>
      </c>
    </row>
    <row r="175" spans="1:14">
      <c r="A175" s="381">
        <f t="shared" si="3"/>
        <v>25</v>
      </c>
      <c r="B175" s="489"/>
      <c r="C175" s="354"/>
      <c r="D175" s="242" t="s">
        <v>381</v>
      </c>
      <c r="E175" s="242"/>
      <c r="F175" s="242"/>
      <c r="G175" s="244">
        <f>'A 3'!E106</f>
        <v>1454.0250000000001</v>
      </c>
    </row>
    <row r="176" spans="1:14">
      <c r="A176" s="381">
        <f t="shared" si="3"/>
        <v>26</v>
      </c>
      <c r="B176" s="489"/>
      <c r="C176" s="354"/>
      <c r="D176" s="242" t="s">
        <v>382</v>
      </c>
      <c r="E176" s="242"/>
      <c r="F176" s="242"/>
      <c r="G176" s="244">
        <f>'A 3'!E107</f>
        <v>1463.0916666666667</v>
      </c>
    </row>
    <row r="177" spans="1:8">
      <c r="A177" s="381">
        <f t="shared" si="3"/>
        <v>27</v>
      </c>
      <c r="B177" s="489"/>
      <c r="C177" s="354"/>
      <c r="D177" s="242" t="s">
        <v>386</v>
      </c>
      <c r="E177" s="242"/>
      <c r="F177" s="242"/>
      <c r="G177" s="244">
        <f>'A 3'!E108</f>
        <v>33520.572916666664</v>
      </c>
    </row>
    <row r="178" spans="1:8">
      <c r="A178" s="381">
        <f t="shared" si="3"/>
        <v>28</v>
      </c>
      <c r="B178" s="489"/>
      <c r="C178" s="354"/>
      <c r="D178" s="242" t="s">
        <v>31</v>
      </c>
      <c r="E178" s="242"/>
      <c r="F178" s="242"/>
      <c r="G178" s="244">
        <f>'A 3'!E109</f>
        <v>4505.208333333333</v>
      </c>
    </row>
    <row r="179" spans="1:8">
      <c r="A179" s="381">
        <f t="shared" si="3"/>
        <v>29</v>
      </c>
      <c r="B179" s="489"/>
      <c r="C179" s="354"/>
      <c r="D179" s="242" t="s">
        <v>387</v>
      </c>
      <c r="E179" s="242"/>
      <c r="F179" s="242"/>
      <c r="G179" s="244">
        <f>'A 3'!E110</f>
        <v>1091.9659090909092</v>
      </c>
    </row>
    <row r="180" spans="1:8">
      <c r="A180" s="381">
        <f t="shared" si="3"/>
        <v>30</v>
      </c>
      <c r="B180" s="489"/>
      <c r="C180" s="354"/>
      <c r="D180" s="242" t="s">
        <v>870</v>
      </c>
      <c r="E180" s="242"/>
      <c r="F180" s="242"/>
      <c r="G180" s="244">
        <f>'A 3'!E111</f>
        <v>29.505208333333332</v>
      </c>
      <c r="H180" s="244"/>
    </row>
    <row r="181" spans="1:8">
      <c r="A181" s="381">
        <f t="shared" si="3"/>
        <v>31</v>
      </c>
      <c r="B181" s="489"/>
      <c r="C181" s="354"/>
      <c r="D181" s="242" t="s">
        <v>392</v>
      </c>
      <c r="E181" s="242"/>
      <c r="F181" s="242"/>
      <c r="G181" s="244">
        <f>'A 3'!E112</f>
        <v>787.40990990990997</v>
      </c>
    </row>
    <row r="182" spans="1:8">
      <c r="A182" s="381">
        <f t="shared" si="3"/>
        <v>32</v>
      </c>
      <c r="B182" s="489"/>
      <c r="C182" s="354"/>
      <c r="D182" s="242" t="s">
        <v>393</v>
      </c>
      <c r="E182" s="242"/>
      <c r="F182" s="242"/>
      <c r="G182" s="244">
        <f>'A 3'!E113</f>
        <v>7125.6337209302337</v>
      </c>
      <c r="H182" s="244"/>
    </row>
    <row r="183" spans="1:8">
      <c r="A183" s="381">
        <f t="shared" si="3"/>
        <v>33</v>
      </c>
      <c r="B183" s="489"/>
      <c r="C183" s="354"/>
      <c r="D183" s="242" t="s">
        <v>394</v>
      </c>
      <c r="E183" s="242"/>
      <c r="F183" s="242"/>
      <c r="G183" s="244">
        <f>'A 3'!E114</f>
        <v>8632.1124999999993</v>
      </c>
      <c r="H183" s="244"/>
    </row>
    <row r="184" spans="1:8">
      <c r="A184" s="381">
        <f t="shared" si="3"/>
        <v>34</v>
      </c>
      <c r="B184" s="489"/>
      <c r="C184" s="354"/>
      <c r="D184" s="242" t="s">
        <v>395</v>
      </c>
      <c r="E184" s="242"/>
      <c r="F184" s="242"/>
      <c r="G184" s="244">
        <f>'A 3'!E115</f>
        <v>10690.399999999998</v>
      </c>
    </row>
    <row r="185" spans="1:8">
      <c r="A185" s="381">
        <f t="shared" si="3"/>
        <v>35</v>
      </c>
      <c r="B185" s="489"/>
      <c r="C185" s="354"/>
      <c r="D185" s="242" t="s">
        <v>396</v>
      </c>
      <c r="E185" s="242"/>
      <c r="F185" s="242"/>
      <c r="G185" s="244">
        <f>'A 3'!E116</f>
        <v>2327.9259259259261</v>
      </c>
    </row>
    <row r="186" spans="1:8">
      <c r="A186" s="381">
        <f t="shared" si="3"/>
        <v>36</v>
      </c>
      <c r="B186" s="489"/>
      <c r="C186" s="354"/>
      <c r="D186" s="242" t="s">
        <v>11</v>
      </c>
      <c r="E186" s="242"/>
      <c r="F186" s="242"/>
      <c r="G186" s="244">
        <f>'A 3'!E117</f>
        <v>3634.0555555555561</v>
      </c>
    </row>
    <row r="187" spans="1:8">
      <c r="A187" s="381">
        <f t="shared" si="3"/>
        <v>37</v>
      </c>
      <c r="B187" s="489"/>
      <c r="C187" s="354"/>
      <c r="D187" s="242" t="s">
        <v>655</v>
      </c>
      <c r="E187" s="242"/>
      <c r="F187" s="242"/>
      <c r="G187" s="244">
        <f>'A 3'!E118</f>
        <v>20365.065104166668</v>
      </c>
    </row>
    <row r="188" spans="1:8">
      <c r="A188" s="381">
        <f t="shared" si="3"/>
        <v>38</v>
      </c>
      <c r="B188" s="489"/>
      <c r="C188" s="354"/>
      <c r="D188" s="242" t="s">
        <v>399</v>
      </c>
      <c r="E188" s="242"/>
      <c r="F188" s="242"/>
      <c r="G188" s="244">
        <f>'A 3'!E119</f>
        <v>32104.161536666659</v>
      </c>
    </row>
    <row r="189" spans="1:8">
      <c r="A189" s="381">
        <f t="shared" si="3"/>
        <v>39</v>
      </c>
      <c r="B189" s="489"/>
      <c r="C189" s="354"/>
      <c r="D189" s="242" t="s">
        <v>400</v>
      </c>
      <c r="E189" s="242"/>
      <c r="F189" s="242"/>
      <c r="G189" s="244">
        <f>'A 3'!E120</f>
        <v>6107.2690466666481</v>
      </c>
    </row>
    <row r="190" spans="1:8">
      <c r="A190" s="381">
        <f t="shared" si="3"/>
        <v>40</v>
      </c>
      <c r="B190" s="489"/>
      <c r="C190" s="354"/>
      <c r="D190" s="242" t="s">
        <v>402</v>
      </c>
      <c r="E190" s="242"/>
      <c r="F190" s="242"/>
      <c r="G190" s="244">
        <f>'A 3'!E121</f>
        <v>339.71354166666663</v>
      </c>
    </row>
    <row r="191" spans="1:8">
      <c r="A191" s="381">
        <f t="shared" si="3"/>
        <v>41</v>
      </c>
      <c r="B191" s="489"/>
      <c r="C191" s="354"/>
      <c r="D191" s="242" t="s">
        <v>403</v>
      </c>
      <c r="E191" s="242"/>
      <c r="F191" s="242"/>
      <c r="G191" s="244">
        <f>'A 3'!E122</f>
        <v>108.47222222222223</v>
      </c>
    </row>
    <row r="192" spans="1:8">
      <c r="A192" s="381">
        <f t="shared" si="3"/>
        <v>42</v>
      </c>
      <c r="B192" s="489"/>
      <c r="C192" s="354"/>
      <c r="D192" s="242" t="s">
        <v>109</v>
      </c>
      <c r="E192" s="242"/>
      <c r="F192" s="242"/>
      <c r="G192" s="244">
        <f>'A 3'!E123</f>
        <v>1511.2638888888885</v>
      </c>
    </row>
    <row r="193" spans="1:10">
      <c r="A193" s="381">
        <f t="shared" si="3"/>
        <v>43</v>
      </c>
      <c r="B193" s="489"/>
      <c r="C193" s="354"/>
      <c r="D193" s="242" t="s">
        <v>110</v>
      </c>
      <c r="E193" s="242"/>
      <c r="F193" s="242"/>
      <c r="G193" s="244">
        <f>'A 3'!E124</f>
        <v>235.89166666666671</v>
      </c>
    </row>
    <row r="194" spans="1:10">
      <c r="A194" s="381">
        <f t="shared" si="3"/>
        <v>44</v>
      </c>
      <c r="B194" s="489"/>
      <c r="C194" s="354"/>
      <c r="D194" s="242" t="s">
        <v>868</v>
      </c>
      <c r="E194" s="242"/>
      <c r="F194" s="242"/>
      <c r="G194" s="244"/>
      <c r="H194" s="244">
        <f>'A 3'!F125</f>
        <v>909.49192500000004</v>
      </c>
    </row>
    <row r="195" spans="1:10">
      <c r="A195" s="381">
        <f t="shared" si="3"/>
        <v>45</v>
      </c>
      <c r="B195" s="489"/>
      <c r="C195" s="354"/>
      <c r="D195" s="670" t="s">
        <v>208</v>
      </c>
      <c r="E195" s="242"/>
      <c r="F195" s="242"/>
      <c r="G195" s="244"/>
      <c r="H195" s="244">
        <f>'A 3'!F126</f>
        <v>-5.5625</v>
      </c>
    </row>
    <row r="196" spans="1:10">
      <c r="A196" s="381">
        <f t="shared" si="3"/>
        <v>46</v>
      </c>
      <c r="B196" s="489"/>
      <c r="C196" s="354"/>
      <c r="D196" s="242" t="s">
        <v>867</v>
      </c>
      <c r="E196" s="242"/>
      <c r="F196" s="242"/>
      <c r="G196" s="379"/>
      <c r="H196" s="244">
        <f>'A 3'!F127</f>
        <v>1975.6388888888891</v>
      </c>
    </row>
    <row r="197" spans="1:10">
      <c r="A197" s="381">
        <f t="shared" si="3"/>
        <v>47</v>
      </c>
      <c r="B197" s="489"/>
      <c r="C197" s="354"/>
      <c r="D197" s="242" t="s">
        <v>364</v>
      </c>
      <c r="E197" s="242"/>
      <c r="F197" s="242"/>
      <c r="G197" s="379"/>
      <c r="H197" s="244">
        <f>'A 3'!F128</f>
        <v>16738.246296296293</v>
      </c>
    </row>
    <row r="198" spans="1:10">
      <c r="A198" s="381">
        <f t="shared" si="3"/>
        <v>48</v>
      </c>
      <c r="B198" s="489"/>
      <c r="C198" s="354"/>
      <c r="D198" s="242" t="s">
        <v>366</v>
      </c>
      <c r="E198" s="242"/>
      <c r="F198" s="242"/>
      <c r="G198" s="379"/>
      <c r="H198" s="244">
        <f>'A 3'!F129</f>
        <v>4276.3837719298244</v>
      </c>
    </row>
    <row r="199" spans="1:10">
      <c r="A199" s="381">
        <f t="shared" si="3"/>
        <v>49</v>
      </c>
      <c r="B199" s="489"/>
      <c r="C199" s="354"/>
      <c r="D199" s="242" t="s">
        <v>367</v>
      </c>
      <c r="E199" s="242"/>
      <c r="F199" s="242"/>
      <c r="G199" s="380"/>
      <c r="H199" s="244">
        <f>'A 3'!F130</f>
        <v>941.6</v>
      </c>
    </row>
    <row r="200" spans="1:10">
      <c r="A200" s="381">
        <f t="shared" si="3"/>
        <v>50</v>
      </c>
      <c r="B200" s="489"/>
      <c r="C200" s="354"/>
      <c r="D200" s="242" t="s">
        <v>369</v>
      </c>
      <c r="E200" s="242"/>
      <c r="F200" s="242"/>
      <c r="G200" s="379"/>
      <c r="H200" s="244">
        <f>'A 3'!F131</f>
        <v>1449.7083333333335</v>
      </c>
    </row>
    <row r="201" spans="1:10">
      <c r="A201" s="381">
        <f t="shared" si="3"/>
        <v>51</v>
      </c>
      <c r="B201" s="489"/>
      <c r="C201" s="354"/>
      <c r="D201" s="242" t="s">
        <v>871</v>
      </c>
      <c r="E201" s="242"/>
      <c r="F201" s="242"/>
      <c r="H201" s="244">
        <f>'A 3'!F132</f>
        <v>11663.731116666668</v>
      </c>
    </row>
    <row r="202" spans="1:10">
      <c r="A202" s="381">
        <f t="shared" si="3"/>
        <v>52</v>
      </c>
      <c r="B202" s="489"/>
      <c r="C202" s="354"/>
      <c r="D202" s="242" t="s">
        <v>209</v>
      </c>
      <c r="E202" s="242"/>
      <c r="F202" s="242"/>
      <c r="G202" s="244"/>
      <c r="H202" s="244">
        <f>'A 3'!F133</f>
        <v>9172.3125</v>
      </c>
    </row>
    <row r="203" spans="1:10">
      <c r="A203" s="381">
        <f t="shared" si="3"/>
        <v>53</v>
      </c>
      <c r="B203" s="489"/>
      <c r="C203" s="354"/>
      <c r="D203" s="670" t="s">
        <v>373</v>
      </c>
      <c r="E203" s="242"/>
      <c r="F203" s="242"/>
      <c r="G203" s="244"/>
      <c r="H203" s="244">
        <f>'A 3'!F134</f>
        <v>43.750000000000007</v>
      </c>
    </row>
    <row r="204" spans="1:10">
      <c r="A204" s="381">
        <f t="shared" si="3"/>
        <v>54</v>
      </c>
      <c r="B204" s="489"/>
      <c r="C204" s="354"/>
      <c r="D204" s="242" t="s">
        <v>374</v>
      </c>
      <c r="E204" s="242"/>
      <c r="F204" s="242"/>
      <c r="G204" s="248"/>
      <c r="H204" s="244">
        <f>'A 3'!F135</f>
        <v>15252.351851851852</v>
      </c>
    </row>
    <row r="205" spans="1:10" ht="12" customHeight="1">
      <c r="A205" s="381">
        <f t="shared" si="3"/>
        <v>55</v>
      </c>
      <c r="B205" s="489"/>
      <c r="C205" s="354"/>
      <c r="D205" s="242" t="s">
        <v>104</v>
      </c>
      <c r="E205" s="242"/>
      <c r="F205" s="242"/>
      <c r="G205" s="248"/>
      <c r="H205" s="244">
        <f>'A 3'!F136</f>
        <v>2760.6208750000005</v>
      </c>
    </row>
    <row r="206" spans="1:10" ht="12.75" customHeight="1">
      <c r="A206" s="381">
        <f t="shared" si="3"/>
        <v>56</v>
      </c>
      <c r="B206" s="489"/>
      <c r="C206" s="354"/>
      <c r="D206" s="242" t="s">
        <v>210</v>
      </c>
      <c r="E206" s="242"/>
      <c r="F206" s="242"/>
      <c r="G206" s="248"/>
      <c r="H206" s="244">
        <f>'A 3'!F137</f>
        <v>36.558333333333337</v>
      </c>
      <c r="J206" s="242"/>
    </row>
    <row r="207" spans="1:10" ht="12.75" customHeight="1">
      <c r="A207" s="381">
        <f t="shared" si="3"/>
        <v>57</v>
      </c>
      <c r="B207" s="489"/>
      <c r="C207" s="354"/>
      <c r="D207" s="242" t="s">
        <v>105</v>
      </c>
      <c r="E207" s="242"/>
      <c r="F207" s="242"/>
      <c r="G207" s="248"/>
      <c r="H207" s="244">
        <f>'A 3'!F138</f>
        <v>17748.912037037036</v>
      </c>
      <c r="J207" s="242"/>
    </row>
    <row r="208" spans="1:10" ht="12.75" customHeight="1">
      <c r="A208" s="381">
        <f t="shared" si="3"/>
        <v>58</v>
      </c>
      <c r="B208" s="489"/>
      <c r="C208" s="354"/>
      <c r="D208" s="242" t="s">
        <v>106</v>
      </c>
      <c r="E208" s="242"/>
      <c r="F208" s="242"/>
      <c r="G208" s="248"/>
      <c r="H208" s="244">
        <f>'A 3'!F139</f>
        <v>624.34761904761899</v>
      </c>
      <c r="J208" s="242"/>
    </row>
    <row r="209" spans="1:13" ht="12.75" customHeight="1">
      <c r="A209" s="381">
        <f t="shared" si="3"/>
        <v>59</v>
      </c>
      <c r="B209" s="489"/>
      <c r="C209" s="354"/>
      <c r="D209" s="242" t="s">
        <v>107</v>
      </c>
      <c r="E209" s="242"/>
      <c r="F209" s="242"/>
      <c r="G209" s="248"/>
      <c r="H209" s="244">
        <f>'A 3'!F140</f>
        <v>16.261111111111113</v>
      </c>
      <c r="J209" s="242"/>
    </row>
    <row r="210" spans="1:13" ht="12.75" customHeight="1">
      <c r="A210" s="381">
        <f t="shared" si="3"/>
        <v>60</v>
      </c>
      <c r="B210" s="489"/>
      <c r="C210" s="354"/>
      <c r="D210" s="242" t="s">
        <v>108</v>
      </c>
      <c r="E210" s="242"/>
      <c r="F210" s="242"/>
      <c r="G210" s="248"/>
      <c r="H210" s="244">
        <f>'A 3'!F141</f>
        <v>-222.7</v>
      </c>
      <c r="J210" s="242"/>
    </row>
    <row r="211" spans="1:13">
      <c r="A211" s="381">
        <f t="shared" si="3"/>
        <v>61</v>
      </c>
      <c r="B211" s="489"/>
      <c r="C211" s="354"/>
      <c r="D211" s="242" t="s">
        <v>16</v>
      </c>
      <c r="E211" s="242"/>
      <c r="F211" s="242"/>
      <c r="G211" s="248"/>
      <c r="H211" s="244">
        <f>'A 3'!F142</f>
        <v>210.25925925925932</v>
      </c>
      <c r="J211" s="242"/>
    </row>
    <row r="212" spans="1:13">
      <c r="A212" s="381">
        <f t="shared" si="3"/>
        <v>62</v>
      </c>
      <c r="B212" s="489"/>
      <c r="C212" s="354"/>
      <c r="D212" s="242" t="s">
        <v>507</v>
      </c>
      <c r="E212" s="242"/>
      <c r="F212" s="242"/>
      <c r="G212" s="248"/>
      <c r="H212" s="244">
        <f>'A 3'!F143</f>
        <v>-76.427927927927925</v>
      </c>
      <c r="I212" s="242"/>
      <c r="J212" s="242"/>
    </row>
    <row r="213" spans="1:13">
      <c r="A213" s="381">
        <f t="shared" si="3"/>
        <v>63</v>
      </c>
      <c r="B213" s="489"/>
      <c r="C213" s="354"/>
      <c r="D213" s="288" t="s">
        <v>1040</v>
      </c>
      <c r="E213" s="242"/>
      <c r="F213" s="242"/>
      <c r="G213" s="248"/>
      <c r="H213" s="244"/>
      <c r="I213" s="242"/>
      <c r="J213" s="242"/>
    </row>
    <row r="214" spans="1:13">
      <c r="A214" s="381"/>
      <c r="B214" s="489"/>
      <c r="C214" s="354"/>
      <c r="D214" s="288"/>
      <c r="E214" s="242"/>
      <c r="F214" s="242"/>
      <c r="G214" s="248"/>
      <c r="H214" s="244"/>
      <c r="I214" s="242"/>
      <c r="J214" s="242"/>
    </row>
    <row r="215" spans="1:13">
      <c r="A215" s="246" t="s">
        <v>8</v>
      </c>
      <c r="B215" s="446"/>
      <c r="C215" s="446"/>
      <c r="D215" s="446"/>
      <c r="E215" s="446"/>
      <c r="F215" s="446"/>
      <c r="H215" s="289" t="s">
        <v>84</v>
      </c>
      <c r="J215" s="244"/>
      <c r="K215" s="244"/>
      <c r="L215" s="244"/>
      <c r="M215" s="244"/>
    </row>
    <row r="216" spans="1:13">
      <c r="A216" s="246" t="s">
        <v>565</v>
      </c>
      <c r="B216" s="446"/>
      <c r="C216" s="446"/>
      <c r="D216" s="446"/>
      <c r="E216" s="446"/>
      <c r="F216" s="446"/>
      <c r="H216" s="289" t="s">
        <v>9</v>
      </c>
      <c r="J216" s="244"/>
      <c r="K216" s="244"/>
      <c r="L216" s="244"/>
      <c r="M216" s="244"/>
    </row>
    <row r="217" spans="1:13">
      <c r="A217" s="246" t="s">
        <v>566</v>
      </c>
      <c r="B217" s="57"/>
      <c r="C217" s="461"/>
      <c r="D217" s="461"/>
      <c r="E217" s="461"/>
      <c r="F217" s="446"/>
      <c r="H217" s="351" t="s">
        <v>1222</v>
      </c>
      <c r="J217" s="244"/>
      <c r="K217" s="244"/>
      <c r="L217" s="244"/>
      <c r="M217" s="244"/>
    </row>
    <row r="218" spans="1:13">
      <c r="A218" s="246" t="s">
        <v>86</v>
      </c>
      <c r="B218" s="446"/>
      <c r="C218" s="446"/>
      <c r="D218" s="446"/>
      <c r="E218" s="446"/>
      <c r="F218" s="446"/>
      <c r="H218" s="260" t="s">
        <v>705</v>
      </c>
    </row>
    <row r="219" spans="1:13">
      <c r="A219" s="272" t="s">
        <v>285</v>
      </c>
      <c r="B219" s="57"/>
      <c r="C219" s="446"/>
      <c r="D219" s="446"/>
      <c r="E219" s="446"/>
      <c r="F219" s="446"/>
      <c r="H219" s="260" t="s">
        <v>558</v>
      </c>
      <c r="J219" s="244"/>
    </row>
    <row r="220" spans="1:13" ht="12.75" customHeight="1">
      <c r="A220" s="1012" t="s">
        <v>79</v>
      </c>
      <c r="B220" s="1012"/>
      <c r="C220" s="1012"/>
      <c r="D220" s="1012"/>
      <c r="E220" s="1012"/>
      <c r="F220" s="1012"/>
      <c r="G220" s="1012"/>
      <c r="H220" s="1012"/>
    </row>
    <row r="221" spans="1:13" ht="12.75" thickBot="1">
      <c r="A221" s="1012"/>
      <c r="B221" s="1012"/>
      <c r="C221" s="1012"/>
      <c r="D221" s="1012"/>
      <c r="E221" s="1012"/>
      <c r="F221" s="1012"/>
      <c r="G221" s="1012"/>
      <c r="H221" s="1012"/>
    </row>
    <row r="222" spans="1:13">
      <c r="A222" s="624" t="s">
        <v>289</v>
      </c>
      <c r="B222" s="625"/>
      <c r="C222" s="626"/>
      <c r="D222" s="626"/>
      <c r="E222" s="626"/>
      <c r="F222" s="626"/>
      <c r="G222" s="627"/>
      <c r="H222" s="628"/>
    </row>
    <row r="223" spans="1:13" ht="14.25">
      <c r="A223" s="353" t="s">
        <v>351</v>
      </c>
      <c r="B223" s="629" t="s">
        <v>352</v>
      </c>
      <c r="C223" s="629"/>
      <c r="D223" s="629"/>
      <c r="E223" s="629"/>
      <c r="F223" s="629"/>
      <c r="G223" s="353" t="s">
        <v>251</v>
      </c>
      <c r="H223" s="353" t="s">
        <v>252</v>
      </c>
    </row>
    <row r="224" spans="1:13">
      <c r="A224" s="381">
        <f>A223+1</f>
        <v>1</v>
      </c>
      <c r="B224" s="489"/>
      <c r="C224" s="354" t="s">
        <v>1042</v>
      </c>
      <c r="D224" s="242"/>
      <c r="E224" s="242"/>
      <c r="F224" s="446"/>
      <c r="G224" s="302"/>
      <c r="H224" s="302"/>
    </row>
    <row r="225" spans="1:10">
      <c r="A225" s="381">
        <f t="shared" ref="A225:A279" si="4">A224+1</f>
        <v>2</v>
      </c>
      <c r="B225" s="489"/>
      <c r="C225" s="354"/>
      <c r="D225" s="242" t="s">
        <v>17</v>
      </c>
      <c r="E225" s="242"/>
      <c r="F225" s="242"/>
      <c r="G225" s="248"/>
      <c r="H225" s="244">
        <f>'A 3'!F144</f>
        <v>2.0972222222222214</v>
      </c>
      <c r="I225" s="242"/>
      <c r="J225" s="242"/>
    </row>
    <row r="226" spans="1:10">
      <c r="A226" s="381">
        <f t="shared" si="4"/>
        <v>3</v>
      </c>
      <c r="B226" s="489"/>
      <c r="C226" s="354"/>
      <c r="D226" s="242" t="s">
        <v>23</v>
      </c>
      <c r="E226" s="242"/>
      <c r="F226" s="242"/>
      <c r="G226" s="248"/>
      <c r="H226" s="244">
        <f>'A 3'!F160</f>
        <v>33.034541666666669</v>
      </c>
      <c r="I226" s="242"/>
      <c r="J226" s="242"/>
    </row>
    <row r="227" spans="1:10">
      <c r="A227" s="381">
        <f t="shared" si="4"/>
        <v>4</v>
      </c>
      <c r="B227" s="489"/>
      <c r="C227" s="354"/>
      <c r="D227" s="242" t="s">
        <v>25</v>
      </c>
      <c r="E227" s="242"/>
      <c r="F227" s="242"/>
      <c r="G227" s="248"/>
      <c r="H227" s="244">
        <f>'A 3'!F161</f>
        <v>5892.3520833333332</v>
      </c>
    </row>
    <row r="228" spans="1:10">
      <c r="A228" s="381">
        <f t="shared" si="4"/>
        <v>5</v>
      </c>
      <c r="B228" s="489"/>
      <c r="C228" s="354"/>
      <c r="D228" s="242" t="s">
        <v>26</v>
      </c>
      <c r="E228" s="242"/>
      <c r="F228" s="242"/>
      <c r="G228" s="248"/>
      <c r="H228" s="244">
        <f>'A 3'!F162</f>
        <v>150.17916666666665</v>
      </c>
    </row>
    <row r="229" spans="1:10">
      <c r="A229" s="381">
        <f t="shared" si="4"/>
        <v>6</v>
      </c>
      <c r="B229" s="489"/>
      <c r="C229" s="354"/>
      <c r="D229" s="242" t="s">
        <v>27</v>
      </c>
      <c r="E229" s="242"/>
      <c r="F229" s="242"/>
      <c r="G229" s="248"/>
      <c r="H229" s="244">
        <f>'A 3'!F163</f>
        <v>455.76388888888886</v>
      </c>
    </row>
    <row r="230" spans="1:10">
      <c r="A230" s="381">
        <f t="shared" si="4"/>
        <v>7</v>
      </c>
      <c r="B230" s="489"/>
      <c r="C230" s="354"/>
      <c r="D230" s="242" t="s">
        <v>28</v>
      </c>
      <c r="E230" s="242"/>
      <c r="F230" s="242"/>
      <c r="G230" s="248"/>
      <c r="H230" s="244">
        <f>'A 3'!F164</f>
        <v>1283.7519379844962</v>
      </c>
    </row>
    <row r="231" spans="1:10">
      <c r="A231" s="381">
        <f t="shared" si="4"/>
        <v>8</v>
      </c>
      <c r="B231" s="489"/>
      <c r="C231" s="354"/>
      <c r="D231" s="242" t="s">
        <v>141</v>
      </c>
      <c r="E231" s="242"/>
      <c r="F231" s="242"/>
      <c r="G231" s="248"/>
      <c r="H231" s="244">
        <f>'A 3'!F165</f>
        <v>1668.8638333333333</v>
      </c>
    </row>
    <row r="232" spans="1:10">
      <c r="A232" s="381">
        <f t="shared" si="4"/>
        <v>9</v>
      </c>
      <c r="B232" s="489"/>
      <c r="C232" s="354"/>
      <c r="D232" s="242" t="s">
        <v>142</v>
      </c>
      <c r="E232" s="242"/>
      <c r="F232" s="242"/>
      <c r="G232" s="248"/>
      <c r="H232" s="244">
        <f>'A 3'!F166</f>
        <v>20415.766241111116</v>
      </c>
    </row>
    <row r="233" spans="1:10">
      <c r="A233" s="381">
        <f t="shared" si="4"/>
        <v>10</v>
      </c>
      <c r="B233" s="489"/>
      <c r="C233" s="354"/>
      <c r="D233" s="242" t="s">
        <v>143</v>
      </c>
      <c r="E233" s="242"/>
      <c r="F233" s="242"/>
      <c r="G233" s="248"/>
      <c r="H233" s="244">
        <f>'A 3'!F167</f>
        <v>5070.3591277777896</v>
      </c>
    </row>
    <row r="234" spans="1:10">
      <c r="A234" s="381">
        <f t="shared" si="4"/>
        <v>11</v>
      </c>
      <c r="B234" s="489"/>
      <c r="C234" s="354"/>
      <c r="D234" s="242" t="s">
        <v>145</v>
      </c>
      <c r="E234" s="242"/>
      <c r="F234" s="242"/>
      <c r="G234" s="248"/>
      <c r="H234" s="244">
        <f>'A 3'!F168</f>
        <v>-56.036458333333329</v>
      </c>
    </row>
    <row r="235" spans="1:10">
      <c r="A235" s="381">
        <f t="shared" si="4"/>
        <v>12</v>
      </c>
      <c r="B235" s="489"/>
      <c r="C235" s="354"/>
      <c r="D235" s="242" t="s">
        <v>146</v>
      </c>
      <c r="E235" s="242"/>
      <c r="F235" s="242"/>
      <c r="G235" s="248"/>
      <c r="H235" s="244">
        <f>'A 3'!F169</f>
        <v>331.36666666666667</v>
      </c>
    </row>
    <row r="236" spans="1:10">
      <c r="A236" s="381">
        <f t="shared" si="4"/>
        <v>13</v>
      </c>
      <c r="B236" s="489"/>
      <c r="C236" s="354"/>
      <c r="D236" s="242" t="s">
        <v>147</v>
      </c>
      <c r="E236" s="242"/>
      <c r="F236" s="242"/>
      <c r="G236" s="248"/>
      <c r="H236" s="244">
        <f>'A 3'!F170</f>
        <v>731.66666666666674</v>
      </c>
    </row>
    <row r="237" spans="1:10">
      <c r="A237" s="381">
        <f t="shared" si="4"/>
        <v>14</v>
      </c>
      <c r="B237" s="489"/>
      <c r="C237" s="354"/>
      <c r="D237" s="242" t="s">
        <v>148</v>
      </c>
      <c r="E237" s="242"/>
      <c r="F237" s="242"/>
      <c r="G237" s="248"/>
      <c r="H237" s="244">
        <f>'A 3'!F171</f>
        <v>4608.7416666666668</v>
      </c>
    </row>
    <row r="238" spans="1:10">
      <c r="A238" s="381">
        <f t="shared" si="4"/>
        <v>15</v>
      </c>
      <c r="B238" s="489"/>
      <c r="C238" s="354"/>
      <c r="D238" s="242" t="s">
        <v>149</v>
      </c>
      <c r="E238" s="242"/>
      <c r="F238" s="242"/>
      <c r="G238" s="248"/>
      <c r="H238" s="244">
        <f>'A 3'!F172</f>
        <v>-243.29444444444448</v>
      </c>
    </row>
    <row r="239" spans="1:10">
      <c r="A239" s="381">
        <f t="shared" si="4"/>
        <v>16</v>
      </c>
      <c r="B239" s="489"/>
      <c r="C239" s="354"/>
      <c r="D239" s="242" t="s">
        <v>197</v>
      </c>
      <c r="E239" s="242"/>
      <c r="F239" s="242"/>
      <c r="G239" s="248"/>
      <c r="H239" s="244">
        <f>'A 3'!F173</f>
        <v>364.85833333333335</v>
      </c>
    </row>
    <row r="240" spans="1:10">
      <c r="A240" s="381">
        <f t="shared" si="4"/>
        <v>17</v>
      </c>
      <c r="B240" s="489"/>
      <c r="C240" s="354"/>
      <c r="D240" s="242"/>
      <c r="E240" s="242"/>
      <c r="F240" s="550" t="s">
        <v>1043</v>
      </c>
      <c r="G240" s="300">
        <f>SUM(G172:G212)</f>
        <v>137408.35521089664</v>
      </c>
      <c r="H240" s="300">
        <f>SUM(H225:H239)+SUM(H172:H212)</f>
        <v>124224.95396436736</v>
      </c>
      <c r="I240" s="244">
        <f>124225-H240</f>
        <v>4.6035632636630908E-2</v>
      </c>
    </row>
    <row r="241" spans="1:11">
      <c r="A241" s="381">
        <f t="shared" si="4"/>
        <v>18</v>
      </c>
      <c r="B241" s="489"/>
      <c r="C241" s="522"/>
      <c r="D241" s="242"/>
      <c r="E241" s="242"/>
      <c r="F241" s="446"/>
      <c r="G241" s="302"/>
      <c r="H241" s="302"/>
    </row>
    <row r="242" spans="1:11">
      <c r="A242" s="381">
        <f t="shared" si="4"/>
        <v>19</v>
      </c>
      <c r="B242" s="489" t="s">
        <v>203</v>
      </c>
      <c r="C242" s="354" t="s">
        <v>905</v>
      </c>
      <c r="D242" s="671"/>
      <c r="E242" s="671"/>
      <c r="F242" s="671"/>
      <c r="G242" s="244"/>
      <c r="H242" s="244"/>
    </row>
    <row r="243" spans="1:11" s="349" customFormat="1">
      <c r="A243" s="381">
        <f t="shared" si="4"/>
        <v>20</v>
      </c>
      <c r="B243" s="379"/>
      <c r="C243" s="379"/>
      <c r="D243" s="242" t="s">
        <v>378</v>
      </c>
      <c r="E243" s="242"/>
      <c r="F243" s="379"/>
      <c r="G243" s="380" t="e">
        <f>+'A 3'!E177</f>
        <v>#REF!</v>
      </c>
      <c r="H243" s="380"/>
      <c r="J243" s="672"/>
    </row>
    <row r="244" spans="1:11" s="349" customFormat="1">
      <c r="A244" s="381">
        <f t="shared" si="4"/>
        <v>21</v>
      </c>
      <c r="B244" s="379"/>
      <c r="C244" s="379"/>
      <c r="D244" s="242" t="s">
        <v>380</v>
      </c>
      <c r="E244" s="379"/>
      <c r="F244" s="379"/>
      <c r="G244" s="380" t="e">
        <f>+'A 3'!E178</f>
        <v>#REF!</v>
      </c>
      <c r="H244" s="380"/>
    </row>
    <row r="245" spans="1:11" s="349" customFormat="1">
      <c r="A245" s="381">
        <f t="shared" si="4"/>
        <v>22</v>
      </c>
      <c r="B245" s="379"/>
      <c r="C245" s="379"/>
      <c r="D245" s="242" t="s">
        <v>381</v>
      </c>
      <c r="E245" s="379"/>
      <c r="F245" s="379"/>
      <c r="G245" s="380" t="e">
        <f>+'A 3'!E179</f>
        <v>#REF!</v>
      </c>
      <c r="H245" s="380"/>
      <c r="J245" s="672"/>
    </row>
    <row r="246" spans="1:11" s="349" customFormat="1">
      <c r="A246" s="381">
        <f t="shared" si="4"/>
        <v>23</v>
      </c>
      <c r="B246" s="379"/>
      <c r="C246" s="379"/>
      <c r="D246" s="242" t="s">
        <v>387</v>
      </c>
      <c r="E246" s="379"/>
      <c r="F246" s="379"/>
      <c r="G246" s="380" t="e">
        <f>+'A 3'!E180</f>
        <v>#REF!</v>
      </c>
      <c r="H246" s="380"/>
    </row>
    <row r="247" spans="1:11" s="349" customFormat="1">
      <c r="A247" s="381">
        <f t="shared" si="4"/>
        <v>24</v>
      </c>
      <c r="B247" s="379"/>
      <c r="C247" s="379"/>
      <c r="D247" s="242" t="s">
        <v>392</v>
      </c>
      <c r="E247" s="379"/>
      <c r="F247" s="379"/>
      <c r="G247" s="380" t="e">
        <f>+'A 3'!E181</f>
        <v>#REF!</v>
      </c>
      <c r="H247" s="380"/>
      <c r="J247" s="672"/>
    </row>
    <row r="248" spans="1:11" s="349" customFormat="1">
      <c r="A248" s="381">
        <f t="shared" si="4"/>
        <v>25</v>
      </c>
      <c r="B248" s="379"/>
      <c r="C248" s="379"/>
      <c r="D248" s="242" t="s">
        <v>393</v>
      </c>
      <c r="E248" s="379"/>
      <c r="F248" s="379"/>
      <c r="G248" s="380" t="e">
        <f>+'A 3'!E182</f>
        <v>#REF!</v>
      </c>
      <c r="H248" s="380"/>
      <c r="J248" s="672"/>
    </row>
    <row r="249" spans="1:11" s="349" customFormat="1">
      <c r="A249" s="381">
        <f t="shared" si="4"/>
        <v>26</v>
      </c>
      <c r="B249" s="379"/>
      <c r="C249" s="379"/>
      <c r="D249" s="288" t="s">
        <v>1214</v>
      </c>
      <c r="E249" s="379"/>
      <c r="F249" s="379"/>
      <c r="G249" s="380" t="e">
        <f>ROUND(('PF Adds'!#REF!+'PF Adds'!#REF!)*K3,0)</f>
        <v>#REF!</v>
      </c>
      <c r="H249" s="380" t="e">
        <f>ROUND(('PF Adds'!#REF!+'PF Adds'!#REF!)*L3,0)</f>
        <v>#REF!</v>
      </c>
      <c r="J249" s="672"/>
    </row>
    <row r="250" spans="1:11" s="349" customFormat="1">
      <c r="A250" s="381">
        <f t="shared" si="4"/>
        <v>27</v>
      </c>
      <c r="B250" s="379"/>
      <c r="C250" s="379"/>
      <c r="D250" s="242" t="s">
        <v>889</v>
      </c>
      <c r="E250" s="379"/>
      <c r="F250" s="379"/>
      <c r="G250" s="380"/>
      <c r="H250" s="380" t="e">
        <f>+'A 3'!F184</f>
        <v>#REF!</v>
      </c>
      <c r="J250" s="672"/>
    </row>
    <row r="251" spans="1:11" s="349" customFormat="1">
      <c r="A251" s="381">
        <f t="shared" si="4"/>
        <v>28</v>
      </c>
      <c r="B251" s="379"/>
      <c r="C251" s="379"/>
      <c r="D251" s="242" t="s">
        <v>209</v>
      </c>
      <c r="E251" s="379"/>
      <c r="F251" s="379"/>
      <c r="G251" s="380"/>
      <c r="H251" s="380" t="e">
        <f>+'A 3'!F185</f>
        <v>#REF!</v>
      </c>
    </row>
    <row r="252" spans="1:11" s="349" customFormat="1">
      <c r="A252" s="381">
        <f t="shared" si="4"/>
        <v>29</v>
      </c>
      <c r="B252" s="379"/>
      <c r="C252" s="379"/>
      <c r="D252" s="242" t="s">
        <v>363</v>
      </c>
      <c r="E252" s="379"/>
      <c r="F252" s="379"/>
      <c r="G252" s="380"/>
      <c r="H252" s="380" t="e">
        <f>+'A 3'!F186</f>
        <v>#REF!</v>
      </c>
    </row>
    <row r="253" spans="1:11" s="349" customFormat="1">
      <c r="A253" s="381">
        <f t="shared" si="4"/>
        <v>30</v>
      </c>
      <c r="B253" s="379"/>
      <c r="C253" s="379"/>
      <c r="D253" s="242" t="s">
        <v>364</v>
      </c>
      <c r="E253" s="379"/>
      <c r="F253" s="379"/>
      <c r="G253" s="380"/>
      <c r="H253" s="380" t="e">
        <f>+'A 3'!F187</f>
        <v>#REF!</v>
      </c>
      <c r="J253" s="672"/>
    </row>
    <row r="254" spans="1:11" s="243" customFormat="1">
      <c r="A254" s="381">
        <f t="shared" si="4"/>
        <v>31</v>
      </c>
      <c r="B254" s="471"/>
      <c r="C254" s="275"/>
      <c r="D254" s="242" t="s">
        <v>890</v>
      </c>
      <c r="E254" s="242"/>
      <c r="F254" s="242"/>
      <c r="G254" s="244"/>
      <c r="H254" s="380" t="e">
        <f>+'A 3'!F188</f>
        <v>#REF!</v>
      </c>
      <c r="I254" s="287"/>
      <c r="K254" s="263"/>
    </row>
    <row r="255" spans="1:11" s="243" customFormat="1">
      <c r="A255" s="381">
        <f t="shared" si="4"/>
        <v>32</v>
      </c>
      <c r="B255" s="471"/>
      <c r="C255" s="275"/>
      <c r="D255" s="242" t="s">
        <v>373</v>
      </c>
      <c r="E255" s="242"/>
      <c r="F255" s="242"/>
      <c r="G255" s="244"/>
      <c r="H255" s="380" t="e">
        <f>+'A 3'!F189</f>
        <v>#REF!</v>
      </c>
      <c r="I255" s="287"/>
      <c r="K255" s="263"/>
    </row>
    <row r="256" spans="1:11" s="243" customFormat="1">
      <c r="A256" s="381">
        <f t="shared" si="4"/>
        <v>33</v>
      </c>
      <c r="B256" s="471"/>
      <c r="C256" s="275"/>
      <c r="D256" s="242" t="s">
        <v>374</v>
      </c>
      <c r="E256" s="242"/>
      <c r="F256" s="242"/>
      <c r="G256" s="244"/>
      <c r="H256" s="380" t="e">
        <f>+'A 3'!F190</f>
        <v>#REF!</v>
      </c>
      <c r="I256" s="287"/>
      <c r="K256" s="263"/>
    </row>
    <row r="257" spans="1:21" s="243" customFormat="1">
      <c r="A257" s="381">
        <f t="shared" si="4"/>
        <v>34</v>
      </c>
      <c r="B257" s="471"/>
      <c r="C257" s="275"/>
      <c r="D257" s="242" t="s">
        <v>105</v>
      </c>
      <c r="E257" s="242"/>
      <c r="F257" s="242"/>
      <c r="G257" s="244"/>
      <c r="H257" s="380" t="e">
        <f>+'A 3'!F191</f>
        <v>#REF!</v>
      </c>
      <c r="I257" s="287"/>
      <c r="K257" s="263"/>
    </row>
    <row r="258" spans="1:21" s="243" customFormat="1">
      <c r="A258" s="381">
        <f t="shared" si="4"/>
        <v>35</v>
      </c>
      <c r="B258" s="471"/>
      <c r="C258" s="275"/>
      <c r="D258" s="242" t="s">
        <v>106</v>
      </c>
      <c r="E258" s="242"/>
      <c r="F258" s="242"/>
      <c r="G258" s="244"/>
      <c r="H258" s="380" t="e">
        <f>+'A 3'!F192</f>
        <v>#REF!</v>
      </c>
      <c r="I258" s="287"/>
      <c r="K258" s="263"/>
    </row>
    <row r="259" spans="1:21" s="243" customFormat="1">
      <c r="A259" s="381">
        <f t="shared" si="4"/>
        <v>36</v>
      </c>
      <c r="B259" s="471"/>
      <c r="C259" s="471"/>
      <c r="D259" s="242" t="s">
        <v>891</v>
      </c>
      <c r="E259" s="242"/>
      <c r="F259" s="242"/>
      <c r="G259" s="244"/>
      <c r="H259" s="380" t="e">
        <f>+'A 3'!F193</f>
        <v>#REF!</v>
      </c>
      <c r="I259" s="287"/>
    </row>
    <row r="260" spans="1:21" s="243" customFormat="1">
      <c r="A260" s="381">
        <f t="shared" si="4"/>
        <v>37</v>
      </c>
      <c r="B260" s="471"/>
      <c r="C260" s="471"/>
      <c r="D260" s="242"/>
      <c r="E260" s="242"/>
      <c r="F260" s="841" t="s">
        <v>906</v>
      </c>
      <c r="G260" s="673" t="e">
        <f>SUM(G243:G259)</f>
        <v>#REF!</v>
      </c>
      <c r="H260" s="673" t="e">
        <f>SUM(H243:H259)</f>
        <v>#REF!</v>
      </c>
      <c r="I260" s="287"/>
      <c r="K260" s="445" t="e">
        <f>SUM(G260:J260)</f>
        <v>#REF!</v>
      </c>
    </row>
    <row r="261" spans="1:21" s="243" customFormat="1">
      <c r="A261" s="381">
        <f t="shared" si="4"/>
        <v>38</v>
      </c>
      <c r="B261" s="471"/>
      <c r="C261" s="275"/>
      <c r="D261" s="242"/>
      <c r="E261" s="475"/>
      <c r="F261" s="244"/>
      <c r="G261" s="244"/>
      <c r="H261" s="244"/>
      <c r="O261" s="250"/>
      <c r="P261" s="250"/>
      <c r="Q261" s="250"/>
      <c r="R261" s="250"/>
      <c r="S261" s="250"/>
      <c r="T261" s="250"/>
      <c r="U261" s="250"/>
    </row>
    <row r="262" spans="1:21" s="243" customFormat="1">
      <c r="A262" s="381">
        <f t="shared" si="4"/>
        <v>39</v>
      </c>
      <c r="B262" s="489" t="s">
        <v>204</v>
      </c>
      <c r="C262" s="357" t="s">
        <v>907</v>
      </c>
      <c r="D262" s="242"/>
      <c r="E262" s="242"/>
      <c r="F262" s="244"/>
      <c r="G262" s="244"/>
      <c r="H262" s="244"/>
      <c r="O262" s="250"/>
      <c r="P262" s="250"/>
      <c r="Q262" s="250"/>
      <c r="R262" s="250"/>
      <c r="S262" s="250"/>
      <c r="T262" s="250"/>
      <c r="U262" s="250"/>
    </row>
    <row r="263" spans="1:21" s="349" customFormat="1">
      <c r="A263" s="381">
        <f t="shared" si="4"/>
        <v>40</v>
      </c>
      <c r="B263" s="379"/>
      <c r="C263" s="379"/>
      <c r="D263" s="242" t="s">
        <v>378</v>
      </c>
      <c r="E263" s="242"/>
      <c r="F263" s="379"/>
      <c r="G263" s="380">
        <f>-SUM(Retirements!O5:O7)</f>
        <v>-3545.8999999999996</v>
      </c>
      <c r="H263" s="380"/>
      <c r="J263" s="672"/>
    </row>
    <row r="264" spans="1:21" s="349" customFormat="1">
      <c r="A264" s="381">
        <f t="shared" si="4"/>
        <v>41</v>
      </c>
      <c r="B264" s="379"/>
      <c r="C264" s="379"/>
      <c r="D264" s="242" t="s">
        <v>381</v>
      </c>
      <c r="E264" s="242"/>
      <c r="F264" s="379"/>
      <c r="G264" s="380">
        <f>-Retirements!O8</f>
        <v>-931.33</v>
      </c>
      <c r="H264" s="380"/>
      <c r="J264" s="672"/>
    </row>
    <row r="265" spans="1:21" s="349" customFormat="1">
      <c r="A265" s="381">
        <f t="shared" si="4"/>
        <v>42</v>
      </c>
      <c r="B265" s="379"/>
      <c r="C265" s="379"/>
      <c r="D265" s="242" t="s">
        <v>387</v>
      </c>
      <c r="E265" s="242"/>
      <c r="F265" s="379"/>
      <c r="G265" s="380">
        <f>-Retirements!O9</f>
        <v>-1241.24</v>
      </c>
      <c r="H265" s="380"/>
    </row>
    <row r="266" spans="1:21" s="349" customFormat="1">
      <c r="A266" s="381">
        <f t="shared" si="4"/>
        <v>43</v>
      </c>
      <c r="B266" s="379"/>
      <c r="C266" s="379"/>
      <c r="D266" s="242" t="s">
        <v>392</v>
      </c>
      <c r="E266" s="242"/>
      <c r="F266" s="379"/>
      <c r="G266" s="380">
        <f>-Retirements!O10</f>
        <v>-577.28</v>
      </c>
      <c r="H266" s="380"/>
      <c r="J266" s="672"/>
    </row>
    <row r="267" spans="1:21" s="349" customFormat="1">
      <c r="A267" s="381">
        <f t="shared" si="4"/>
        <v>44</v>
      </c>
      <c r="B267" s="379"/>
      <c r="C267" s="379"/>
      <c r="D267" s="242" t="s">
        <v>393</v>
      </c>
      <c r="E267" s="242"/>
      <c r="F267" s="379"/>
      <c r="G267" s="380">
        <f>-SUM(Retirements!O11:O16)</f>
        <v>-11668.070000000002</v>
      </c>
      <c r="H267" s="380"/>
      <c r="J267" s="672"/>
    </row>
    <row r="268" spans="1:21" s="349" customFormat="1">
      <c r="A268" s="381">
        <f t="shared" si="4"/>
        <v>45</v>
      </c>
      <c r="B268" s="379"/>
      <c r="C268" s="379"/>
      <c r="D268" s="288" t="s">
        <v>1214</v>
      </c>
      <c r="E268" s="242"/>
      <c r="F268" s="379"/>
      <c r="G268" s="380">
        <f>-Retirements!O49*K3</f>
        <v>-1957.7683619999998</v>
      </c>
      <c r="H268" s="380">
        <f>-Retirements!O49*L3</f>
        <v>-1797.0616380000001</v>
      </c>
      <c r="J268" s="672"/>
    </row>
    <row r="269" spans="1:21" s="349" customFormat="1">
      <c r="A269" s="381">
        <f t="shared" si="4"/>
        <v>46</v>
      </c>
      <c r="B269" s="379"/>
      <c r="C269" s="379"/>
      <c r="D269" s="242" t="s">
        <v>889</v>
      </c>
      <c r="E269" s="242"/>
      <c r="F269" s="379"/>
      <c r="G269" s="380"/>
      <c r="H269" s="380">
        <f>-Retirements!O21</f>
        <v>-7731.27</v>
      </c>
      <c r="J269" s="672"/>
    </row>
    <row r="270" spans="1:21" s="349" customFormat="1">
      <c r="A270" s="381">
        <f t="shared" si="4"/>
        <v>47</v>
      </c>
      <c r="B270" s="379"/>
      <c r="C270" s="379"/>
      <c r="D270" s="242" t="s">
        <v>363</v>
      </c>
      <c r="E270" s="242"/>
      <c r="F270" s="379"/>
      <c r="G270" s="380"/>
      <c r="H270" s="380">
        <f>-SUM(Retirements!O22:O27)</f>
        <v>-30181.430000000004</v>
      </c>
    </row>
    <row r="271" spans="1:21" s="349" customFormat="1">
      <c r="A271" s="381">
        <f t="shared" si="4"/>
        <v>48</v>
      </c>
      <c r="B271" s="379"/>
      <c r="C271" s="379"/>
      <c r="D271" s="242" t="s">
        <v>364</v>
      </c>
      <c r="E271" s="242"/>
      <c r="F271" s="379"/>
      <c r="G271" s="380"/>
      <c r="H271" s="380">
        <f>-SUM(Retirements!O28:O30)</f>
        <v>-2731.52</v>
      </c>
      <c r="J271" s="672"/>
    </row>
    <row r="272" spans="1:21" s="243" customFormat="1">
      <c r="A272" s="381">
        <f t="shared" si="4"/>
        <v>49</v>
      </c>
      <c r="B272" s="471"/>
      <c r="C272" s="275"/>
      <c r="D272" s="242" t="s">
        <v>890</v>
      </c>
      <c r="E272" s="242"/>
      <c r="F272" s="242"/>
      <c r="G272" s="244"/>
      <c r="H272" s="380">
        <f>-SUM(Retirements!O31:O33)</f>
        <v>-3159.2500000000005</v>
      </c>
      <c r="I272" s="287"/>
      <c r="K272" s="263"/>
    </row>
    <row r="273" spans="1:13" s="243" customFormat="1">
      <c r="A273" s="381">
        <f t="shared" si="4"/>
        <v>50</v>
      </c>
      <c r="B273" s="471"/>
      <c r="C273" s="275"/>
      <c r="D273" s="242" t="s">
        <v>373</v>
      </c>
      <c r="E273" s="242"/>
      <c r="F273" s="242"/>
      <c r="G273" s="244"/>
      <c r="H273" s="380">
        <f>-SUM(Retirements!O34:O37)</f>
        <v>-22751.7</v>
      </c>
      <c r="I273" s="287"/>
      <c r="K273" s="263"/>
    </row>
    <row r="274" spans="1:13" s="243" customFormat="1">
      <c r="A274" s="381">
        <f t="shared" si="4"/>
        <v>51</v>
      </c>
      <c r="B274" s="471"/>
      <c r="C274" s="275"/>
      <c r="D274" s="242" t="s">
        <v>374</v>
      </c>
      <c r="E274" s="242"/>
      <c r="F274" s="242"/>
      <c r="G274" s="244"/>
      <c r="H274" s="380">
        <f>-SUM(Retirements!O38:O39)</f>
        <v>-15174.8</v>
      </c>
      <c r="I274" s="287"/>
      <c r="K274" s="263"/>
    </row>
    <row r="275" spans="1:13" s="243" customFormat="1">
      <c r="A275" s="381">
        <f t="shared" si="4"/>
        <v>52</v>
      </c>
      <c r="B275" s="471"/>
      <c r="C275" s="275"/>
      <c r="D275" s="242" t="s">
        <v>105</v>
      </c>
      <c r="E275" s="242"/>
      <c r="F275" s="242"/>
      <c r="G275" s="244"/>
      <c r="H275" s="380">
        <f>-SUM(Retirements!O40:O44)</f>
        <v>-301209.19</v>
      </c>
      <c r="I275" s="287"/>
      <c r="K275" s="263"/>
    </row>
    <row r="276" spans="1:13" s="243" customFormat="1">
      <c r="A276" s="381">
        <f t="shared" si="4"/>
        <v>53</v>
      </c>
      <c r="B276" s="471"/>
      <c r="C276" s="275"/>
      <c r="D276" s="242" t="s">
        <v>106</v>
      </c>
      <c r="E276" s="242"/>
      <c r="F276" s="242"/>
      <c r="G276" s="244"/>
      <c r="H276" s="380">
        <f>-Retirements!O45</f>
        <v>-13153.09</v>
      </c>
      <c r="I276" s="287"/>
      <c r="K276" s="263"/>
    </row>
    <row r="277" spans="1:13" s="243" customFormat="1">
      <c r="A277" s="381">
        <f t="shared" si="4"/>
        <v>54</v>
      </c>
      <c r="B277" s="471"/>
      <c r="C277" s="471"/>
      <c r="D277" s="242"/>
      <c r="E277" s="242"/>
      <c r="F277" s="841" t="s">
        <v>908</v>
      </c>
      <c r="G277" s="673">
        <f>SUM(G263:G276)</f>
        <v>-19921.588361999999</v>
      </c>
      <c r="H277" s="673">
        <f>SUM(H263:H276)</f>
        <v>-397889.31163800001</v>
      </c>
      <c r="I277" s="287"/>
      <c r="K277" s="287">
        <f>SUM(G277:J277)</f>
        <v>-417810.9</v>
      </c>
      <c r="L277" s="409"/>
    </row>
    <row r="278" spans="1:13" s="243" customFormat="1">
      <c r="A278" s="381">
        <f t="shared" si="4"/>
        <v>55</v>
      </c>
      <c r="B278" s="471"/>
      <c r="C278" s="471"/>
      <c r="D278" s="242"/>
      <c r="E278" s="357"/>
      <c r="F278" s="242"/>
      <c r="G278" s="242"/>
      <c r="H278" s="257"/>
      <c r="I278" s="287"/>
    </row>
    <row r="279" spans="1:13" s="243" customFormat="1">
      <c r="A279" s="381">
        <f t="shared" si="4"/>
        <v>56</v>
      </c>
      <c r="B279" s="477"/>
      <c r="C279" s="460"/>
      <c r="D279" s="242"/>
      <c r="E279" s="242"/>
      <c r="F279" s="478" t="s">
        <v>909</v>
      </c>
      <c r="G279" s="840" t="e">
        <f>+G240+G260+G277</f>
        <v>#REF!</v>
      </c>
      <c r="H279" s="840" t="e">
        <f>+H240+H260+H277</f>
        <v>#REF!</v>
      </c>
      <c r="I279" s="287"/>
      <c r="L279" s="409"/>
    </row>
    <row r="280" spans="1:13" s="243" customFormat="1">
      <c r="A280" s="381"/>
      <c r="B280" s="477"/>
      <c r="C280" s="460"/>
      <c r="D280" s="242"/>
      <c r="E280" s="242"/>
      <c r="F280" s="478"/>
      <c r="G280" s="247"/>
      <c r="H280" s="247"/>
      <c r="I280" s="287"/>
      <c r="L280" s="409"/>
    </row>
    <row r="281" spans="1:13">
      <c r="A281" s="246" t="s">
        <v>8</v>
      </c>
      <c r="B281" s="446"/>
      <c r="C281" s="446"/>
      <c r="D281" s="446"/>
      <c r="E281" s="446"/>
      <c r="F281" s="446"/>
      <c r="H281" s="289" t="s">
        <v>84</v>
      </c>
      <c r="J281" s="244"/>
      <c r="K281" s="244"/>
      <c r="L281" s="244"/>
      <c r="M281" s="244"/>
    </row>
    <row r="282" spans="1:13">
      <c r="A282" s="246" t="s">
        <v>565</v>
      </c>
      <c r="B282" s="446"/>
      <c r="C282" s="446"/>
      <c r="D282" s="446"/>
      <c r="E282" s="446"/>
      <c r="F282" s="446"/>
      <c r="H282" s="289" t="s">
        <v>9</v>
      </c>
      <c r="J282" s="244"/>
      <c r="K282" s="244"/>
      <c r="L282" s="244"/>
      <c r="M282" s="244"/>
    </row>
    <row r="283" spans="1:13">
      <c r="A283" s="246" t="s">
        <v>566</v>
      </c>
      <c r="B283" s="57"/>
      <c r="C283" s="461"/>
      <c r="D283" s="461"/>
      <c r="E283" s="461"/>
      <c r="F283" s="446"/>
      <c r="H283" s="351" t="s">
        <v>1221</v>
      </c>
      <c r="J283" s="244"/>
      <c r="K283" s="244"/>
      <c r="L283" s="244"/>
      <c r="M283" s="244"/>
    </row>
    <row r="284" spans="1:13">
      <c r="A284" s="246" t="s">
        <v>86</v>
      </c>
      <c r="B284" s="446"/>
      <c r="C284" s="446"/>
      <c r="D284" s="446"/>
      <c r="E284" s="446"/>
      <c r="F284" s="446"/>
      <c r="H284" s="260" t="s">
        <v>705</v>
      </c>
    </row>
    <row r="285" spans="1:13">
      <c r="A285" s="272" t="s">
        <v>285</v>
      </c>
      <c r="B285" s="57"/>
      <c r="C285" s="446"/>
      <c r="D285" s="446"/>
      <c r="E285" s="446"/>
      <c r="F285" s="446"/>
      <c r="H285" s="260" t="s">
        <v>558</v>
      </c>
      <c r="J285" s="244"/>
    </row>
    <row r="286" spans="1:13" ht="12.75" customHeight="1">
      <c r="A286" s="1012" t="s">
        <v>79</v>
      </c>
      <c r="B286" s="1012"/>
      <c r="C286" s="1012"/>
      <c r="D286" s="1012"/>
      <c r="E286" s="1012"/>
      <c r="F286" s="1012"/>
      <c r="G286" s="1012"/>
      <c r="H286" s="1012"/>
    </row>
    <row r="287" spans="1:13" ht="12.75" thickBot="1">
      <c r="A287" s="1012"/>
      <c r="B287" s="1012"/>
      <c r="C287" s="1012"/>
      <c r="D287" s="1012"/>
      <c r="E287" s="1012"/>
      <c r="F287" s="1012"/>
      <c r="G287" s="1012"/>
      <c r="H287" s="1012"/>
    </row>
    <row r="288" spans="1:13">
      <c r="A288" s="624" t="s">
        <v>289</v>
      </c>
      <c r="B288" s="625"/>
      <c r="C288" s="626"/>
      <c r="D288" s="626"/>
      <c r="E288" s="626"/>
      <c r="F288" s="626"/>
      <c r="G288" s="627"/>
      <c r="H288" s="628"/>
    </row>
    <row r="289" spans="1:12" ht="14.25">
      <c r="A289" s="353" t="s">
        <v>351</v>
      </c>
      <c r="B289" s="629" t="s">
        <v>352</v>
      </c>
      <c r="C289" s="629"/>
      <c r="D289" s="629"/>
      <c r="E289" s="629"/>
      <c r="F289" s="629"/>
      <c r="G289" s="353" t="s">
        <v>251</v>
      </c>
      <c r="H289" s="353" t="s">
        <v>252</v>
      </c>
    </row>
    <row r="290" spans="1:12" s="243" customFormat="1">
      <c r="A290" s="381">
        <v>1</v>
      </c>
      <c r="B290" s="469" t="s">
        <v>900</v>
      </c>
      <c r="C290" s="460"/>
      <c r="D290" s="242"/>
      <c r="E290" s="242"/>
      <c r="F290" s="478"/>
      <c r="G290" s="247"/>
      <c r="H290" s="247"/>
      <c r="I290" s="287"/>
      <c r="L290" s="409"/>
    </row>
    <row r="291" spans="1:12" s="243" customFormat="1">
      <c r="A291" s="381">
        <f t="shared" ref="A291:A301" si="5">A290+1</f>
        <v>2</v>
      </c>
      <c r="B291" s="242"/>
      <c r="C291" s="460"/>
      <c r="D291" s="242" t="s">
        <v>393</v>
      </c>
      <c r="E291" s="242"/>
      <c r="F291" s="478"/>
      <c r="G291" s="380">
        <f>SUM('Ret CIAC'!R4:R5)</f>
        <v>2042.4899999999998</v>
      </c>
      <c r="H291" s="380"/>
      <c r="I291" s="287"/>
      <c r="L291" s="409"/>
    </row>
    <row r="292" spans="1:12" s="243" customFormat="1">
      <c r="A292" s="381">
        <f t="shared" si="5"/>
        <v>3</v>
      </c>
      <c r="B292" s="242"/>
      <c r="C292" s="460"/>
      <c r="D292" s="242" t="s">
        <v>363</v>
      </c>
      <c r="E292" s="242"/>
      <c r="F292" s="478"/>
      <c r="G292" s="380"/>
      <c r="H292" s="380">
        <f>SUM('Ret CIAC'!R8:R10)</f>
        <v>5584.37</v>
      </c>
      <c r="I292" s="287"/>
      <c r="L292" s="409"/>
    </row>
    <row r="293" spans="1:12" s="243" customFormat="1">
      <c r="A293" s="381">
        <f t="shared" si="5"/>
        <v>4</v>
      </c>
      <c r="B293" s="242"/>
      <c r="C293" s="504"/>
      <c r="D293" s="242" t="s">
        <v>364</v>
      </c>
      <c r="E293" s="244"/>
      <c r="F293" s="244"/>
      <c r="G293" s="380"/>
      <c r="H293" s="380">
        <f>SUM('Ret CIAC'!R11:R12)</f>
        <v>2802.37</v>
      </c>
    </row>
    <row r="294" spans="1:12" s="243" customFormat="1">
      <c r="A294" s="381">
        <f t="shared" si="5"/>
        <v>5</v>
      </c>
      <c r="B294" s="242"/>
      <c r="C294" s="504"/>
      <c r="D294" s="242" t="s">
        <v>890</v>
      </c>
      <c r="E294" s="244"/>
      <c r="F294" s="244"/>
      <c r="G294" s="380"/>
      <c r="H294" s="380">
        <f>SUM('Ret CIAC'!R13:R14)</f>
        <v>2837.15</v>
      </c>
    </row>
    <row r="295" spans="1:12" s="243" customFormat="1">
      <c r="A295" s="381">
        <f t="shared" si="5"/>
        <v>6</v>
      </c>
      <c r="B295" s="242"/>
      <c r="C295" s="504"/>
      <c r="D295" s="242" t="s">
        <v>373</v>
      </c>
      <c r="E295" s="244"/>
      <c r="F295" s="244"/>
      <c r="G295" s="380"/>
      <c r="H295" s="380">
        <f>SUM('Ret CIAC'!R15:R17)</f>
        <v>27761.260000000002</v>
      </c>
    </row>
    <row r="296" spans="1:12" s="243" customFormat="1">
      <c r="A296" s="381">
        <f t="shared" si="5"/>
        <v>7</v>
      </c>
      <c r="B296" s="242"/>
      <c r="C296" s="504"/>
      <c r="D296" s="242" t="s">
        <v>374</v>
      </c>
      <c r="E296" s="244"/>
      <c r="F296" s="244"/>
      <c r="G296" s="380"/>
      <c r="H296" s="380">
        <f>'Ret CIAC'!R18</f>
        <v>3833.33</v>
      </c>
    </row>
    <row r="297" spans="1:12" s="243" customFormat="1">
      <c r="A297" s="381">
        <f t="shared" si="5"/>
        <v>8</v>
      </c>
      <c r="B297" s="242"/>
      <c r="C297" s="636"/>
      <c r="D297" s="242"/>
      <c r="E297" s="247"/>
      <c r="F297" s="531" t="s">
        <v>901</v>
      </c>
      <c r="G297" s="673">
        <f>SUM(G291:G296)</f>
        <v>2042.4899999999998</v>
      </c>
      <c r="H297" s="673">
        <f>SUM(H291:H296)</f>
        <v>42818.48</v>
      </c>
      <c r="K297" s="674">
        <f>SUM(G297:J297)</f>
        <v>44860.97</v>
      </c>
    </row>
    <row r="298" spans="1:12" s="243" customFormat="1">
      <c r="A298" s="381">
        <f t="shared" si="5"/>
        <v>9</v>
      </c>
      <c r="B298" s="242"/>
      <c r="C298" s="636"/>
      <c r="D298" s="242"/>
      <c r="E298" s="247"/>
      <c r="F298" s="531"/>
      <c r="G298" s="843"/>
      <c r="H298" s="843"/>
    </row>
    <row r="299" spans="1:12" s="243" customFormat="1">
      <c r="A299" s="381">
        <f t="shared" si="5"/>
        <v>10</v>
      </c>
      <c r="B299" s="462"/>
      <c r="C299" s="242"/>
      <c r="D299" s="504"/>
      <c r="E299" s="242"/>
      <c r="F299" s="478" t="s">
        <v>460</v>
      </c>
      <c r="G299" s="840" t="e">
        <f>G240+G260+G277+G297</f>
        <v>#REF!</v>
      </c>
      <c r="H299" s="840" t="e">
        <f>H240+H260+H277+H297</f>
        <v>#REF!</v>
      </c>
      <c r="I299" s="287"/>
    </row>
    <row r="300" spans="1:12" s="243" customFormat="1">
      <c r="A300" s="381">
        <f t="shared" si="5"/>
        <v>11</v>
      </c>
      <c r="B300" s="462"/>
      <c r="C300" s="675"/>
      <c r="D300" s="675"/>
      <c r="E300" s="675"/>
      <c r="F300" s="357"/>
      <c r="G300" s="244"/>
      <c r="H300" s="244"/>
    </row>
    <row r="301" spans="1:12" ht="12.75" thickBot="1">
      <c r="A301" s="381">
        <f t="shared" si="5"/>
        <v>12</v>
      </c>
      <c r="B301" s="676"/>
      <c r="C301" s="276"/>
      <c r="D301" s="543"/>
      <c r="E301" s="276"/>
      <c r="F301" s="478" t="s">
        <v>459</v>
      </c>
      <c r="G301" s="481" t="e">
        <f>+G299+G169</f>
        <v>#REF!</v>
      </c>
      <c r="H301" s="481" t="e">
        <f>+H299+H169</f>
        <v>#REF!</v>
      </c>
      <c r="I301" s="244"/>
      <c r="J301" s="244"/>
    </row>
    <row r="302" spans="1:12" ht="12.75" thickTop="1">
      <c r="A302" s="381">
        <f>A301+1</f>
        <v>13</v>
      </c>
      <c r="B302" s="676"/>
      <c r="C302" s="276"/>
      <c r="D302" s="543"/>
      <c r="E302" s="276"/>
      <c r="F302" s="478"/>
      <c r="G302" s="304"/>
      <c r="H302" s="304"/>
      <c r="I302" s="244"/>
      <c r="J302" s="244"/>
    </row>
    <row r="303" spans="1:12">
      <c r="A303" s="381">
        <f>A302+1</f>
        <v>14</v>
      </c>
      <c r="B303" s="677" t="s">
        <v>279</v>
      </c>
      <c r="C303" s="246" t="s">
        <v>280</v>
      </c>
      <c r="D303" s="543"/>
      <c r="E303" s="276"/>
      <c r="F303" s="478"/>
      <c r="G303" s="304"/>
      <c r="H303" s="304"/>
      <c r="I303" s="244"/>
      <c r="L303" s="562"/>
    </row>
    <row r="304" spans="1:12">
      <c r="A304" s="381">
        <f>A303+1</f>
        <v>15</v>
      </c>
      <c r="B304" s="677"/>
      <c r="C304" s="384" t="s">
        <v>44</v>
      </c>
      <c r="D304" s="543"/>
      <c r="E304" s="276"/>
      <c r="F304" s="478"/>
      <c r="G304" s="304"/>
      <c r="H304" s="304"/>
      <c r="I304" s="244"/>
      <c r="L304" s="562"/>
    </row>
    <row r="305" spans="1:14">
      <c r="A305" s="381">
        <f>A304+1</f>
        <v>16</v>
      </c>
      <c r="B305" s="489" t="s">
        <v>202</v>
      </c>
      <c r="C305" s="354" t="s">
        <v>678</v>
      </c>
      <c r="D305" s="242"/>
      <c r="E305" s="504"/>
      <c r="G305" s="644">
        <f>-G136</f>
        <v>46704</v>
      </c>
      <c r="H305" s="644">
        <f>-H136</f>
        <v>101889</v>
      </c>
      <c r="L305" s="562"/>
      <c r="N305" s="642"/>
    </row>
    <row r="306" spans="1:14">
      <c r="A306" s="381">
        <f t="shared" ref="A306:A379" si="6">A305+1</f>
        <v>17</v>
      </c>
      <c r="B306" s="676"/>
      <c r="C306" s="276"/>
      <c r="D306" s="543"/>
      <c r="E306" s="276"/>
      <c r="F306" s="478"/>
      <c r="G306" s="304"/>
      <c r="H306" s="304"/>
    </row>
    <row r="307" spans="1:14">
      <c r="A307" s="381">
        <f t="shared" si="6"/>
        <v>18</v>
      </c>
      <c r="B307" s="489" t="s">
        <v>203</v>
      </c>
      <c r="C307" s="276" t="s">
        <v>1196</v>
      </c>
      <c r="D307" s="543"/>
      <c r="E307" s="276"/>
      <c r="F307" s="478"/>
      <c r="G307" s="304"/>
      <c r="H307" s="304"/>
    </row>
    <row r="308" spans="1:14">
      <c r="A308" s="381">
        <f t="shared" si="6"/>
        <v>19</v>
      </c>
      <c r="B308" s="676"/>
      <c r="C308" s="276"/>
      <c r="D308" s="243" t="s">
        <v>1197</v>
      </c>
      <c r="E308" s="276"/>
      <c r="F308" s="478"/>
      <c r="G308" s="248">
        <f>'Prior RCE'!D67</f>
        <v>1793</v>
      </c>
      <c r="H308" s="248">
        <f>'Prior RCE'!E67</f>
        <v>1647</v>
      </c>
    </row>
    <row r="309" spans="1:14">
      <c r="A309" s="381">
        <f t="shared" si="6"/>
        <v>20</v>
      </c>
      <c r="B309" s="676"/>
      <c r="C309" s="276"/>
      <c r="D309" s="243" t="s">
        <v>1198</v>
      </c>
      <c r="E309" s="276"/>
      <c r="F309" s="478"/>
      <c r="G309" s="248">
        <f>'Prior RCE'!D68</f>
        <v>0</v>
      </c>
      <c r="H309" s="248">
        <f>'Prior RCE'!E68</f>
        <v>855</v>
      </c>
    </row>
    <row r="310" spans="1:14">
      <c r="A310" s="381">
        <f t="shared" si="6"/>
        <v>21</v>
      </c>
      <c r="B310" s="676"/>
      <c r="C310" s="276"/>
      <c r="D310" s="243" t="s">
        <v>1199</v>
      </c>
      <c r="E310" s="276"/>
      <c r="F310" s="478"/>
      <c r="G310" s="248">
        <f>'Prior RCE'!D69</f>
        <v>172</v>
      </c>
      <c r="H310" s="248">
        <f>'Prior RCE'!E69</f>
        <v>192</v>
      </c>
    </row>
    <row r="311" spans="1:14">
      <c r="A311" s="381">
        <f t="shared" si="6"/>
        <v>22</v>
      </c>
      <c r="B311" s="676"/>
      <c r="C311" s="276"/>
      <c r="D311" s="243" t="s">
        <v>1201</v>
      </c>
      <c r="E311" s="276"/>
      <c r="F311" s="478"/>
      <c r="G311" s="248">
        <f>'Prior RCE'!D70</f>
        <v>-278</v>
      </c>
      <c r="H311" s="248">
        <f>'Prior RCE'!E70</f>
        <v>-223</v>
      </c>
    </row>
    <row r="312" spans="1:14">
      <c r="A312" s="381">
        <f t="shared" si="6"/>
        <v>23</v>
      </c>
      <c r="B312" s="676"/>
      <c r="C312" s="276"/>
      <c r="D312" s="243" t="s">
        <v>1200</v>
      </c>
      <c r="E312" s="276"/>
      <c r="F312" s="478"/>
      <c r="G312" s="248">
        <f>SUM('Prior RCE'!D72:D75)</f>
        <v>1872</v>
      </c>
      <c r="H312" s="248">
        <f>SUM('Prior RCE'!E72:E75)</f>
        <v>806</v>
      </c>
    </row>
    <row r="313" spans="1:14">
      <c r="A313" s="381">
        <f t="shared" si="6"/>
        <v>24</v>
      </c>
      <c r="B313" s="676"/>
      <c r="C313" s="276"/>
      <c r="D313" s="243" t="s">
        <v>1195</v>
      </c>
      <c r="E313" s="276"/>
      <c r="F313" s="478"/>
      <c r="G313" s="673">
        <f>SUM(G308:G312)</f>
        <v>3559</v>
      </c>
      <c r="H313" s="673">
        <f>SUM(H308:H312)</f>
        <v>3277</v>
      </c>
    </row>
    <row r="314" spans="1:14">
      <c r="A314" s="381">
        <f t="shared" si="6"/>
        <v>25</v>
      </c>
      <c r="B314" s="676"/>
      <c r="C314" s="276"/>
      <c r="D314" s="243"/>
      <c r="E314" s="276"/>
      <c r="F314" s="478"/>
      <c r="G314" s="248"/>
      <c r="H314" s="248"/>
    </row>
    <row r="315" spans="1:14">
      <c r="A315" s="381">
        <f t="shared" si="6"/>
        <v>26</v>
      </c>
      <c r="B315" s="676"/>
      <c r="C315" s="561" t="s">
        <v>1219</v>
      </c>
      <c r="D315" s="243"/>
      <c r="E315" s="276"/>
      <c r="F315" s="478"/>
      <c r="G315" s="248"/>
      <c r="H315" s="248"/>
      <c r="K315" s="242"/>
    </row>
    <row r="316" spans="1:14">
      <c r="A316" s="381">
        <f t="shared" si="6"/>
        <v>27</v>
      </c>
      <c r="B316" s="676"/>
      <c r="C316" s="255" t="s">
        <v>1230</v>
      </c>
      <c r="D316" s="243"/>
      <c r="E316" s="276"/>
      <c r="F316" s="478"/>
      <c r="G316" s="673"/>
      <c r="H316" s="673">
        <v>5000</v>
      </c>
    </row>
    <row r="317" spans="1:14">
      <c r="A317" s="381">
        <f t="shared" si="6"/>
        <v>28</v>
      </c>
      <c r="B317" s="676"/>
      <c r="C317" s="276"/>
      <c r="D317" s="243"/>
      <c r="E317" s="276"/>
      <c r="F317" s="478"/>
      <c r="G317" s="248"/>
      <c r="H317" s="248"/>
    </row>
    <row r="318" spans="1:14" ht="12.75" thickBot="1">
      <c r="A318" s="381">
        <f t="shared" si="6"/>
        <v>29</v>
      </c>
      <c r="B318" s="676"/>
      <c r="C318" s="276"/>
      <c r="D318" s="243"/>
      <c r="E318" s="276"/>
      <c r="F318" s="478" t="s">
        <v>1202</v>
      </c>
      <c r="G318" s="479">
        <f>G313+G305+G316</f>
        <v>50263</v>
      </c>
      <c r="H318" s="479">
        <f>H313+H305+H316</f>
        <v>110166</v>
      </c>
      <c r="J318" s="242"/>
      <c r="K318" s="242"/>
      <c r="L318" s="242"/>
    </row>
    <row r="319" spans="1:14" ht="12.75" thickTop="1">
      <c r="A319" s="381">
        <f t="shared" si="6"/>
        <v>30</v>
      </c>
      <c r="B319" s="676"/>
      <c r="C319" s="276"/>
      <c r="D319" s="543"/>
      <c r="E319" s="276"/>
      <c r="F319" s="478"/>
      <c r="G319" s="304"/>
      <c r="H319" s="304"/>
      <c r="J319" s="242"/>
      <c r="K319" s="242"/>
      <c r="L319" s="242"/>
      <c r="M319" s="242"/>
      <c r="N319" s="242"/>
    </row>
    <row r="320" spans="1:14">
      <c r="A320" s="381">
        <f t="shared" si="6"/>
        <v>31</v>
      </c>
      <c r="B320" s="461" t="s">
        <v>282</v>
      </c>
      <c r="C320" s="446" t="s">
        <v>43</v>
      </c>
      <c r="D320" s="630"/>
      <c r="E320" s="630"/>
      <c r="F320" s="446"/>
      <c r="G320" s="244"/>
      <c r="H320" s="244"/>
      <c r="J320" s="242"/>
      <c r="K320" s="242"/>
      <c r="L320" s="242"/>
    </row>
    <row r="321" spans="1:12">
      <c r="A321" s="381">
        <f t="shared" si="6"/>
        <v>32</v>
      </c>
      <c r="B321" s="462"/>
      <c r="C321" s="473" t="s">
        <v>44</v>
      </c>
      <c r="D321" s="473"/>
      <c r="E321" s="473"/>
      <c r="G321" s="244"/>
      <c r="H321" s="244"/>
      <c r="J321" s="242"/>
      <c r="K321" s="242"/>
      <c r="L321" s="242"/>
    </row>
    <row r="322" spans="1:12">
      <c r="A322" s="381">
        <f t="shared" si="6"/>
        <v>33</v>
      </c>
      <c r="B322" s="489" t="s">
        <v>202</v>
      </c>
      <c r="C322" s="357" t="s">
        <v>500</v>
      </c>
      <c r="D322" s="473"/>
      <c r="E322" s="473"/>
      <c r="G322" s="244"/>
      <c r="H322" s="244"/>
    </row>
    <row r="323" spans="1:12">
      <c r="A323" s="381">
        <f t="shared" si="6"/>
        <v>34</v>
      </c>
      <c r="B323" s="489"/>
      <c r="C323" s="678" t="s">
        <v>64</v>
      </c>
      <c r="D323" s="242" t="s">
        <v>503</v>
      </c>
      <c r="E323" s="473"/>
      <c r="G323" s="244"/>
      <c r="H323" s="244"/>
    </row>
    <row r="324" spans="1:12" ht="11.25" customHeight="1">
      <c r="A324" s="381">
        <f t="shared" si="6"/>
        <v>35</v>
      </c>
      <c r="B324" s="489"/>
      <c r="E324" s="357" t="s">
        <v>115</v>
      </c>
      <c r="G324" s="244">
        <f>G20</f>
        <v>16291528.769335998</v>
      </c>
      <c r="H324" s="244">
        <f>H20</f>
        <v>19966523.170663998</v>
      </c>
    </row>
    <row r="325" spans="1:12" ht="11.25" customHeight="1">
      <c r="A325" s="381">
        <f t="shared" si="6"/>
        <v>36</v>
      </c>
      <c r="B325" s="489"/>
      <c r="C325" s="678" t="s">
        <v>65</v>
      </c>
      <c r="D325" s="242" t="s">
        <v>504</v>
      </c>
      <c r="E325" s="473"/>
      <c r="G325" s="244"/>
      <c r="H325" s="244"/>
    </row>
    <row r="326" spans="1:12">
      <c r="A326" s="381">
        <f t="shared" si="6"/>
        <v>37</v>
      </c>
      <c r="B326" s="489"/>
      <c r="E326" s="357" t="s">
        <v>502</v>
      </c>
      <c r="G326" s="648">
        <f>G26</f>
        <v>300995.06086600386</v>
      </c>
      <c r="H326" s="648">
        <f>H26</f>
        <v>331662.47913400456</v>
      </c>
    </row>
    <row r="327" spans="1:12" ht="11.25" customHeight="1">
      <c r="A327" s="381">
        <f t="shared" si="6"/>
        <v>38</v>
      </c>
      <c r="B327" s="489"/>
      <c r="F327" s="357" t="s">
        <v>47</v>
      </c>
      <c r="G327" s="244">
        <f>SUM(G324:G326)</f>
        <v>16592523.830202002</v>
      </c>
      <c r="H327" s="244">
        <f>SUM(H324:H326)</f>
        <v>20298185.649798002</v>
      </c>
    </row>
    <row r="328" spans="1:12">
      <c r="A328" s="381">
        <f t="shared" si="6"/>
        <v>39</v>
      </c>
      <c r="B328" s="489"/>
      <c r="F328" s="357" t="s">
        <v>45</v>
      </c>
      <c r="G328" s="679">
        <v>4.4999999999999998E-2</v>
      </c>
      <c r="H328" s="679">
        <v>4.4999999999999998E-2</v>
      </c>
    </row>
    <row r="329" spans="1:12">
      <c r="A329" s="381">
        <f t="shared" si="6"/>
        <v>40</v>
      </c>
      <c r="B329" s="489"/>
      <c r="F329" s="357" t="s">
        <v>46</v>
      </c>
      <c r="G329" s="244">
        <f>ROUND(G327*G328,0)</f>
        <v>746664</v>
      </c>
      <c r="H329" s="244">
        <f>ROUND(H327*H328,0)</f>
        <v>913418</v>
      </c>
    </row>
    <row r="330" spans="1:12">
      <c r="A330" s="381">
        <f t="shared" si="6"/>
        <v>41</v>
      </c>
      <c r="B330" s="489"/>
      <c r="F330" s="357" t="s">
        <v>670</v>
      </c>
      <c r="G330" s="244">
        <f>'TAX EXPENSE'!R11</f>
        <v>746596.85247000004</v>
      </c>
      <c r="H330" s="244">
        <f>'TAX EXPENSE'!S11</f>
        <v>949058.04752999987</v>
      </c>
    </row>
    <row r="331" spans="1:12">
      <c r="A331" s="381">
        <f t="shared" si="6"/>
        <v>42</v>
      </c>
      <c r="B331" s="489"/>
      <c r="C331" s="242"/>
      <c r="F331" s="680" t="s">
        <v>50</v>
      </c>
      <c r="G331" s="513">
        <f>G329-G330</f>
        <v>67.147529999958351</v>
      </c>
      <c r="H331" s="513">
        <f>H329-H330</f>
        <v>-35640.047529999865</v>
      </c>
    </row>
    <row r="332" spans="1:12">
      <c r="A332" s="381">
        <f t="shared" si="6"/>
        <v>43</v>
      </c>
      <c r="B332" s="489"/>
      <c r="G332" s="248"/>
      <c r="H332" s="248"/>
    </row>
    <row r="333" spans="1:12">
      <c r="A333" s="381">
        <f t="shared" si="6"/>
        <v>44</v>
      </c>
      <c r="B333" s="489"/>
      <c r="C333" s="473" t="s">
        <v>48</v>
      </c>
      <c r="G333" s="244"/>
      <c r="H333" s="244"/>
    </row>
    <row r="334" spans="1:12">
      <c r="A334" s="381">
        <f t="shared" si="6"/>
        <v>45</v>
      </c>
      <c r="B334" s="489" t="s">
        <v>203</v>
      </c>
      <c r="C334" s="354" t="s">
        <v>501</v>
      </c>
      <c r="G334" s="244"/>
      <c r="H334" s="244"/>
    </row>
    <row r="335" spans="1:12">
      <c r="A335" s="381">
        <f t="shared" si="6"/>
        <v>46</v>
      </c>
      <c r="B335" s="489"/>
      <c r="C335" s="678" t="s">
        <v>64</v>
      </c>
      <c r="D335" s="482" t="s">
        <v>1111</v>
      </c>
      <c r="E335" s="482"/>
      <c r="F335" s="482"/>
      <c r="G335" s="248">
        <f>SUM(S121:U121)*K3</f>
        <v>6227.7486264576</v>
      </c>
      <c r="H335" s="248">
        <f>SUM(S121:U121)*L3</f>
        <v>5716.5333575424011</v>
      </c>
    </row>
    <row r="336" spans="1:12">
      <c r="A336" s="381">
        <f t="shared" si="6"/>
        <v>47</v>
      </c>
      <c r="B336" s="489"/>
      <c r="C336" s="678" t="s">
        <v>65</v>
      </c>
      <c r="D336" s="482" t="s">
        <v>1113</v>
      </c>
      <c r="E336" s="482"/>
      <c r="F336" s="482"/>
      <c r="G336" s="644">
        <f>'B 15'!E24*0.0375</f>
        <v>8661.9659296499976</v>
      </c>
      <c r="H336" s="644">
        <f>'B 15'!E48*0.0375</f>
        <v>7950.9338203500001</v>
      </c>
    </row>
    <row r="337" spans="1:14">
      <c r="A337" s="381">
        <f t="shared" si="6"/>
        <v>48</v>
      </c>
      <c r="B337" s="489"/>
      <c r="C337" s="678"/>
      <c r="D337" s="242"/>
      <c r="E337" s="482" t="s">
        <v>1112</v>
      </c>
      <c r="F337" s="482"/>
      <c r="G337" s="300">
        <f>SUM(G335:G336)</f>
        <v>14889.714556107598</v>
      </c>
      <c r="H337" s="300">
        <f>SUM(H335:H336)</f>
        <v>13667.467177892402</v>
      </c>
    </row>
    <row r="338" spans="1:14">
      <c r="A338" s="381">
        <f t="shared" si="6"/>
        <v>49</v>
      </c>
      <c r="B338" s="489" t="s">
        <v>204</v>
      </c>
      <c r="C338" s="357" t="s">
        <v>785</v>
      </c>
      <c r="G338" s="244"/>
      <c r="H338" s="244"/>
      <c r="J338" s="681" t="s">
        <v>701</v>
      </c>
    </row>
    <row r="339" spans="1:14">
      <c r="A339" s="381">
        <f t="shared" si="6"/>
        <v>50</v>
      </c>
      <c r="B339" s="462"/>
      <c r="C339" s="682" t="s">
        <v>788</v>
      </c>
      <c r="D339" s="683"/>
      <c r="E339" s="427"/>
      <c r="F339" s="427"/>
      <c r="G339" s="244"/>
      <c r="H339" s="244"/>
      <c r="J339" s="681" t="s">
        <v>702</v>
      </c>
    </row>
    <row r="340" spans="1:14">
      <c r="A340" s="381">
        <f t="shared" si="6"/>
        <v>51</v>
      </c>
      <c r="B340" s="462"/>
      <c r="C340" s="684" t="s">
        <v>547</v>
      </c>
      <c r="D340" s="685" t="s">
        <v>790</v>
      </c>
      <c r="E340" s="686"/>
      <c r="F340" s="686"/>
      <c r="G340" s="244"/>
      <c r="H340" s="244">
        <v>100281281</v>
      </c>
    </row>
    <row r="341" spans="1:14">
      <c r="A341" s="381">
        <f t="shared" si="6"/>
        <v>52</v>
      </c>
      <c r="B341" s="462"/>
      <c r="C341" s="687"/>
      <c r="D341" s="685" t="s">
        <v>789</v>
      </c>
      <c r="E341" s="688"/>
      <c r="F341" s="688"/>
      <c r="G341" s="644"/>
      <c r="H341" s="644">
        <f>'A 7'!C37+'A 7'!C41</f>
        <v>2106055</v>
      </c>
    </row>
    <row r="342" spans="1:14">
      <c r="A342" s="381">
        <f t="shared" si="6"/>
        <v>53</v>
      </c>
      <c r="B342" s="462"/>
      <c r="C342" s="687"/>
      <c r="D342" s="685" t="s">
        <v>786</v>
      </c>
      <c r="E342" s="688"/>
      <c r="F342" s="688"/>
      <c r="G342" s="689"/>
      <c r="H342" s="431">
        <f>H341/H340</f>
        <v>2.1001476835941096E-2</v>
      </c>
    </row>
    <row r="343" spans="1:14">
      <c r="A343" s="381">
        <f t="shared" si="6"/>
        <v>54</v>
      </c>
      <c r="B343" s="462"/>
      <c r="C343" s="687"/>
      <c r="D343" s="685" t="s">
        <v>787</v>
      </c>
      <c r="E343" s="688"/>
      <c r="F343" s="688"/>
      <c r="G343" s="690">
        <f>(G339/1000)*G342</f>
        <v>0</v>
      </c>
      <c r="H343" s="690" t="e">
        <f>-('TAX EXPENSE'!S20+H349)*H342</f>
        <v>#REF!</v>
      </c>
    </row>
    <row r="344" spans="1:14">
      <c r="A344" s="381">
        <f t="shared" si="6"/>
        <v>55</v>
      </c>
      <c r="B344" s="462"/>
      <c r="C344" s="687"/>
      <c r="D344" s="685"/>
      <c r="E344" s="688"/>
      <c r="F344" s="688"/>
      <c r="G344" s="248"/>
      <c r="H344" s="248"/>
      <c r="M344" s="244" t="e">
        <f>'A 3'!E44</f>
        <v>#REF!</v>
      </c>
      <c r="N344" s="622" t="s">
        <v>1210</v>
      </c>
    </row>
    <row r="345" spans="1:14">
      <c r="A345" s="381">
        <f t="shared" si="6"/>
        <v>56</v>
      </c>
      <c r="B345" s="462"/>
      <c r="C345" s="691" t="s">
        <v>910</v>
      </c>
      <c r="D345" s="683"/>
      <c r="E345" s="427"/>
      <c r="F345" s="427"/>
      <c r="G345" s="244" t="e">
        <f>'Property Tax'!AD66</f>
        <v>#REF!</v>
      </c>
      <c r="H345" s="244" t="e">
        <f>'Property Tax'!AE66</f>
        <v>#REF!</v>
      </c>
      <c r="J345" s="681" t="s">
        <v>702</v>
      </c>
      <c r="M345" s="244" t="e">
        <f>'A 3'!E61</f>
        <v>#REF!</v>
      </c>
      <c r="N345" s="622" t="s">
        <v>1128</v>
      </c>
    </row>
    <row r="346" spans="1:14">
      <c r="A346" s="381">
        <f t="shared" si="6"/>
        <v>57</v>
      </c>
      <c r="B346" s="462"/>
      <c r="C346" s="242"/>
      <c r="D346" s="692" t="s">
        <v>1032</v>
      </c>
      <c r="E346" s="693"/>
      <c r="F346" s="693"/>
      <c r="G346" s="694" t="e">
        <f>'Property Tax'!AH68</f>
        <v>#REF!</v>
      </c>
      <c r="H346" s="694" t="e">
        <f>'Property Tax'!AI68</f>
        <v>#REF!</v>
      </c>
      <c r="M346" s="244" t="e">
        <f>-'A 3'!E194</f>
        <v>#REF!</v>
      </c>
      <c r="N346" s="622" t="s">
        <v>863</v>
      </c>
    </row>
    <row r="347" spans="1:14">
      <c r="A347" s="381">
        <f t="shared" si="6"/>
        <v>58</v>
      </c>
      <c r="B347" s="462"/>
      <c r="C347" s="695"/>
      <c r="D347" s="692" t="s">
        <v>911</v>
      </c>
      <c r="E347" s="693"/>
      <c r="F347" s="693"/>
      <c r="G347" s="689" t="e">
        <f>-0.04*G346</f>
        <v>#REF!</v>
      </c>
      <c r="H347" s="689" t="e">
        <f>-0.04*H346</f>
        <v>#REF!</v>
      </c>
      <c r="M347" s="244" t="e">
        <f>-'A 3'!E211</f>
        <v>#REF!</v>
      </c>
      <c r="N347" s="622" t="s">
        <v>1209</v>
      </c>
    </row>
    <row r="348" spans="1:14">
      <c r="A348" s="381">
        <f t="shared" si="6"/>
        <v>59</v>
      </c>
      <c r="B348" s="462"/>
      <c r="C348" s="695"/>
      <c r="D348" s="692" t="s">
        <v>912</v>
      </c>
      <c r="E348" s="693"/>
      <c r="F348" s="693"/>
      <c r="G348" s="689" t="e">
        <f>+G346+G347</f>
        <v>#REF!</v>
      </c>
      <c r="H348" s="689" t="e">
        <f>+H346+H347</f>
        <v>#REF!</v>
      </c>
    </row>
    <row r="349" spans="1:14">
      <c r="A349" s="381">
        <f t="shared" si="6"/>
        <v>60</v>
      </c>
      <c r="B349" s="462"/>
      <c r="C349" s="696" t="s">
        <v>548</v>
      </c>
      <c r="D349" s="683"/>
      <c r="E349" s="697"/>
      <c r="F349" s="697"/>
      <c r="G349" s="673" t="e">
        <f>+G348*G345/1000</f>
        <v>#REF!</v>
      </c>
      <c r="H349" s="673" t="e">
        <f>+H348*H345/1000</f>
        <v>#REF!</v>
      </c>
    </row>
    <row r="350" spans="1:14">
      <c r="A350" s="381"/>
      <c r="B350" s="462"/>
      <c r="C350" s="687"/>
      <c r="D350" s="685"/>
      <c r="E350" s="688"/>
      <c r="F350" s="688"/>
      <c r="G350" s="248"/>
      <c r="H350" s="248"/>
    </row>
    <row r="351" spans="1:14">
      <c r="A351" s="246" t="s">
        <v>8</v>
      </c>
      <c r="B351" s="446"/>
      <c r="C351" s="446"/>
      <c r="D351" s="446"/>
      <c r="E351" s="446"/>
      <c r="F351" s="446"/>
      <c r="H351" s="289" t="s">
        <v>84</v>
      </c>
      <c r="J351" s="244"/>
      <c r="K351" s="244"/>
      <c r="L351" s="244"/>
      <c r="M351" s="244"/>
    </row>
    <row r="352" spans="1:14">
      <c r="A352" s="246" t="s">
        <v>565</v>
      </c>
      <c r="B352" s="446"/>
      <c r="C352" s="446"/>
      <c r="D352" s="446"/>
      <c r="E352" s="446"/>
      <c r="F352" s="446"/>
      <c r="H352" s="289" t="s">
        <v>9</v>
      </c>
      <c r="J352" s="244"/>
      <c r="K352" s="244"/>
      <c r="L352" s="244"/>
      <c r="M352" s="244"/>
    </row>
    <row r="353" spans="1:13">
      <c r="A353" s="246" t="s">
        <v>566</v>
      </c>
      <c r="B353" s="57"/>
      <c r="C353" s="461"/>
      <c r="D353" s="461"/>
      <c r="E353" s="461"/>
      <c r="F353" s="446"/>
      <c r="H353" s="351" t="s">
        <v>1220</v>
      </c>
      <c r="J353" s="244"/>
      <c r="K353" s="244"/>
      <c r="L353" s="244"/>
      <c r="M353" s="244"/>
    </row>
    <row r="354" spans="1:13">
      <c r="A354" s="246" t="s">
        <v>86</v>
      </c>
      <c r="B354" s="446"/>
      <c r="C354" s="446"/>
      <c r="D354" s="446"/>
      <c r="E354" s="446"/>
      <c r="F354" s="446"/>
      <c r="H354" s="260" t="s">
        <v>705</v>
      </c>
    </row>
    <row r="355" spans="1:13">
      <c r="A355" s="272" t="s">
        <v>285</v>
      </c>
      <c r="B355" s="57"/>
      <c r="C355" s="446"/>
      <c r="D355" s="446"/>
      <c r="E355" s="446"/>
      <c r="F355" s="446"/>
      <c r="H355" s="260" t="s">
        <v>558</v>
      </c>
      <c r="J355" s="244"/>
    </row>
    <row r="356" spans="1:13" ht="12.75" customHeight="1">
      <c r="A356" s="1012" t="s">
        <v>79</v>
      </c>
      <c r="B356" s="1012"/>
      <c r="C356" s="1012"/>
      <c r="D356" s="1012"/>
      <c r="E356" s="1012"/>
      <c r="F356" s="1012"/>
      <c r="G356" s="1012"/>
      <c r="H356" s="1012"/>
    </row>
    <row r="357" spans="1:13" ht="12.75" thickBot="1">
      <c r="A357" s="1012"/>
      <c r="B357" s="1012"/>
      <c r="C357" s="1012"/>
      <c r="D357" s="1012"/>
      <c r="E357" s="1012"/>
      <c r="F357" s="1012"/>
      <c r="G357" s="1012"/>
      <c r="H357" s="1012"/>
    </row>
    <row r="358" spans="1:13">
      <c r="A358" s="624" t="s">
        <v>289</v>
      </c>
      <c r="B358" s="625"/>
      <c r="C358" s="626"/>
      <c r="D358" s="626"/>
      <c r="E358" s="626"/>
      <c r="F358" s="626"/>
      <c r="G358" s="627"/>
      <c r="H358" s="628"/>
    </row>
    <row r="359" spans="1:13" ht="14.25">
      <c r="A359" s="353" t="s">
        <v>351</v>
      </c>
      <c r="B359" s="629" t="s">
        <v>352</v>
      </c>
      <c r="C359" s="629"/>
      <c r="D359" s="629"/>
      <c r="E359" s="629"/>
      <c r="F359" s="629"/>
      <c r="G359" s="353" t="s">
        <v>251</v>
      </c>
      <c r="H359" s="353" t="s">
        <v>252</v>
      </c>
    </row>
    <row r="360" spans="1:13">
      <c r="A360" s="381">
        <v>1</v>
      </c>
      <c r="B360" s="489" t="s">
        <v>205</v>
      </c>
      <c r="C360" s="357" t="s">
        <v>500</v>
      </c>
      <c r="D360" s="473"/>
      <c r="E360" s="473"/>
      <c r="G360" s="244"/>
      <c r="H360" s="244"/>
    </row>
    <row r="361" spans="1:13">
      <c r="A361" s="381">
        <f t="shared" si="6"/>
        <v>2</v>
      </c>
      <c r="B361" s="462"/>
      <c r="C361" s="678" t="s">
        <v>64</v>
      </c>
      <c r="D361" s="242" t="s">
        <v>505</v>
      </c>
      <c r="E361" s="473"/>
      <c r="G361" s="244"/>
      <c r="H361" s="244"/>
    </row>
    <row r="362" spans="1:13">
      <c r="A362" s="381">
        <f t="shared" si="6"/>
        <v>3</v>
      </c>
      <c r="B362" s="462"/>
      <c r="D362" s="242"/>
      <c r="E362" s="242" t="s">
        <v>49</v>
      </c>
      <c r="F362" s="242"/>
      <c r="G362" s="244">
        <f>G30</f>
        <v>2823847.9248325857</v>
      </c>
      <c r="H362" s="244">
        <f>H30</f>
        <v>6529382.8886208739</v>
      </c>
    </row>
    <row r="363" spans="1:13">
      <c r="A363" s="381">
        <f t="shared" si="6"/>
        <v>4</v>
      </c>
      <c r="B363" s="462"/>
      <c r="E363" s="357" t="s">
        <v>45</v>
      </c>
      <c r="G363" s="679">
        <v>4.4999999999999998E-2</v>
      </c>
      <c r="H363" s="679">
        <v>4.4999999999999998E-2</v>
      </c>
    </row>
    <row r="364" spans="1:13">
      <c r="A364" s="381">
        <f t="shared" si="6"/>
        <v>5</v>
      </c>
      <c r="B364" s="462"/>
      <c r="F364" s="357" t="s">
        <v>468</v>
      </c>
      <c r="G364" s="300">
        <f>ROUND(G362*G363,0)</f>
        <v>127073</v>
      </c>
      <c r="H364" s="300">
        <f>ROUND(H362*H363,0)</f>
        <v>293822</v>
      </c>
    </row>
    <row r="365" spans="1:13">
      <c r="A365" s="381">
        <f t="shared" si="6"/>
        <v>6</v>
      </c>
      <c r="B365" s="462"/>
      <c r="G365" s="248"/>
      <c r="H365" s="248"/>
    </row>
    <row r="366" spans="1:13">
      <c r="A366" s="381">
        <f t="shared" si="6"/>
        <v>7</v>
      </c>
      <c r="B366" s="462"/>
      <c r="E366" s="482"/>
      <c r="F366" s="680" t="s">
        <v>497</v>
      </c>
      <c r="G366" s="840" t="e">
        <f>G364+G337+G343+G349</f>
        <v>#REF!</v>
      </c>
      <c r="H366" s="840" t="e">
        <f>H364+H337+H343+H349</f>
        <v>#REF!</v>
      </c>
    </row>
    <row r="367" spans="1:13">
      <c r="A367" s="381">
        <f t="shared" si="6"/>
        <v>8</v>
      </c>
      <c r="B367" s="462"/>
      <c r="E367" s="482"/>
      <c r="F367" s="482"/>
      <c r="G367" s="244"/>
      <c r="H367" s="244"/>
    </row>
    <row r="368" spans="1:13" ht="12.75" thickBot="1">
      <c r="A368" s="381">
        <f t="shared" si="6"/>
        <v>9</v>
      </c>
      <c r="B368" s="461"/>
      <c r="C368" s="246"/>
      <c r="D368" s="446"/>
      <c r="E368" s="446"/>
      <c r="F368" s="478" t="s">
        <v>467</v>
      </c>
      <c r="G368" s="481" t="e">
        <f>G331+G366</f>
        <v>#REF!</v>
      </c>
      <c r="H368" s="481" t="e">
        <f>H331+H366</f>
        <v>#REF!</v>
      </c>
    </row>
    <row r="369" spans="1:14" ht="12.75" thickTop="1">
      <c r="A369" s="381">
        <f t="shared" si="6"/>
        <v>10</v>
      </c>
      <c r="B369" s="461" t="s">
        <v>458</v>
      </c>
      <c r="C369" s="446" t="s">
        <v>283</v>
      </c>
      <c r="D369" s="630"/>
      <c r="E369" s="630"/>
      <c r="F369" s="446"/>
      <c r="G369" s="244"/>
      <c r="H369" s="244"/>
    </row>
    <row r="370" spans="1:14" ht="12" customHeight="1">
      <c r="A370" s="381">
        <f t="shared" si="6"/>
        <v>11</v>
      </c>
      <c r="B370" s="698" t="s">
        <v>202</v>
      </c>
      <c r="C370" s="357" t="s">
        <v>1061</v>
      </c>
      <c r="D370" s="242"/>
      <c r="E370" s="489"/>
      <c r="F370" s="242"/>
    </row>
    <row r="371" spans="1:14" ht="12" customHeight="1">
      <c r="A371" s="381">
        <f t="shared" si="6"/>
        <v>12</v>
      </c>
      <c r="B371" s="489"/>
      <c r="C371" s="699" t="s">
        <v>1058</v>
      </c>
      <c r="D371" s="242"/>
      <c r="E371" s="489"/>
      <c r="F371" s="242"/>
      <c r="G371" s="244">
        <v>-528045.73833000008</v>
      </c>
      <c r="H371" s="244">
        <v>-484700.21167000011</v>
      </c>
    </row>
    <row r="372" spans="1:14" ht="12" customHeight="1">
      <c r="A372" s="381">
        <f t="shared" si="6"/>
        <v>13</v>
      </c>
      <c r="B372" s="489"/>
      <c r="C372" s="699" t="s">
        <v>1059</v>
      </c>
      <c r="D372" s="242"/>
      <c r="E372" s="489"/>
      <c r="F372" s="242"/>
      <c r="G372" s="244">
        <v>310898</v>
      </c>
      <c r="H372" s="244">
        <v>-12229</v>
      </c>
    </row>
    <row r="373" spans="1:14" ht="12" customHeight="1">
      <c r="A373" s="381">
        <f t="shared" si="6"/>
        <v>14</v>
      </c>
      <c r="B373" s="489"/>
      <c r="D373" s="242"/>
      <c r="E373" s="489"/>
      <c r="F373" s="700" t="s">
        <v>1060</v>
      </c>
      <c r="G373" s="701">
        <f>G372-G371</f>
        <v>838943.73833000008</v>
      </c>
      <c r="H373" s="701">
        <f>H372-H371</f>
        <v>472471.21167000011</v>
      </c>
    </row>
    <row r="374" spans="1:14" ht="12" customHeight="1">
      <c r="A374" s="381">
        <f t="shared" si="6"/>
        <v>15</v>
      </c>
      <c r="B374" s="489"/>
      <c r="D374" s="242"/>
      <c r="E374" s="489"/>
      <c r="F374" s="700"/>
      <c r="G374" s="688"/>
      <c r="H374" s="688"/>
    </row>
    <row r="375" spans="1:14" ht="12" customHeight="1">
      <c r="A375" s="381">
        <f t="shared" si="6"/>
        <v>16</v>
      </c>
      <c r="B375" s="489" t="s">
        <v>203</v>
      </c>
      <c r="C375" s="357" t="s">
        <v>471</v>
      </c>
      <c r="D375" s="242"/>
      <c r="E375" s="473"/>
      <c r="F375" s="242"/>
      <c r="G375" s="644">
        <v>712396.65451513429</v>
      </c>
      <c r="H375" s="644">
        <v>1625973.0452823474</v>
      </c>
    </row>
    <row r="376" spans="1:14" ht="12" customHeight="1">
      <c r="A376" s="381">
        <f t="shared" si="6"/>
        <v>17</v>
      </c>
      <c r="B376" s="548"/>
      <c r="C376" s="473"/>
      <c r="D376" s="473"/>
      <c r="E376" s="473"/>
      <c r="F376" s="634"/>
      <c r="G376" s="248"/>
      <c r="H376" s="248"/>
      <c r="J376" s="242"/>
    </row>
    <row r="377" spans="1:14" ht="12" customHeight="1" thickBot="1">
      <c r="A377" s="381">
        <f t="shared" si="6"/>
        <v>18</v>
      </c>
      <c r="B377" s="548"/>
      <c r="C377" s="473"/>
      <c r="D377" s="473"/>
      <c r="E377" s="473"/>
      <c r="F377" s="551" t="s">
        <v>1131</v>
      </c>
      <c r="G377" s="481">
        <f>G373+G375</f>
        <v>1551340.3928451343</v>
      </c>
      <c r="H377" s="481">
        <f>H373+H375</f>
        <v>2098444.2569523472</v>
      </c>
    </row>
    <row r="378" spans="1:14" ht="12.75" thickTop="1">
      <c r="A378" s="381">
        <f t="shared" si="6"/>
        <v>19</v>
      </c>
      <c r="B378" s="462"/>
      <c r="C378" s="473" t="s">
        <v>1130</v>
      </c>
      <c r="G378" s="248"/>
      <c r="H378" s="248"/>
      <c r="K378" s="242"/>
      <c r="L378" s="244"/>
      <c r="M378" s="702"/>
      <c r="N378" s="242"/>
    </row>
    <row r="379" spans="1:14" ht="12" customHeight="1">
      <c r="A379" s="381">
        <f t="shared" si="6"/>
        <v>20</v>
      </c>
      <c r="B379" s="489" t="s">
        <v>204</v>
      </c>
      <c r="C379" s="357" t="s">
        <v>1117</v>
      </c>
      <c r="D379" s="473"/>
      <c r="E379" s="473"/>
      <c r="F379" s="634"/>
      <c r="G379" s="248"/>
      <c r="H379" s="248"/>
      <c r="J379" s="242"/>
    </row>
    <row r="380" spans="1:14" ht="12" customHeight="1">
      <c r="A380" s="381">
        <f t="shared" ref="A380:A386" si="7">A379+1</f>
        <v>21</v>
      </c>
      <c r="B380" s="548"/>
      <c r="C380" s="357" t="s">
        <v>1125</v>
      </c>
      <c r="D380" s="473"/>
      <c r="E380" s="473"/>
      <c r="F380" s="634"/>
      <c r="G380" s="248">
        <f>J396</f>
        <v>-13979.361853048489</v>
      </c>
      <c r="H380" s="248">
        <f>J397</f>
        <v>-22043.938146951517</v>
      </c>
      <c r="J380" s="242"/>
    </row>
    <row r="381" spans="1:14" ht="12" customHeight="1">
      <c r="A381" s="381">
        <f t="shared" si="7"/>
        <v>22</v>
      </c>
      <c r="B381" s="548"/>
      <c r="C381" s="357" t="s">
        <v>1126</v>
      </c>
      <c r="D381" s="473"/>
      <c r="E381" s="473"/>
      <c r="F381" s="634"/>
      <c r="G381" s="644">
        <f>I396</f>
        <v>-100041.76466158652</v>
      </c>
      <c r="H381" s="644">
        <f>I397</f>
        <v>-157755.01739594637</v>
      </c>
      <c r="J381" s="242"/>
    </row>
    <row r="382" spans="1:14" ht="12" customHeight="1">
      <c r="A382" s="381">
        <f t="shared" si="7"/>
        <v>23</v>
      </c>
      <c r="B382" s="548"/>
      <c r="D382" s="473"/>
      <c r="E382" s="473"/>
      <c r="F382" s="489" t="s">
        <v>1127</v>
      </c>
      <c r="G382" s="248">
        <f>SUM(G380:G381)</f>
        <v>-114021.12651463502</v>
      </c>
      <c r="H382" s="248">
        <f>SUM(H380:H381)</f>
        <v>-179798.95554289789</v>
      </c>
      <c r="J382" s="242"/>
    </row>
    <row r="383" spans="1:14" ht="12" customHeight="1">
      <c r="A383" s="381">
        <f t="shared" si="7"/>
        <v>24</v>
      </c>
      <c r="B383" s="548"/>
      <c r="D383" s="473"/>
      <c r="E383" s="473"/>
      <c r="F383" s="489"/>
      <c r="G383" s="248"/>
      <c r="H383" s="248"/>
      <c r="I383" s="242"/>
      <c r="J383" s="242"/>
    </row>
    <row r="384" spans="1:14" ht="12" customHeight="1" thickBot="1">
      <c r="A384" s="381">
        <f t="shared" si="7"/>
        <v>25</v>
      </c>
      <c r="B384" s="548"/>
      <c r="C384" s="473"/>
      <c r="D384" s="473"/>
      <c r="E384" s="473"/>
      <c r="F384" s="551" t="s">
        <v>470</v>
      </c>
      <c r="G384" s="481">
        <f>G377+G382</f>
        <v>1437319.2663304992</v>
      </c>
      <c r="H384" s="481">
        <f>H377+H382</f>
        <v>1918645.3014094494</v>
      </c>
    </row>
    <row r="385" spans="1:14" ht="12.75" thickTop="1">
      <c r="A385" s="381">
        <f t="shared" si="7"/>
        <v>26</v>
      </c>
      <c r="B385" s="462"/>
      <c r="G385" s="248"/>
      <c r="H385" s="248"/>
      <c r="K385" s="242"/>
      <c r="L385" s="242"/>
      <c r="M385" s="702"/>
      <c r="N385" s="242"/>
    </row>
    <row r="386" spans="1:14" ht="12.75" thickBot="1">
      <c r="A386" s="381">
        <f t="shared" si="7"/>
        <v>27</v>
      </c>
      <c r="B386" s="242"/>
      <c r="C386" s="242"/>
      <c r="D386" s="242"/>
      <c r="E386" s="242"/>
      <c r="F386" s="551" t="s">
        <v>1136</v>
      </c>
      <c r="G386" s="481">
        <f>G384+G371</f>
        <v>909273.52800049912</v>
      </c>
      <c r="H386" s="481">
        <f>H384+H371</f>
        <v>1433945.0897394493</v>
      </c>
    </row>
    <row r="387" spans="1:14" ht="12.75" thickTop="1">
      <c r="A387" s="703"/>
      <c r="B387" s="242"/>
      <c r="C387" s="242"/>
      <c r="D387" s="242"/>
      <c r="E387" s="242"/>
      <c r="F387" s="242"/>
      <c r="G387" s="244"/>
    </row>
    <row r="388" spans="1:14">
      <c r="B388" s="242"/>
      <c r="C388" s="242"/>
      <c r="D388" s="242"/>
      <c r="E388" s="242"/>
      <c r="F388" s="242"/>
      <c r="G388" s="244"/>
      <c r="I388" s="242"/>
      <c r="J388" s="242"/>
      <c r="K388" s="242"/>
      <c r="L388" s="242"/>
      <c r="M388" s="242"/>
      <c r="N388" s="242"/>
    </row>
    <row r="389" spans="1:14">
      <c r="B389" s="242"/>
      <c r="C389" s="242"/>
      <c r="D389" s="242"/>
      <c r="E389" s="242"/>
      <c r="F389" s="242"/>
      <c r="G389" s="244"/>
      <c r="I389" s="242"/>
      <c r="J389" s="242"/>
      <c r="K389" s="242"/>
      <c r="L389" s="242"/>
      <c r="M389" s="242"/>
      <c r="N389" s="242"/>
    </row>
    <row r="390" spans="1:14">
      <c r="B390" s="242"/>
      <c r="C390" s="242"/>
      <c r="D390" s="242"/>
      <c r="E390" s="242"/>
      <c r="F390" s="242"/>
      <c r="G390" s="244"/>
      <c r="I390" s="242"/>
      <c r="J390" s="242"/>
      <c r="K390" s="242"/>
      <c r="L390" s="242"/>
      <c r="M390" s="242"/>
      <c r="N390" s="242"/>
    </row>
    <row r="391" spans="1:14" ht="12.75" thickBot="1">
      <c r="B391" s="242"/>
      <c r="C391" s="242"/>
      <c r="D391" s="242"/>
      <c r="E391" s="242"/>
      <c r="F391" s="242"/>
      <c r="G391" s="704">
        <v>-5288186.8600000003</v>
      </c>
      <c r="H391" s="704">
        <v>-360285.38</v>
      </c>
      <c r="I391" s="705">
        <v>-5648472.2400000002</v>
      </c>
      <c r="J391" s="288" t="s">
        <v>568</v>
      </c>
      <c r="K391" s="242"/>
      <c r="L391" s="242"/>
      <c r="M391" s="242"/>
      <c r="N391" s="242"/>
    </row>
    <row r="392" spans="1:14" ht="13.5" thickTop="1" thickBot="1">
      <c r="B392" s="242"/>
      <c r="C392" s="242"/>
      <c r="D392" s="242"/>
      <c r="E392" s="242"/>
      <c r="F392" s="242"/>
      <c r="G392" s="704">
        <f>ROUND(G391/I391*I392,0)</f>
        <v>-5287412</v>
      </c>
      <c r="H392" s="704">
        <f>ROUND(H391/I391*I392,0)</f>
        <v>-360233</v>
      </c>
      <c r="I392" s="704">
        <v>-5647645</v>
      </c>
      <c r="J392" s="288" t="s">
        <v>1124</v>
      </c>
      <c r="K392" s="242"/>
      <c r="L392" s="242"/>
      <c r="M392" s="242"/>
      <c r="N392" s="242"/>
    </row>
    <row r="393" spans="1:14" ht="12.75" thickTop="1">
      <c r="B393" s="242"/>
      <c r="C393" s="242"/>
      <c r="D393" s="242"/>
      <c r="E393" s="242"/>
      <c r="F393" s="242"/>
      <c r="G393" s="706" t="s">
        <v>1118</v>
      </c>
      <c r="H393" s="706" t="s">
        <v>1119</v>
      </c>
      <c r="I393" s="243"/>
      <c r="J393" s="242"/>
      <c r="K393" s="242"/>
      <c r="L393" s="242"/>
      <c r="M393" s="242"/>
      <c r="N393" s="242"/>
    </row>
    <row r="394" spans="1:14">
      <c r="B394" s="242"/>
      <c r="C394" s="242"/>
      <c r="D394" s="242"/>
      <c r="E394" s="242"/>
      <c r="F394" s="242"/>
      <c r="G394" s="707" t="s">
        <v>1121</v>
      </c>
      <c r="H394" s="707" t="s">
        <v>1120</v>
      </c>
      <c r="J394" s="242"/>
      <c r="K394" s="242"/>
      <c r="L394" s="242"/>
      <c r="M394" s="242"/>
      <c r="N394" s="242"/>
    </row>
    <row r="395" spans="1:14">
      <c r="B395" s="242"/>
      <c r="C395" s="242"/>
      <c r="D395" s="242"/>
      <c r="E395" s="242"/>
      <c r="F395" s="242"/>
      <c r="G395" s="244">
        <f>SUM(G396:G397)</f>
        <v>146661160.62014964</v>
      </c>
      <c r="I395" s="283">
        <f>G392/20.51</f>
        <v>-257796.7820575329</v>
      </c>
      <c r="J395" s="283">
        <f>H392/10</f>
        <v>-36023.300000000003</v>
      </c>
      <c r="K395" s="244">
        <f>SUM(I395:J395)</f>
        <v>-293820.08205753291</v>
      </c>
      <c r="L395" s="242"/>
      <c r="M395" s="242"/>
      <c r="N395" s="242"/>
    </row>
    <row r="396" spans="1:14">
      <c r="B396" s="242"/>
      <c r="C396" s="242"/>
      <c r="D396" s="242"/>
      <c r="E396" s="242"/>
      <c r="F396" s="242" t="s">
        <v>1122</v>
      </c>
      <c r="G396" s="244">
        <v>56913981.62014965</v>
      </c>
      <c r="H396" s="702">
        <f>G396/G395</f>
        <v>0.38806444309789739</v>
      </c>
      <c r="I396" s="244">
        <f>I$395*$H396</f>
        <v>-100041.76466158652</v>
      </c>
      <c r="J396" s="244">
        <f>J$395*$H396</f>
        <v>-13979.361853048489</v>
      </c>
      <c r="K396" s="244">
        <f>SUM(I396:J396)</f>
        <v>-114021.12651463502</v>
      </c>
      <c r="L396" s="242"/>
      <c r="M396" s="242"/>
      <c r="N396" s="242"/>
    </row>
    <row r="397" spans="1:14">
      <c r="B397" s="242"/>
      <c r="C397" s="242"/>
      <c r="D397" s="242"/>
      <c r="E397" s="242"/>
      <c r="F397" s="242" t="s">
        <v>1123</v>
      </c>
      <c r="G397" s="244">
        <v>89747179</v>
      </c>
      <c r="H397" s="702">
        <f>G397/G395</f>
        <v>0.61193555690210266</v>
      </c>
      <c r="I397" s="244">
        <f>I$395*$H397</f>
        <v>-157755.01739594637</v>
      </c>
      <c r="J397" s="244">
        <f>J$395*$H397</f>
        <v>-22043.938146951517</v>
      </c>
      <c r="K397" s="244">
        <f>SUM(I397:J397)</f>
        <v>-179798.95554289789</v>
      </c>
      <c r="L397" s="242"/>
      <c r="M397" s="242"/>
      <c r="N397" s="242"/>
    </row>
    <row r="398" spans="1:14">
      <c r="B398" s="242"/>
      <c r="C398" s="242"/>
      <c r="D398" s="242"/>
      <c r="E398" s="242"/>
      <c r="F398" s="242"/>
      <c r="I398" s="242"/>
      <c r="J398" s="242"/>
      <c r="K398" s="242"/>
      <c r="L398" s="242"/>
      <c r="M398" s="242"/>
      <c r="N398" s="242"/>
    </row>
    <row r="399" spans="1:14">
      <c r="B399" s="242"/>
      <c r="C399" s="242"/>
      <c r="D399" s="242"/>
      <c r="E399" s="242"/>
      <c r="F399" s="242"/>
      <c r="I399" s="242"/>
      <c r="J399" s="242"/>
      <c r="K399" s="242"/>
      <c r="L399" s="242"/>
      <c r="M399" s="242"/>
      <c r="N399" s="242"/>
    </row>
    <row r="400" spans="1:14" ht="12" customHeight="1">
      <c r="B400" s="242"/>
      <c r="C400" s="242"/>
      <c r="D400" s="242"/>
      <c r="E400" s="242"/>
      <c r="F400" s="242"/>
      <c r="I400" s="242"/>
      <c r="J400" s="242"/>
      <c r="K400" s="242"/>
      <c r="L400" s="242"/>
      <c r="M400" s="242"/>
      <c r="N400" s="242"/>
    </row>
  </sheetData>
  <mergeCells count="8">
    <mergeCell ref="A356:H357"/>
    <mergeCell ref="A220:H221"/>
    <mergeCell ref="A286:H287"/>
    <mergeCell ref="A6:H7"/>
    <mergeCell ref="D62:F63"/>
    <mergeCell ref="A72:H73"/>
    <mergeCell ref="A147:H148"/>
    <mergeCell ref="C43:F44"/>
  </mergeCells>
  <phoneticPr fontId="41" type="noConversion"/>
  <pageMargins left="0.5" right="0.25" top="0.5" bottom="0.25" header="0.05" footer="0.05"/>
  <pageSetup scale="83" fitToHeight="6" orientation="portrait" r:id="rId1"/>
  <rowBreaks count="5" manualBreakCount="5">
    <brk id="66" max="7" man="1"/>
    <brk id="141" max="7" man="1"/>
    <brk id="214" max="7" man="1"/>
    <brk id="280" max="7" man="1"/>
    <brk id="350"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27">
    <tabColor rgb="FF66FFFF"/>
    <pageSetUpPr fitToPage="1"/>
  </sheetPr>
  <dimension ref="A1:R117"/>
  <sheetViews>
    <sheetView workbookViewId="0"/>
  </sheetViews>
  <sheetFormatPr defaultColWidth="10.7109375" defaultRowHeight="12"/>
  <cols>
    <col min="1" max="1" width="7.28515625" style="242" customWidth="1"/>
    <col min="2" max="2" width="33.7109375" style="242" customWidth="1"/>
    <col min="3" max="3" width="2.28515625" style="242" customWidth="1"/>
    <col min="4" max="4" width="12.7109375" style="242" customWidth="1"/>
    <col min="5" max="5" width="2.28515625" style="242" customWidth="1"/>
    <col min="6" max="6" width="32.28515625" style="242" customWidth="1"/>
    <col min="7" max="7" width="2.7109375" style="242" customWidth="1"/>
    <col min="8" max="8" width="12.7109375" style="242" customWidth="1"/>
    <col min="9" max="9" width="10.7109375" style="242"/>
    <col min="10" max="10" width="12.5703125" style="242" bestFit="1" customWidth="1"/>
    <col min="11" max="16384" width="10.7109375" style="242"/>
  </cols>
  <sheetData>
    <row r="1" spans="1:10">
      <c r="A1" s="246" t="s">
        <v>436</v>
      </c>
      <c r="B1" s="246"/>
      <c r="C1" s="246"/>
      <c r="D1" s="306"/>
      <c r="E1" s="306"/>
      <c r="F1" s="246"/>
      <c r="H1" s="260" t="s">
        <v>84</v>
      </c>
    </row>
    <row r="2" spans="1:10">
      <c r="A2" s="246"/>
      <c r="B2" s="246"/>
      <c r="C2" s="246"/>
      <c r="D2" s="306"/>
      <c r="E2" s="306"/>
      <c r="F2" s="246"/>
      <c r="H2" s="260"/>
    </row>
    <row r="3" spans="1:10">
      <c r="A3" s="246" t="s">
        <v>565</v>
      </c>
      <c r="B3" s="246"/>
      <c r="D3" s="306"/>
      <c r="E3" s="306"/>
      <c r="F3" s="246"/>
      <c r="H3" s="260" t="s">
        <v>437</v>
      </c>
    </row>
    <row r="4" spans="1:10">
      <c r="A4" s="246" t="s">
        <v>705</v>
      </c>
      <c r="B4" s="54"/>
      <c r="D4" s="246"/>
      <c r="E4" s="246"/>
      <c r="F4" s="246"/>
      <c r="H4" s="260" t="s">
        <v>150</v>
      </c>
    </row>
    <row r="5" spans="1:10">
      <c r="A5" s="246" t="s">
        <v>566</v>
      </c>
      <c r="B5" s="54"/>
      <c r="D5" s="246"/>
      <c r="E5" s="246"/>
      <c r="F5" s="246"/>
      <c r="H5" s="260" t="s">
        <v>558</v>
      </c>
    </row>
    <row r="6" spans="1:10">
      <c r="A6" s="272" t="s">
        <v>285</v>
      </c>
      <c r="B6" s="246"/>
      <c r="D6" s="246"/>
      <c r="E6" s="246"/>
      <c r="F6" s="246"/>
      <c r="H6" s="260" t="s">
        <v>212</v>
      </c>
    </row>
    <row r="7" spans="1:10">
      <c r="A7" s="246"/>
      <c r="B7" s="54"/>
      <c r="D7" s="246"/>
      <c r="E7" s="246"/>
      <c r="F7" s="246"/>
      <c r="G7" s="246"/>
      <c r="H7" s="246"/>
    </row>
    <row r="8" spans="1:10" ht="12" customHeight="1">
      <c r="A8" s="1012" t="s">
        <v>178</v>
      </c>
      <c r="B8" s="1012"/>
      <c r="C8" s="1012"/>
      <c r="D8" s="1012"/>
      <c r="E8" s="1012"/>
      <c r="F8" s="1012"/>
      <c r="G8" s="1012"/>
      <c r="H8" s="1012"/>
    </row>
    <row r="9" spans="1:10">
      <c r="A9" s="1012"/>
      <c r="B9" s="1012"/>
      <c r="C9" s="1012"/>
      <c r="D9" s="1012"/>
      <c r="E9" s="1012"/>
      <c r="F9" s="1012"/>
      <c r="G9" s="1012"/>
      <c r="H9" s="1012"/>
    </row>
    <row r="10" spans="1:10">
      <c r="A10" s="1012"/>
      <c r="B10" s="1012"/>
      <c r="C10" s="1012"/>
      <c r="D10" s="1012"/>
      <c r="E10" s="1012"/>
      <c r="F10" s="1012"/>
      <c r="G10" s="1012"/>
      <c r="H10" s="1012"/>
    </row>
    <row r="11" spans="1:10" ht="12.75" thickBot="1">
      <c r="A11" s="273"/>
      <c r="B11" s="273"/>
      <c r="C11" s="273"/>
      <c r="D11" s="273"/>
      <c r="E11" s="273"/>
      <c r="F11" s="273"/>
      <c r="G11" s="273"/>
      <c r="H11" s="273"/>
    </row>
    <row r="12" spans="1:10">
      <c r="A12" s="246"/>
      <c r="B12" s="368" t="s">
        <v>71</v>
      </c>
      <c r="C12" s="368"/>
      <c r="D12" s="274" t="s">
        <v>202</v>
      </c>
      <c r="E12" s="274"/>
      <c r="F12" s="368" t="s">
        <v>72</v>
      </c>
      <c r="G12" s="368"/>
      <c r="H12" s="274" t="s">
        <v>203</v>
      </c>
    </row>
    <row r="13" spans="1:10">
      <c r="A13" s="274" t="s">
        <v>289</v>
      </c>
      <c r="B13" s="368"/>
      <c r="C13" s="368"/>
      <c r="D13" s="274" t="s">
        <v>73</v>
      </c>
      <c r="E13" s="274"/>
      <c r="F13" s="368"/>
      <c r="G13" s="368"/>
      <c r="H13" s="274" t="s">
        <v>73</v>
      </c>
    </row>
    <row r="14" spans="1:10" ht="14.25">
      <c r="A14" s="559" t="s">
        <v>351</v>
      </c>
      <c r="B14" s="559" t="s">
        <v>74</v>
      </c>
      <c r="C14" s="559"/>
      <c r="D14" s="558" t="s">
        <v>251</v>
      </c>
      <c r="E14" s="558"/>
      <c r="F14" s="559" t="s">
        <v>74</v>
      </c>
      <c r="G14" s="559"/>
      <c r="H14" s="558" t="s">
        <v>252</v>
      </c>
    </row>
    <row r="15" spans="1:10">
      <c r="A15" s="374"/>
    </row>
    <row r="16" spans="1:10">
      <c r="A16" s="374">
        <v>1</v>
      </c>
      <c r="B16" s="288" t="s">
        <v>536</v>
      </c>
      <c r="C16" s="246"/>
      <c r="D16" s="257"/>
      <c r="E16" s="257"/>
      <c r="F16" s="244" t="s">
        <v>75</v>
      </c>
      <c r="H16" s="257">
        <v>4431559.42</v>
      </c>
      <c r="J16" s="244"/>
    </row>
    <row r="17" spans="1:13">
      <c r="A17" s="374">
        <f>A16+1</f>
        <v>2</v>
      </c>
      <c r="B17" s="288" t="s">
        <v>537</v>
      </c>
      <c r="C17" s="246"/>
      <c r="D17" s="326">
        <v>13774201.059999999</v>
      </c>
      <c r="E17" s="326"/>
      <c r="F17" s="244" t="s">
        <v>76</v>
      </c>
      <c r="G17" s="244"/>
      <c r="H17" s="244"/>
      <c r="J17" s="244"/>
    </row>
    <row r="18" spans="1:13">
      <c r="A18" s="374">
        <f t="shared" ref="A18:A46" si="0">A17+1</f>
        <v>3</v>
      </c>
      <c r="B18" s="242" t="s">
        <v>77</v>
      </c>
      <c r="C18" s="246"/>
      <c r="D18" s="244">
        <v>2054013.0000000002</v>
      </c>
      <c r="E18" s="244"/>
      <c r="F18" s="244" t="s">
        <v>78</v>
      </c>
      <c r="G18" s="244"/>
      <c r="H18" s="244"/>
    </row>
    <row r="19" spans="1:13">
      <c r="A19" s="374">
        <f t="shared" si="0"/>
        <v>4</v>
      </c>
      <c r="B19" s="242" t="s">
        <v>82</v>
      </c>
      <c r="C19" s="246"/>
      <c r="D19" s="244"/>
      <c r="E19" s="244"/>
      <c r="F19" s="244" t="s">
        <v>83</v>
      </c>
      <c r="G19" s="244"/>
      <c r="H19" s="244"/>
    </row>
    <row r="20" spans="1:13">
      <c r="A20" s="374">
        <f t="shared" si="0"/>
        <v>5</v>
      </c>
      <c r="B20" s="242" t="s">
        <v>428</v>
      </c>
      <c r="C20" s="246"/>
      <c r="D20" s="244"/>
      <c r="E20" s="244"/>
      <c r="F20" s="244" t="s">
        <v>271</v>
      </c>
      <c r="G20" s="244"/>
      <c r="H20" s="244"/>
    </row>
    <row r="21" spans="1:13">
      <c r="A21" s="374">
        <f t="shared" si="0"/>
        <v>6</v>
      </c>
      <c r="B21" s="242" t="s">
        <v>272</v>
      </c>
      <c r="C21" s="246"/>
      <c r="D21" s="244">
        <v>75676.890000000014</v>
      </c>
      <c r="E21" s="244"/>
      <c r="F21" s="244" t="s">
        <v>273</v>
      </c>
      <c r="G21" s="244"/>
      <c r="H21" s="244"/>
    </row>
    <row r="22" spans="1:13">
      <c r="A22" s="374">
        <f t="shared" si="0"/>
        <v>7</v>
      </c>
      <c r="B22" s="242" t="s">
        <v>274</v>
      </c>
      <c r="C22" s="246"/>
      <c r="D22" s="244"/>
      <c r="E22" s="244"/>
      <c r="F22" s="424" t="s">
        <v>539</v>
      </c>
      <c r="G22" s="244"/>
      <c r="H22" s="326">
        <v>10938782.16</v>
      </c>
      <c r="K22" s="711">
        <v>5127</v>
      </c>
      <c r="L22" s="712" t="s">
        <v>600</v>
      </c>
      <c r="M22" s="713" t="s">
        <v>607</v>
      </c>
    </row>
    <row r="23" spans="1:13">
      <c r="A23" s="374">
        <f t="shared" si="0"/>
        <v>8</v>
      </c>
      <c r="B23" s="242" t="s">
        <v>303</v>
      </c>
      <c r="C23" s="246"/>
      <c r="D23" s="244">
        <v>27140.170000000002</v>
      </c>
      <c r="E23" s="244"/>
      <c r="F23" s="244" t="s">
        <v>304</v>
      </c>
      <c r="G23" s="244"/>
      <c r="H23" s="244">
        <v>3918433.2100000009</v>
      </c>
    </row>
    <row r="24" spans="1:13">
      <c r="A24" s="374">
        <f t="shared" si="0"/>
        <v>9</v>
      </c>
      <c r="B24" s="242" t="s">
        <v>305</v>
      </c>
      <c r="C24" s="246"/>
      <c r="D24" s="244"/>
      <c r="E24" s="244"/>
      <c r="F24" s="244" t="s">
        <v>306</v>
      </c>
      <c r="G24" s="244"/>
      <c r="H24" s="244"/>
    </row>
    <row r="25" spans="1:13">
      <c r="A25" s="374">
        <f t="shared" si="0"/>
        <v>10</v>
      </c>
      <c r="B25" s="242" t="s">
        <v>307</v>
      </c>
      <c r="C25" s="246"/>
      <c r="D25" s="244"/>
      <c r="E25" s="244"/>
      <c r="F25" s="244" t="s">
        <v>308</v>
      </c>
      <c r="G25" s="244"/>
      <c r="H25" s="244"/>
    </row>
    <row r="26" spans="1:13">
      <c r="A26" s="374">
        <f t="shared" si="0"/>
        <v>11</v>
      </c>
      <c r="B26" s="242" t="s">
        <v>309</v>
      </c>
      <c r="C26" s="246"/>
      <c r="D26" s="244"/>
      <c r="E26" s="244"/>
      <c r="F26" s="244" t="s">
        <v>310</v>
      </c>
      <c r="G26" s="244"/>
      <c r="H26" s="244"/>
      <c r="I26" s="242" t="s">
        <v>608</v>
      </c>
    </row>
    <row r="27" spans="1:13">
      <c r="A27" s="374">
        <f t="shared" si="0"/>
        <v>12</v>
      </c>
      <c r="B27" s="242" t="s">
        <v>311</v>
      </c>
      <c r="C27" s="246"/>
      <c r="D27" s="248"/>
      <c r="E27" s="248"/>
      <c r="F27" s="244" t="s">
        <v>312</v>
      </c>
      <c r="G27" s="244"/>
      <c r="H27" s="244"/>
      <c r="I27" s="411" t="s">
        <v>659</v>
      </c>
      <c r="J27" s="643">
        <v>725636</v>
      </c>
    </row>
    <row r="28" spans="1:13">
      <c r="A28" s="374">
        <f t="shared" si="0"/>
        <v>13</v>
      </c>
      <c r="B28" s="242" t="s">
        <v>538</v>
      </c>
      <c r="C28" s="246"/>
      <c r="D28" s="648">
        <v>56545.400000000023</v>
      </c>
      <c r="E28" s="244"/>
      <c r="F28" s="244" t="s">
        <v>313</v>
      </c>
      <c r="G28" s="244"/>
      <c r="H28" s="244"/>
    </row>
    <row r="29" spans="1:13">
      <c r="A29" s="374">
        <f t="shared" si="0"/>
        <v>14</v>
      </c>
      <c r="E29" s="248"/>
      <c r="F29" s="244" t="s">
        <v>314</v>
      </c>
      <c r="G29" s="244"/>
      <c r="H29" s="248"/>
    </row>
    <row r="30" spans="1:13">
      <c r="A30" s="374">
        <f t="shared" si="0"/>
        <v>15</v>
      </c>
      <c r="B30" s="246"/>
      <c r="C30" s="246"/>
      <c r="D30" s="244"/>
      <c r="E30" s="244"/>
      <c r="F30" s="244" t="s">
        <v>540</v>
      </c>
      <c r="G30" s="244"/>
      <c r="H30" s="648">
        <v>74527.579999999987</v>
      </c>
    </row>
    <row r="31" spans="1:13">
      <c r="A31" s="374">
        <f t="shared" si="0"/>
        <v>16</v>
      </c>
      <c r="B31" s="358" t="s">
        <v>485</v>
      </c>
      <c r="C31" s="246"/>
      <c r="D31" s="714">
        <f>SUM(D16:D28)</f>
        <v>15987576.52</v>
      </c>
      <c r="E31" s="244"/>
      <c r="F31" s="247" t="s">
        <v>486</v>
      </c>
      <c r="G31" s="244"/>
      <c r="H31" s="714">
        <f>SUM(H16:H30)</f>
        <v>19363302.369999997</v>
      </c>
    </row>
    <row r="32" spans="1:13">
      <c r="A32" s="374">
        <f t="shared" si="0"/>
        <v>17</v>
      </c>
      <c r="E32" s="244"/>
      <c r="F32" s="247"/>
      <c r="G32" s="244"/>
      <c r="H32" s="244"/>
    </row>
    <row r="33" spans="1:18" ht="12.75" thickBot="1">
      <c r="A33" s="374">
        <f t="shared" si="0"/>
        <v>18</v>
      </c>
      <c r="B33" s="246" t="s">
        <v>315</v>
      </c>
      <c r="C33" s="246"/>
      <c r="D33" s="244"/>
      <c r="E33" s="244"/>
      <c r="F33" s="247" t="s">
        <v>318</v>
      </c>
      <c r="G33" s="244"/>
      <c r="H33" s="244"/>
    </row>
    <row r="34" spans="1:18" ht="12.75" thickBot="1">
      <c r="A34" s="374">
        <f t="shared" si="0"/>
        <v>19</v>
      </c>
      <c r="B34" s="242" t="s">
        <v>316</v>
      </c>
      <c r="C34" s="246"/>
      <c r="D34" s="244">
        <v>195214.43851799998</v>
      </c>
      <c r="E34" s="244"/>
      <c r="F34" s="424" t="s">
        <v>151</v>
      </c>
      <c r="G34" s="244"/>
      <c r="H34" s="244">
        <v>17340.239999999998</v>
      </c>
      <c r="I34" s="290" t="s">
        <v>646</v>
      </c>
      <c r="K34" s="715">
        <v>5128</v>
      </c>
      <c r="L34" s="716" t="s">
        <v>601</v>
      </c>
      <c r="M34" s="717" t="s">
        <v>597</v>
      </c>
      <c r="N34" s="718"/>
    </row>
    <row r="35" spans="1:18" ht="12.75" thickBot="1">
      <c r="A35" s="374">
        <f t="shared" si="0"/>
        <v>20</v>
      </c>
      <c r="B35" s="242" t="s">
        <v>317</v>
      </c>
      <c r="C35" s="246"/>
      <c r="D35" s="244">
        <v>165283.21081799999</v>
      </c>
      <c r="E35" s="244"/>
      <c r="F35" s="244" t="s">
        <v>320</v>
      </c>
      <c r="G35" s="244"/>
      <c r="H35" s="244"/>
      <c r="I35" s="411" t="s">
        <v>658</v>
      </c>
    </row>
    <row r="36" spans="1:18" ht="12.75" thickBot="1">
      <c r="A36" s="374">
        <f t="shared" si="0"/>
        <v>21</v>
      </c>
      <c r="B36" s="242" t="s">
        <v>319</v>
      </c>
      <c r="C36" s="246"/>
      <c r="D36" s="244"/>
      <c r="E36" s="248"/>
      <c r="F36" s="244" t="s">
        <v>322</v>
      </c>
      <c r="G36" s="244"/>
      <c r="H36" s="244">
        <v>179189.93148200001</v>
      </c>
      <c r="K36" s="715">
        <v>5265</v>
      </c>
      <c r="L36" s="716" t="s">
        <v>515</v>
      </c>
      <c r="M36" s="717" t="s">
        <v>516</v>
      </c>
      <c r="N36" s="718"/>
    </row>
    <row r="37" spans="1:18">
      <c r="A37" s="374">
        <f t="shared" si="0"/>
        <v>22</v>
      </c>
      <c r="B37" s="242" t="s">
        <v>321</v>
      </c>
      <c r="C37" s="246"/>
      <c r="D37" s="244"/>
      <c r="E37" s="244"/>
      <c r="F37" s="244" t="s">
        <v>300</v>
      </c>
      <c r="G37" s="244"/>
      <c r="H37" s="244"/>
    </row>
    <row r="38" spans="1:18" ht="12.75" thickBot="1">
      <c r="A38" s="374">
        <f t="shared" si="0"/>
        <v>23</v>
      </c>
      <c r="B38" s="242" t="s">
        <v>299</v>
      </c>
      <c r="C38" s="246"/>
      <c r="D38" s="244"/>
      <c r="E38" s="244"/>
      <c r="F38" s="244" t="s">
        <v>301</v>
      </c>
      <c r="G38" s="244"/>
      <c r="H38" s="244"/>
      <c r="I38" s="255"/>
      <c r="J38" s="255"/>
    </row>
    <row r="39" spans="1:18" ht="12.75" thickBot="1">
      <c r="A39" s="374">
        <f t="shared" si="0"/>
        <v>24</v>
      </c>
      <c r="B39" s="246"/>
      <c r="C39" s="246"/>
      <c r="D39" s="244"/>
      <c r="E39" s="244"/>
      <c r="F39" s="244" t="s">
        <v>302</v>
      </c>
      <c r="G39" s="244"/>
      <c r="H39" s="244">
        <v>151715.659182</v>
      </c>
      <c r="I39" s="255"/>
      <c r="J39" s="255"/>
      <c r="K39" s="715">
        <v>5270</v>
      </c>
      <c r="L39" s="716" t="s">
        <v>474</v>
      </c>
      <c r="M39" s="717" t="s">
        <v>123</v>
      </c>
      <c r="N39" s="719"/>
      <c r="O39" s="720">
        <v>5285</v>
      </c>
      <c r="P39" s="716" t="s">
        <v>519</v>
      </c>
      <c r="Q39" s="717" t="s">
        <v>124</v>
      </c>
      <c r="R39" s="718"/>
    </row>
    <row r="40" spans="1:18" ht="12.75" thickBot="1">
      <c r="A40" s="374">
        <f t="shared" si="0"/>
        <v>25</v>
      </c>
      <c r="E40" s="244"/>
      <c r="F40" s="424" t="s">
        <v>660</v>
      </c>
      <c r="G40" s="244"/>
      <c r="H40" s="247">
        <v>725636.35999999987</v>
      </c>
      <c r="I40" s="255"/>
      <c r="J40" s="255"/>
      <c r="K40" s="715">
        <v>5175</v>
      </c>
      <c r="L40" s="716">
        <v>523</v>
      </c>
      <c r="M40" s="717" t="s">
        <v>603</v>
      </c>
      <c r="N40" s="718"/>
    </row>
    <row r="41" spans="1:18" ht="12.75" thickBot="1">
      <c r="A41" s="374">
        <f t="shared" si="0"/>
        <v>26</v>
      </c>
      <c r="C41" s="246"/>
      <c r="E41" s="248"/>
      <c r="F41" s="426" t="s">
        <v>275</v>
      </c>
      <c r="G41" s="244"/>
      <c r="H41" s="244">
        <v>346842.79000000004</v>
      </c>
      <c r="K41" s="715">
        <v>5230</v>
      </c>
      <c r="L41" s="716">
        <v>522.1</v>
      </c>
      <c r="M41" s="717" t="s">
        <v>599</v>
      </c>
      <c r="N41" s="719"/>
      <c r="O41" s="720">
        <v>5235</v>
      </c>
      <c r="P41" s="716">
        <v>522.1</v>
      </c>
      <c r="Q41" s="717" t="s">
        <v>598</v>
      </c>
      <c r="R41" s="718"/>
    </row>
    <row r="42" spans="1:18">
      <c r="A42" s="374">
        <f t="shared" si="0"/>
        <v>27</v>
      </c>
      <c r="B42" s="242" t="s">
        <v>885</v>
      </c>
      <c r="C42" s="246"/>
      <c r="D42" s="721">
        <v>48252.579999999994</v>
      </c>
      <c r="E42" s="244"/>
      <c r="F42" s="242" t="s">
        <v>885</v>
      </c>
      <c r="G42" s="246"/>
      <c r="H42" s="721">
        <v>56501.889999999992</v>
      </c>
    </row>
    <row r="43" spans="1:18">
      <c r="A43" s="374">
        <f t="shared" si="0"/>
        <v>28</v>
      </c>
      <c r="B43" s="246"/>
      <c r="C43" s="246"/>
      <c r="D43" s="244"/>
      <c r="E43" s="244"/>
      <c r="F43" s="246"/>
      <c r="G43" s="246"/>
      <c r="H43" s="244"/>
    </row>
    <row r="44" spans="1:18">
      <c r="A44" s="374">
        <f t="shared" si="0"/>
        <v>29</v>
      </c>
      <c r="B44" s="246" t="s">
        <v>1137</v>
      </c>
      <c r="D44" s="714">
        <f>SUM(D33:D42)</f>
        <v>408750.22933599999</v>
      </c>
      <c r="E44" s="302"/>
      <c r="F44" s="247" t="s">
        <v>483</v>
      </c>
      <c r="G44" s="244"/>
      <c r="H44" s="714">
        <f>SUM(H33:H42)</f>
        <v>1477226.8706639998</v>
      </c>
    </row>
    <row r="45" spans="1:18">
      <c r="A45" s="374">
        <f t="shared" si="0"/>
        <v>30</v>
      </c>
      <c r="D45" s="244"/>
      <c r="E45" s="244"/>
      <c r="F45" s="247"/>
      <c r="G45" s="244"/>
      <c r="H45" s="244"/>
    </row>
    <row r="46" spans="1:18" ht="13.5" customHeight="1" thickBot="1">
      <c r="A46" s="374">
        <f t="shared" si="0"/>
        <v>31</v>
      </c>
      <c r="B46" s="246" t="s">
        <v>179</v>
      </c>
      <c r="C46" s="246"/>
      <c r="D46" s="333">
        <f>D31+D44</f>
        <v>16396326.749335999</v>
      </c>
      <c r="E46" s="244"/>
      <c r="F46" s="247" t="s">
        <v>484</v>
      </c>
      <c r="G46" s="244"/>
      <c r="H46" s="333">
        <f>H31+H44</f>
        <v>20840529.240663998</v>
      </c>
    </row>
    <row r="47" spans="1:18" ht="13.5" thickTop="1" thickBot="1"/>
    <row r="48" spans="1:18" ht="12.75" thickBot="1">
      <c r="K48" s="722">
        <v>5405</v>
      </c>
      <c r="L48" s="723">
        <v>421</v>
      </c>
      <c r="M48" s="724" t="s">
        <v>703</v>
      </c>
      <c r="N48" s="718"/>
      <c r="O48" s="242" t="s">
        <v>704</v>
      </c>
    </row>
    <row r="49" spans="1:10">
      <c r="A49" s="246" t="s">
        <v>602</v>
      </c>
    </row>
    <row r="50" spans="1:10">
      <c r="F50" s="288"/>
      <c r="H50" s="385"/>
    </row>
    <row r="51" spans="1:10">
      <c r="F51" s="288"/>
      <c r="H51" s="714"/>
    </row>
    <row r="53" spans="1:10" ht="12.75" thickBot="1">
      <c r="A53" s="242" t="s">
        <v>604</v>
      </c>
      <c r="D53" s="333">
        <f>SUM(D46:D52)</f>
        <v>16396326.749335999</v>
      </c>
      <c r="H53" s="333">
        <f>SUM(H46:H52)</f>
        <v>20840529.240663998</v>
      </c>
      <c r="J53" s="333">
        <f>D53+H53</f>
        <v>37236855.989999995</v>
      </c>
    </row>
    <row r="54" spans="1:10" ht="13.5" thickTop="1" thickBot="1">
      <c r="A54" s="242" t="s">
        <v>605</v>
      </c>
      <c r="J54" s="333">
        <v>37236856</v>
      </c>
    </row>
    <row r="55" spans="1:10" ht="13.5" thickTop="1" thickBot="1">
      <c r="A55" s="242" t="s">
        <v>455</v>
      </c>
      <c r="J55" s="333">
        <f>J54-J53</f>
        <v>1.000000536441803E-2</v>
      </c>
    </row>
    <row r="56" spans="1:10" ht="12.75" thickTop="1"/>
    <row r="63" spans="1:10">
      <c r="A63" s="55"/>
    </row>
    <row r="64" spans="1:10">
      <c r="A64" s="55"/>
    </row>
    <row r="65" spans="1:1">
      <c r="A65" s="55"/>
    </row>
    <row r="66" spans="1:1">
      <c r="A66" s="55"/>
    </row>
    <row r="67" spans="1:1">
      <c r="A67" s="55"/>
    </row>
    <row r="68" spans="1:1">
      <c r="A68" s="55"/>
    </row>
    <row r="69" spans="1:1">
      <c r="A69" s="55"/>
    </row>
    <row r="70" spans="1:1">
      <c r="A70" s="55"/>
    </row>
    <row r="71" spans="1:1">
      <c r="A71" s="55"/>
    </row>
    <row r="72" spans="1:1">
      <c r="A72" s="55"/>
    </row>
    <row r="73" spans="1:1">
      <c r="A73" s="55"/>
    </row>
    <row r="74" spans="1:1">
      <c r="A74" s="55"/>
    </row>
    <row r="75" spans="1:1">
      <c r="A75" s="55"/>
    </row>
    <row r="76" spans="1:1">
      <c r="A76" s="55"/>
    </row>
    <row r="77" spans="1:1">
      <c r="A77" s="55"/>
    </row>
    <row r="78" spans="1:1">
      <c r="A78" s="55"/>
    </row>
    <row r="79" spans="1:1">
      <c r="A79" s="55"/>
    </row>
    <row r="80" spans="1:1">
      <c r="A80" s="55"/>
    </row>
    <row r="81" spans="1:1">
      <c r="A81" s="55"/>
    </row>
    <row r="82" spans="1:1">
      <c r="A82" s="55"/>
    </row>
    <row r="83" spans="1:1">
      <c r="A83" s="55"/>
    </row>
    <row r="84" spans="1:1">
      <c r="A84" s="55"/>
    </row>
    <row r="85" spans="1:1">
      <c r="A85" s="55"/>
    </row>
    <row r="86" spans="1:1">
      <c r="A86" s="55"/>
    </row>
    <row r="87" spans="1:1">
      <c r="A87" s="55"/>
    </row>
    <row r="88" spans="1:1">
      <c r="A88" s="55"/>
    </row>
    <row r="89" spans="1:1">
      <c r="A89" s="55"/>
    </row>
    <row r="90" spans="1:1">
      <c r="A90" s="55"/>
    </row>
    <row r="91" spans="1:1">
      <c r="A91" s="55"/>
    </row>
    <row r="92" spans="1:1">
      <c r="A92" s="55"/>
    </row>
    <row r="93" spans="1:1">
      <c r="A93" s="55"/>
    </row>
    <row r="94" spans="1:1">
      <c r="A94" s="55"/>
    </row>
    <row r="95" spans="1:1">
      <c r="A95" s="55"/>
    </row>
    <row r="96" spans="1:1">
      <c r="A96" s="55"/>
    </row>
    <row r="97" spans="1:1">
      <c r="A97" s="55"/>
    </row>
    <row r="98" spans="1:1">
      <c r="A98" s="55"/>
    </row>
    <row r="99" spans="1:1">
      <c r="A99" s="55"/>
    </row>
    <row r="100" spans="1:1">
      <c r="A100" s="55"/>
    </row>
    <row r="101" spans="1:1">
      <c r="A101" s="55"/>
    </row>
    <row r="102" spans="1:1">
      <c r="A102" s="55"/>
    </row>
    <row r="103" spans="1:1">
      <c r="A103" s="55"/>
    </row>
    <row r="104" spans="1:1">
      <c r="A104" s="55"/>
    </row>
    <row r="105" spans="1:1">
      <c r="A105" s="55"/>
    </row>
    <row r="106" spans="1:1">
      <c r="A106" s="55"/>
    </row>
    <row r="107" spans="1:1">
      <c r="A107" s="55"/>
    </row>
    <row r="108" spans="1:1">
      <c r="A108" s="55"/>
    </row>
    <row r="109" spans="1:1">
      <c r="A109" s="55"/>
    </row>
    <row r="110" spans="1:1">
      <c r="A110" s="55"/>
    </row>
    <row r="111" spans="1:1">
      <c r="A111" s="55"/>
    </row>
    <row r="112" spans="1:1">
      <c r="A112" s="55"/>
    </row>
    <row r="113" spans="1:1">
      <c r="A113" s="55"/>
    </row>
    <row r="114" spans="1:1">
      <c r="A114" s="55"/>
    </row>
    <row r="115" spans="1:1">
      <c r="A115" s="55"/>
    </row>
    <row r="116" spans="1:1">
      <c r="A116" s="55"/>
    </row>
    <row r="117" spans="1:1">
      <c r="A117" s="55"/>
    </row>
  </sheetData>
  <mergeCells count="1">
    <mergeCell ref="A8:H10"/>
  </mergeCells>
  <phoneticPr fontId="41" type="noConversion"/>
  <printOptions horizontalCentered="1"/>
  <pageMargins left="0.5" right="0.25" top="0.5" bottom="0.25" header="0.05" footer="0.05"/>
  <pageSetup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77">
    <tabColor rgb="FF66FFFF"/>
    <pageSetUpPr fitToPage="1"/>
  </sheetPr>
  <dimension ref="A1:J50"/>
  <sheetViews>
    <sheetView workbookViewId="0"/>
  </sheetViews>
  <sheetFormatPr defaultColWidth="10.7109375" defaultRowHeight="12"/>
  <cols>
    <col min="1" max="1" width="3.7109375" style="243" customWidth="1"/>
    <col min="2" max="2" width="31.5703125" style="243" customWidth="1"/>
    <col min="3" max="3" width="11.28515625" style="243" customWidth="1"/>
    <col min="4" max="4" width="3.7109375" style="243" customWidth="1"/>
    <col min="5" max="5" width="11.42578125" style="243" customWidth="1"/>
    <col min="6" max="6" width="3.7109375" style="243" customWidth="1"/>
    <col min="7" max="7" width="11.5703125" style="242" customWidth="1"/>
    <col min="8" max="8" width="11.5703125" style="243" customWidth="1"/>
    <col min="9" max="16384" width="10.7109375" style="243"/>
  </cols>
  <sheetData>
    <row r="1" spans="1:10">
      <c r="A1" s="250" t="s">
        <v>490</v>
      </c>
      <c r="B1" s="250"/>
      <c r="C1" s="250"/>
      <c r="D1" s="250"/>
      <c r="E1" s="250"/>
      <c r="F1" s="250"/>
      <c r="H1" s="259" t="s">
        <v>84</v>
      </c>
    </row>
    <row r="2" spans="1:10">
      <c r="A2" s="250"/>
      <c r="B2" s="250"/>
      <c r="C2" s="250"/>
      <c r="D2" s="250"/>
      <c r="E2" s="250"/>
      <c r="F2" s="250"/>
      <c r="H2" s="259"/>
    </row>
    <row r="3" spans="1:10" ht="12.75" customHeight="1">
      <c r="A3" s="250" t="s">
        <v>565</v>
      </c>
      <c r="B3" s="250"/>
      <c r="D3" s="434"/>
      <c r="E3" s="434"/>
      <c r="F3" s="434"/>
      <c r="G3" s="434"/>
      <c r="H3" s="260" t="s">
        <v>180</v>
      </c>
    </row>
    <row r="4" spans="1:10" ht="12.75" customHeight="1">
      <c r="A4" s="250" t="s">
        <v>705</v>
      </c>
      <c r="B4" s="250"/>
      <c r="C4" s="434"/>
      <c r="D4" s="434"/>
      <c r="E4" s="434"/>
      <c r="F4" s="434"/>
      <c r="G4" s="434"/>
      <c r="H4" s="260" t="s">
        <v>156</v>
      </c>
    </row>
    <row r="5" spans="1:10" ht="12.75" customHeight="1">
      <c r="A5" s="250" t="s">
        <v>566</v>
      </c>
      <c r="B5" s="250"/>
      <c r="C5" s="434"/>
      <c r="D5" s="434"/>
      <c r="E5" s="434"/>
      <c r="F5" s="434"/>
      <c r="G5" s="434"/>
      <c r="H5" s="260" t="s">
        <v>558</v>
      </c>
    </row>
    <row r="6" spans="1:10" ht="12.75" customHeight="1">
      <c r="A6" s="282" t="s">
        <v>285</v>
      </c>
      <c r="B6" s="53"/>
      <c r="C6" s="434"/>
      <c r="D6" s="434"/>
      <c r="E6" s="434"/>
      <c r="F6" s="434"/>
      <c r="G6" s="434"/>
      <c r="H6" s="260" t="s">
        <v>181</v>
      </c>
    </row>
    <row r="7" spans="1:10" ht="26.65" customHeight="1">
      <c r="A7" s="250"/>
      <c r="B7" s="993" t="s">
        <v>414</v>
      </c>
      <c r="C7" s="993"/>
      <c r="D7" s="993"/>
      <c r="E7" s="993"/>
      <c r="F7" s="993"/>
      <c r="G7" s="993"/>
      <c r="H7" s="250"/>
    </row>
    <row r="8" spans="1:10" ht="13.9" customHeight="1" thickBot="1">
      <c r="A8" s="261"/>
      <c r="B8" s="1015"/>
      <c r="C8" s="1015"/>
      <c r="D8" s="1015"/>
      <c r="E8" s="1015"/>
      <c r="F8" s="1015"/>
      <c r="G8" s="1015"/>
      <c r="H8" s="261"/>
    </row>
    <row r="9" spans="1:10">
      <c r="A9" s="258"/>
      <c r="B9" s="258" t="s">
        <v>202</v>
      </c>
      <c r="C9" s="274" t="s">
        <v>203</v>
      </c>
      <c r="D9" s="274"/>
      <c r="E9" s="391" t="s">
        <v>204</v>
      </c>
      <c r="F9" s="391"/>
      <c r="G9" s="295" t="s">
        <v>205</v>
      </c>
      <c r="H9" s="264" t="s">
        <v>89</v>
      </c>
    </row>
    <row r="10" spans="1:10" ht="14.25">
      <c r="A10" s="258" t="s">
        <v>289</v>
      </c>
      <c r="B10" s="286"/>
      <c r="C10" s="274" t="s">
        <v>434</v>
      </c>
      <c r="D10" s="274"/>
      <c r="E10" s="1014" t="s">
        <v>354</v>
      </c>
      <c r="F10" s="1014"/>
      <c r="G10" s="1014"/>
      <c r="H10" s="274" t="s">
        <v>296</v>
      </c>
    </row>
    <row r="11" spans="1:10" ht="12.75" thickBot="1">
      <c r="A11" s="298" t="s">
        <v>351</v>
      </c>
      <c r="B11" s="297" t="s">
        <v>94</v>
      </c>
      <c r="C11" s="371" t="s">
        <v>73</v>
      </c>
      <c r="D11" s="371"/>
      <c r="E11" s="373" t="s">
        <v>711</v>
      </c>
      <c r="F11" s="373"/>
      <c r="G11" s="373" t="s">
        <v>712</v>
      </c>
      <c r="H11" s="371" t="s">
        <v>73</v>
      </c>
    </row>
    <row r="12" spans="1:10">
      <c r="A12" s="256"/>
      <c r="C12" s="242"/>
      <c r="D12" s="242"/>
      <c r="E12" s="242"/>
      <c r="F12" s="242"/>
      <c r="G12" s="435"/>
      <c r="H12" s="242"/>
    </row>
    <row r="13" spans="1:10">
      <c r="A13" s="256">
        <v>1</v>
      </c>
      <c r="B13" s="243" t="s">
        <v>182</v>
      </c>
      <c r="C13" s="326">
        <v>2847572.9067719998</v>
      </c>
      <c r="D13" s="326"/>
      <c r="E13" s="326"/>
      <c r="F13" s="326"/>
      <c r="G13" s="326">
        <f>'B 3'!G119+'B 3'!G122</f>
        <v>179965.51897994999</v>
      </c>
      <c r="H13" s="382">
        <f t="shared" ref="H13:H38" si="0">SUM(C13:G13)</f>
        <v>3027538.4257519497</v>
      </c>
      <c r="I13" s="287"/>
      <c r="J13" s="287"/>
    </row>
    <row r="14" spans="1:10">
      <c r="A14" s="256">
        <f t="shared" ref="A14:A40" si="1">A13+1</f>
        <v>2</v>
      </c>
      <c r="B14" s="243" t="s">
        <v>183</v>
      </c>
      <c r="C14" s="326">
        <v>216514.43147400001</v>
      </c>
      <c r="D14" s="326"/>
      <c r="E14" s="305"/>
      <c r="F14" s="305"/>
      <c r="G14" s="305">
        <f>'B 3'!G123</f>
        <v>8119.2911802750004</v>
      </c>
      <c r="H14" s="382">
        <f t="shared" si="0"/>
        <v>224633.72265427501</v>
      </c>
      <c r="I14" s="287"/>
      <c r="J14" s="287"/>
    </row>
    <row r="15" spans="1:10">
      <c r="A15" s="256">
        <f t="shared" si="1"/>
        <v>3</v>
      </c>
      <c r="B15" s="243" t="s">
        <v>184</v>
      </c>
      <c r="C15" s="326">
        <v>785354.53708799998</v>
      </c>
      <c r="D15" s="326"/>
      <c r="E15" s="305"/>
      <c r="F15" s="305"/>
      <c r="G15" s="326">
        <f>'B 3'!G120+'B 3'!G124</f>
        <v>61773.231731903994</v>
      </c>
      <c r="H15" s="382">
        <f t="shared" si="0"/>
        <v>847127.76881990395</v>
      </c>
      <c r="I15" s="287"/>
      <c r="J15" s="287"/>
    </row>
    <row r="16" spans="1:10">
      <c r="A16" s="256">
        <f>A15+1</f>
        <v>4</v>
      </c>
      <c r="B16" s="243" t="s">
        <v>185</v>
      </c>
      <c r="C16" s="407">
        <v>211638.62999999995</v>
      </c>
      <c r="D16" s="407"/>
      <c r="E16" s="305">
        <f>'B 3'!G45</f>
        <v>-9</v>
      </c>
      <c r="F16" s="305"/>
      <c r="G16" s="305">
        <f>'B 3'!G99</f>
        <v>3630.798000000002</v>
      </c>
      <c r="H16" s="382">
        <f t="shared" si="0"/>
        <v>215260.42799999996</v>
      </c>
      <c r="I16" s="287"/>
      <c r="J16" s="287"/>
    </row>
    <row r="17" spans="1:10">
      <c r="A17" s="256">
        <f t="shared" si="1"/>
        <v>5</v>
      </c>
      <c r="B17" s="243" t="s">
        <v>186</v>
      </c>
      <c r="C17" s="407">
        <v>839794.26</v>
      </c>
      <c r="D17" s="407"/>
      <c r="E17" s="305">
        <f>'B 3'!G46</f>
        <v>-8823</v>
      </c>
      <c r="F17" s="305"/>
      <c r="G17" s="326"/>
      <c r="H17" s="382">
        <f t="shared" si="0"/>
        <v>830971.26</v>
      </c>
      <c r="I17" s="287"/>
      <c r="J17" s="287"/>
    </row>
    <row r="18" spans="1:10">
      <c r="A18" s="256">
        <f t="shared" si="1"/>
        <v>6</v>
      </c>
      <c r="B18" s="243" t="s">
        <v>187</v>
      </c>
      <c r="C18" s="407">
        <v>0</v>
      </c>
      <c r="D18" s="407"/>
      <c r="E18" s="305"/>
      <c r="F18" s="305"/>
      <c r="G18" s="326"/>
      <c r="H18" s="382">
        <f t="shared" si="0"/>
        <v>0</v>
      </c>
      <c r="I18" s="287"/>
      <c r="J18" s="287"/>
    </row>
    <row r="19" spans="1:10">
      <c r="A19" s="256">
        <f t="shared" si="1"/>
        <v>7</v>
      </c>
      <c r="B19" s="243" t="s">
        <v>188</v>
      </c>
      <c r="C19" s="407">
        <v>457620.83472599997</v>
      </c>
      <c r="D19" s="407"/>
      <c r="E19" s="305">
        <f>'B 3'!G41+'B 3'!G47</f>
        <v>-40973.780000000086</v>
      </c>
      <c r="F19" s="305"/>
      <c r="G19" s="326">
        <f>'B 3'!G106+'B 3'!G107</f>
        <v>71653</v>
      </c>
      <c r="H19" s="382">
        <f t="shared" si="0"/>
        <v>488300.05472599989</v>
      </c>
      <c r="I19" s="287"/>
      <c r="J19" s="287"/>
    </row>
    <row r="20" spans="1:10">
      <c r="A20" s="256">
        <f t="shared" si="1"/>
        <v>8</v>
      </c>
      <c r="B20" s="243" t="s">
        <v>189</v>
      </c>
      <c r="C20" s="407">
        <v>88481.556424000009</v>
      </c>
      <c r="D20" s="407"/>
      <c r="E20" s="305"/>
      <c r="F20" s="305"/>
      <c r="G20" s="326"/>
      <c r="H20" s="382">
        <f t="shared" si="0"/>
        <v>88481.556424000009</v>
      </c>
      <c r="I20" s="287"/>
      <c r="J20" s="287"/>
    </row>
    <row r="21" spans="1:10">
      <c r="A21" s="256">
        <f t="shared" si="1"/>
        <v>9</v>
      </c>
      <c r="B21" s="243" t="s">
        <v>190</v>
      </c>
      <c r="C21" s="407">
        <v>6361.079999999999</v>
      </c>
      <c r="D21" s="407"/>
      <c r="E21" s="305"/>
      <c r="F21" s="305"/>
      <c r="G21" s="326"/>
      <c r="H21" s="382">
        <f t="shared" si="0"/>
        <v>6361.079999999999</v>
      </c>
      <c r="I21" s="287"/>
      <c r="J21" s="287"/>
    </row>
    <row r="22" spans="1:10">
      <c r="A22" s="256">
        <f t="shared" si="1"/>
        <v>10</v>
      </c>
      <c r="B22" s="243" t="s">
        <v>191</v>
      </c>
      <c r="C22" s="407">
        <v>63933.061697999998</v>
      </c>
      <c r="D22" s="407"/>
      <c r="E22" s="305"/>
      <c r="F22" s="305"/>
      <c r="G22" s="326"/>
      <c r="H22" s="382">
        <f t="shared" si="0"/>
        <v>63933.061697999998</v>
      </c>
      <c r="I22" s="287"/>
      <c r="J22" s="287"/>
    </row>
    <row r="23" spans="1:10">
      <c r="A23" s="256">
        <f t="shared" si="1"/>
        <v>11</v>
      </c>
      <c r="B23" s="243" t="s">
        <v>192</v>
      </c>
      <c r="C23" s="407">
        <v>3591.0382200000004</v>
      </c>
      <c r="D23" s="407"/>
      <c r="E23" s="305"/>
      <c r="F23" s="305"/>
      <c r="G23" s="326"/>
      <c r="H23" s="382">
        <f t="shared" si="0"/>
        <v>3591.0382200000004</v>
      </c>
      <c r="I23" s="287"/>
      <c r="J23" s="287"/>
    </row>
    <row r="24" spans="1:10">
      <c r="A24" s="256">
        <f t="shared" si="1"/>
        <v>12</v>
      </c>
      <c r="B24" s="243" t="s">
        <v>193</v>
      </c>
      <c r="C24" s="407">
        <v>682552.44538799999</v>
      </c>
      <c r="D24" s="407"/>
      <c r="E24" s="305"/>
      <c r="F24" s="305"/>
      <c r="G24" s="326"/>
      <c r="H24" s="382">
        <f t="shared" si="0"/>
        <v>682552.44538799999</v>
      </c>
      <c r="I24" s="287"/>
      <c r="J24" s="287"/>
    </row>
    <row r="25" spans="1:10">
      <c r="A25" s="256">
        <f t="shared" si="1"/>
        <v>13</v>
      </c>
      <c r="B25" s="362" t="s">
        <v>268</v>
      </c>
      <c r="C25" s="407">
        <v>84029.74</v>
      </c>
      <c r="D25" s="407"/>
      <c r="E25" s="305"/>
      <c r="F25" s="305"/>
      <c r="G25" s="326">
        <f>'B 3'!G109</f>
        <v>24500</v>
      </c>
      <c r="H25" s="382">
        <f t="shared" si="0"/>
        <v>108529.74</v>
      </c>
      <c r="I25" s="287"/>
      <c r="J25" s="287"/>
    </row>
    <row r="26" spans="1:10">
      <c r="A26" s="256">
        <f t="shared" si="1"/>
        <v>14</v>
      </c>
      <c r="B26" s="362" t="s">
        <v>198</v>
      </c>
      <c r="C26" s="407">
        <v>446970.35856000002</v>
      </c>
      <c r="D26" s="407"/>
      <c r="E26" s="305"/>
      <c r="F26" s="305"/>
      <c r="G26" s="326"/>
      <c r="H26" s="382">
        <f t="shared" si="0"/>
        <v>446970.35856000002</v>
      </c>
      <c r="I26" s="287"/>
      <c r="J26" s="287"/>
    </row>
    <row r="27" spans="1:10">
      <c r="A27" s="256">
        <f t="shared" si="1"/>
        <v>15</v>
      </c>
      <c r="B27" s="243" t="s">
        <v>159</v>
      </c>
      <c r="C27" s="407">
        <v>98116.040483999997</v>
      </c>
      <c r="D27" s="407"/>
      <c r="E27" s="305"/>
      <c r="F27" s="305"/>
      <c r="G27" s="326">
        <f>'B 3'!G114</f>
        <v>11314</v>
      </c>
      <c r="H27" s="382">
        <f t="shared" si="0"/>
        <v>109430.040484</v>
      </c>
      <c r="I27" s="287"/>
      <c r="J27" s="287"/>
    </row>
    <row r="28" spans="1:10">
      <c r="A28" s="256">
        <f t="shared" si="1"/>
        <v>16</v>
      </c>
      <c r="B28" s="243" t="s">
        <v>160</v>
      </c>
      <c r="C28" s="407">
        <v>14249.090328</v>
      </c>
      <c r="D28" s="407"/>
      <c r="E28" s="305">
        <f>'B 3'!G56</f>
        <v>-14249.090328</v>
      </c>
      <c r="F28" s="305"/>
      <c r="G28" s="326"/>
      <c r="H28" s="382">
        <f t="shared" si="0"/>
        <v>0</v>
      </c>
      <c r="I28" s="287"/>
      <c r="J28" s="287"/>
    </row>
    <row r="29" spans="1:10">
      <c r="A29" s="256">
        <f t="shared" si="1"/>
        <v>17</v>
      </c>
      <c r="B29" s="243" t="s">
        <v>161</v>
      </c>
      <c r="C29" s="407">
        <v>182404.56339599995</v>
      </c>
      <c r="D29" s="407"/>
      <c r="E29" s="305"/>
      <c r="F29" s="305"/>
      <c r="G29" s="326">
        <f>'B 3'!G126</f>
        <v>6931</v>
      </c>
      <c r="H29" s="382">
        <f t="shared" si="0"/>
        <v>189335.56339599995</v>
      </c>
      <c r="I29" s="287"/>
      <c r="J29" s="287"/>
    </row>
    <row r="30" spans="1:10">
      <c r="A30" s="256">
        <f t="shared" si="1"/>
        <v>18</v>
      </c>
      <c r="B30" s="243" t="s">
        <v>162</v>
      </c>
      <c r="C30" s="407">
        <v>0</v>
      </c>
      <c r="D30" s="407"/>
      <c r="E30" s="305"/>
      <c r="F30" s="305"/>
      <c r="G30" s="326"/>
      <c r="H30" s="382">
        <f t="shared" si="0"/>
        <v>0</v>
      </c>
      <c r="I30" s="287"/>
      <c r="J30" s="287"/>
    </row>
    <row r="31" spans="1:10">
      <c r="A31" s="256">
        <f t="shared" si="1"/>
        <v>19</v>
      </c>
      <c r="B31" s="243" t="s">
        <v>439</v>
      </c>
      <c r="C31" s="407">
        <v>311978.77233599999</v>
      </c>
      <c r="D31" s="407"/>
      <c r="E31" s="305"/>
      <c r="F31" s="305"/>
      <c r="G31" s="326"/>
      <c r="H31" s="382">
        <f t="shared" si="0"/>
        <v>311978.77233599999</v>
      </c>
      <c r="I31" s="287"/>
      <c r="J31" s="287"/>
    </row>
    <row r="32" spans="1:10">
      <c r="A32" s="256">
        <f t="shared" si="1"/>
        <v>20</v>
      </c>
      <c r="B32" s="243" t="s">
        <v>440</v>
      </c>
      <c r="C32" s="407">
        <v>0</v>
      </c>
      <c r="D32" s="407"/>
      <c r="E32" s="305"/>
      <c r="F32" s="305"/>
      <c r="G32" s="326"/>
      <c r="H32" s="382">
        <f t="shared" si="0"/>
        <v>0</v>
      </c>
      <c r="I32" s="287"/>
      <c r="J32" s="287"/>
    </row>
    <row r="33" spans="1:10">
      <c r="A33" s="256">
        <f t="shared" si="1"/>
        <v>21</v>
      </c>
      <c r="B33" s="243" t="s">
        <v>441</v>
      </c>
      <c r="C33" s="407">
        <v>51944.594922000004</v>
      </c>
      <c r="D33" s="407"/>
      <c r="E33" s="305"/>
      <c r="F33" s="305"/>
      <c r="G33" s="326"/>
      <c r="H33" s="382">
        <f t="shared" si="0"/>
        <v>51944.594922000004</v>
      </c>
      <c r="I33" s="287"/>
      <c r="J33" s="287"/>
    </row>
    <row r="34" spans="1:10">
      <c r="A34" s="256">
        <f t="shared" si="1"/>
        <v>22</v>
      </c>
      <c r="B34" s="243" t="s">
        <v>442</v>
      </c>
      <c r="C34" s="407">
        <v>148.192308</v>
      </c>
      <c r="D34" s="407"/>
      <c r="E34" s="305"/>
      <c r="F34" s="305"/>
      <c r="G34" s="326"/>
      <c r="H34" s="382">
        <f t="shared" si="0"/>
        <v>148.192308</v>
      </c>
      <c r="I34" s="287"/>
      <c r="J34" s="287"/>
    </row>
    <row r="35" spans="1:10">
      <c r="A35" s="256">
        <f t="shared" si="1"/>
        <v>23</v>
      </c>
      <c r="B35" s="243" t="s">
        <v>443</v>
      </c>
      <c r="C35" s="407">
        <v>181278.558384</v>
      </c>
      <c r="D35" s="407"/>
      <c r="E35" s="305">
        <f>'B 3'!G63</f>
        <v>-35295.058922507131</v>
      </c>
      <c r="F35" s="305"/>
      <c r="G35" s="326">
        <f>'B 3'!G102</f>
        <v>102792.75</v>
      </c>
      <c r="H35" s="382">
        <f t="shared" si="0"/>
        <v>248776.24946149287</v>
      </c>
      <c r="I35" s="410"/>
      <c r="J35" s="287"/>
    </row>
    <row r="36" spans="1:10">
      <c r="A36" s="256">
        <f t="shared" si="1"/>
        <v>24</v>
      </c>
      <c r="B36" s="243" t="s">
        <v>444</v>
      </c>
      <c r="C36" s="407">
        <v>2076.115734</v>
      </c>
      <c r="D36" s="407"/>
      <c r="E36" s="305"/>
      <c r="F36" s="305"/>
      <c r="G36" s="326"/>
      <c r="H36" s="382">
        <f t="shared" si="0"/>
        <v>2076.115734</v>
      </c>
      <c r="I36" s="287"/>
      <c r="J36" s="287"/>
    </row>
    <row r="37" spans="1:10">
      <c r="A37" s="256">
        <f>A36+1</f>
        <v>25</v>
      </c>
      <c r="B37" s="243" t="s">
        <v>445</v>
      </c>
      <c r="C37" s="407">
        <v>52102.443557999992</v>
      </c>
      <c r="D37" s="407"/>
      <c r="E37" s="305"/>
      <c r="F37" s="305"/>
      <c r="G37" s="326"/>
      <c r="H37" s="382">
        <f t="shared" si="0"/>
        <v>52102.443557999992</v>
      </c>
      <c r="I37" s="287"/>
      <c r="J37" s="287"/>
    </row>
    <row r="38" spans="1:10">
      <c r="A38" s="256">
        <f t="shared" si="1"/>
        <v>26</v>
      </c>
      <c r="B38" s="243" t="s">
        <v>446</v>
      </c>
      <c r="C38" s="779">
        <v>1030746.295052</v>
      </c>
      <c r="D38" s="788"/>
      <c r="E38" s="330"/>
      <c r="F38" s="301"/>
      <c r="G38" s="781">
        <f>'B 3'!G125</f>
        <v>1916.6663999999998</v>
      </c>
      <c r="H38" s="789">
        <f t="shared" si="0"/>
        <v>1032662.961452</v>
      </c>
      <c r="I38" s="287" t="s">
        <v>465</v>
      </c>
      <c r="J38" s="287"/>
    </row>
    <row r="39" spans="1:10">
      <c r="A39" s="256">
        <f t="shared" si="1"/>
        <v>27</v>
      </c>
      <c r="B39" s="250"/>
      <c r="C39" s="776"/>
      <c r="D39" s="776"/>
      <c r="E39" s="383"/>
      <c r="F39" s="383"/>
      <c r="G39" s="383"/>
      <c r="H39" s="244"/>
      <c r="I39" s="287"/>
      <c r="J39" s="287"/>
    </row>
    <row r="40" spans="1:10" ht="12.75" thickBot="1">
      <c r="A40" s="256">
        <f t="shared" si="1"/>
        <v>28</v>
      </c>
      <c r="B40" s="250" t="s">
        <v>433</v>
      </c>
      <c r="C40" s="777">
        <f t="shared" ref="C40:H40" si="2">SUM(C12:C38)</f>
        <v>8659459.5468520001</v>
      </c>
      <c r="D40" s="777"/>
      <c r="E40" s="777">
        <f>SUM(E12:E38)</f>
        <v>-99349.929250507208</v>
      </c>
      <c r="F40" s="777"/>
      <c r="G40" s="333">
        <f t="shared" si="2"/>
        <v>472596.25629212899</v>
      </c>
      <c r="H40" s="777">
        <f t="shared" si="2"/>
        <v>9032705.8738936204</v>
      </c>
      <c r="I40" s="783">
        <f>H40-C40</f>
        <v>373246.32704162039</v>
      </c>
      <c r="J40" s="783"/>
    </row>
    <row r="41" spans="1:10" ht="12.75" thickTop="1">
      <c r="A41" s="256"/>
      <c r="B41" s="250"/>
      <c r="C41" s="287"/>
      <c r="D41" s="287"/>
      <c r="E41" s="244"/>
      <c r="F41" s="244"/>
      <c r="G41" s="244"/>
      <c r="H41" s="244"/>
      <c r="I41" s="287"/>
      <c r="J41" s="287"/>
    </row>
    <row r="43" spans="1:10">
      <c r="A43" s="784" t="s">
        <v>126</v>
      </c>
      <c r="B43" s="292"/>
      <c r="C43" s="643">
        <v>19153745.080000009</v>
      </c>
      <c r="D43" s="643"/>
      <c r="E43" s="643"/>
      <c r="F43" s="643"/>
      <c r="G43" s="244"/>
      <c r="H43" s="785"/>
      <c r="I43" s="287"/>
      <c r="J43" s="287"/>
    </row>
    <row r="44" spans="1:10">
      <c r="A44" s="296" t="s">
        <v>823</v>
      </c>
      <c r="B44" s="292"/>
      <c r="C44" s="643">
        <v>-10494285.533148002</v>
      </c>
      <c r="D44" s="643"/>
      <c r="E44" s="643"/>
      <c r="F44" s="643"/>
      <c r="G44" s="244"/>
      <c r="H44" s="785"/>
      <c r="I44" s="287"/>
      <c r="J44" s="287"/>
    </row>
    <row r="45" spans="1:10" ht="12.75" thickBot="1">
      <c r="A45" s="784" t="s">
        <v>455</v>
      </c>
      <c r="B45" s="292"/>
      <c r="C45" s="790">
        <f>C43-C40+C44</f>
        <v>0</v>
      </c>
      <c r="D45" s="790"/>
      <c r="E45" s="790"/>
      <c r="F45" s="790"/>
      <c r="G45" s="791"/>
      <c r="H45" s="786"/>
      <c r="I45" s="287"/>
      <c r="J45" s="287"/>
    </row>
    <row r="46" spans="1:10" ht="12.75" thickTop="1">
      <c r="A46" s="296"/>
      <c r="B46" s="292"/>
      <c r="C46" s="643">
        <v>10494286</v>
      </c>
      <c r="D46" s="643"/>
      <c r="E46" s="643"/>
      <c r="F46" s="643"/>
      <c r="H46" s="299"/>
    </row>
    <row r="47" spans="1:10">
      <c r="A47" s="792"/>
      <c r="B47" s="299"/>
      <c r="C47" s="411"/>
      <c r="D47" s="411"/>
      <c r="E47" s="411"/>
      <c r="F47" s="411"/>
      <c r="H47" s="299"/>
    </row>
    <row r="50" spans="7:7">
      <c r="G50" s="244">
        <f>SUM(E40:G40)</f>
        <v>373246.32704162179</v>
      </c>
    </row>
  </sheetData>
  <mergeCells count="2">
    <mergeCell ref="E10:G10"/>
    <mergeCell ref="B7:G8"/>
  </mergeCells>
  <printOptions horizontalCentered="1"/>
  <pageMargins left="0.5" right="0.25" top="0.5" bottom="0.25" header="0.05" footer="0.05"/>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32">
    <tabColor rgb="FF66FFFF"/>
    <pageSetUpPr fitToPage="1"/>
  </sheetPr>
  <dimension ref="A1:J49"/>
  <sheetViews>
    <sheetView workbookViewId="0"/>
  </sheetViews>
  <sheetFormatPr defaultColWidth="10.7109375" defaultRowHeight="12"/>
  <cols>
    <col min="1" max="1" width="3.7109375" style="243" customWidth="1"/>
    <col min="2" max="2" width="33.7109375" style="243" customWidth="1"/>
    <col min="3" max="3" width="11.7109375" style="243" customWidth="1"/>
    <col min="4" max="4" width="4.28515625" style="243" customWidth="1"/>
    <col min="5" max="5" width="11.7109375" style="243" customWidth="1"/>
    <col min="6" max="6" width="3.5703125" style="243" customWidth="1"/>
    <col min="7" max="7" width="11.7109375" style="242" customWidth="1"/>
    <col min="8" max="8" width="11.7109375" style="243" customWidth="1"/>
    <col min="9" max="16384" width="10.7109375" style="243"/>
  </cols>
  <sheetData>
    <row r="1" spans="1:10">
      <c r="A1" s="250" t="s">
        <v>706</v>
      </c>
      <c r="B1" s="250"/>
      <c r="C1" s="250"/>
      <c r="D1" s="250"/>
      <c r="E1" s="250"/>
      <c r="F1" s="250"/>
      <c r="G1" s="246"/>
      <c r="H1" s="259" t="s">
        <v>84</v>
      </c>
    </row>
    <row r="2" spans="1:10">
      <c r="A2" s="250"/>
      <c r="B2" s="250"/>
      <c r="C2" s="250"/>
      <c r="D2" s="250"/>
      <c r="E2" s="250"/>
      <c r="F2" s="250"/>
      <c r="G2" s="246"/>
      <c r="H2" s="259"/>
    </row>
    <row r="3" spans="1:10" ht="12.75" customHeight="1">
      <c r="A3" s="250" t="s">
        <v>565</v>
      </c>
      <c r="B3" s="250"/>
      <c r="G3" s="246"/>
      <c r="H3" s="259" t="s">
        <v>164</v>
      </c>
    </row>
    <row r="4" spans="1:10" ht="12.75" customHeight="1">
      <c r="A4" s="250" t="s">
        <v>705</v>
      </c>
      <c r="B4" s="250"/>
      <c r="G4" s="246"/>
      <c r="H4" s="259" t="s">
        <v>156</v>
      </c>
    </row>
    <row r="5" spans="1:10" ht="12.75" customHeight="1">
      <c r="A5" s="250" t="s">
        <v>566</v>
      </c>
      <c r="B5" s="250"/>
      <c r="G5" s="246"/>
      <c r="H5" s="259" t="s">
        <v>558</v>
      </c>
    </row>
    <row r="6" spans="1:10" ht="12.75" customHeight="1">
      <c r="A6" s="282" t="s">
        <v>285</v>
      </c>
      <c r="B6" s="53"/>
      <c r="G6" s="246"/>
      <c r="H6" s="259" t="s">
        <v>165</v>
      </c>
    </row>
    <row r="7" spans="1:10">
      <c r="A7" s="250"/>
      <c r="B7" s="993" t="s">
        <v>414</v>
      </c>
      <c r="C7" s="993"/>
      <c r="D7" s="993"/>
      <c r="E7" s="993"/>
      <c r="F7" s="993"/>
      <c r="G7" s="993"/>
      <c r="H7" s="271"/>
    </row>
    <row r="8" spans="1:10" ht="12.75" thickBot="1">
      <c r="A8" s="261"/>
      <c r="B8" s="1015"/>
      <c r="C8" s="1015"/>
      <c r="D8" s="1015"/>
      <c r="E8" s="1015"/>
      <c r="F8" s="1015"/>
      <c r="G8" s="1015"/>
      <c r="H8" s="261"/>
    </row>
    <row r="9" spans="1:10">
      <c r="A9" s="258"/>
      <c r="B9" s="258" t="s">
        <v>202</v>
      </c>
      <c r="C9" s="254" t="s">
        <v>203</v>
      </c>
      <c r="D9" s="254"/>
      <c r="E9" s="391" t="s">
        <v>204</v>
      </c>
      <c r="F9" s="391"/>
      <c r="G9" s="295" t="s">
        <v>205</v>
      </c>
      <c r="H9" s="262">
        <v>-5</v>
      </c>
      <c r="I9" s="254"/>
      <c r="J9" s="254"/>
    </row>
    <row r="10" spans="1:10" ht="14.25">
      <c r="A10" s="258" t="s">
        <v>289</v>
      </c>
      <c r="B10" s="286"/>
      <c r="C10" s="254" t="s">
        <v>434</v>
      </c>
      <c r="D10" s="254"/>
      <c r="E10" s="778" t="s">
        <v>354</v>
      </c>
      <c r="F10" s="778"/>
      <c r="G10" s="778"/>
      <c r="H10" s="274" t="s">
        <v>296</v>
      </c>
    </row>
    <row r="11" spans="1:10" ht="12.75" thickBot="1">
      <c r="A11" s="297" t="s">
        <v>351</v>
      </c>
      <c r="B11" s="297" t="s">
        <v>94</v>
      </c>
      <c r="C11" s="297" t="s">
        <v>73</v>
      </c>
      <c r="D11" s="297"/>
      <c r="E11" s="373" t="s">
        <v>711</v>
      </c>
      <c r="F11" s="373"/>
      <c r="G11" s="373" t="s">
        <v>712</v>
      </c>
      <c r="H11" s="371" t="s">
        <v>73</v>
      </c>
    </row>
    <row r="12" spans="1:10">
      <c r="A12" s="256"/>
    </row>
    <row r="13" spans="1:10">
      <c r="A13" s="256">
        <v>1</v>
      </c>
      <c r="B13" s="243" t="s">
        <v>166</v>
      </c>
      <c r="C13" s="407">
        <v>2613825.0732280002</v>
      </c>
      <c r="D13" s="407"/>
      <c r="E13" s="407"/>
      <c r="F13" s="407"/>
      <c r="G13" s="326">
        <f>'B 3'!H119+'B 3'!H122</f>
        <v>165192.74527005001</v>
      </c>
      <c r="H13" s="287">
        <f t="shared" ref="H13:H39" si="0">SUM(C13:G13)</f>
        <v>2779017.8184980503</v>
      </c>
    </row>
    <row r="14" spans="1:10">
      <c r="A14" s="256">
        <f>A13+1</f>
        <v>2</v>
      </c>
      <c r="B14" s="243" t="s">
        <v>167</v>
      </c>
      <c r="C14" s="407">
        <v>198741.47852600002</v>
      </c>
      <c r="D14" s="407"/>
      <c r="E14" s="407"/>
      <c r="F14" s="407"/>
      <c r="G14" s="305">
        <f>'B 3'!H123</f>
        <v>7452.8054447250006</v>
      </c>
      <c r="H14" s="287">
        <f t="shared" si="0"/>
        <v>206194.28397072502</v>
      </c>
    </row>
    <row r="15" spans="1:10">
      <c r="A15" s="256">
        <f t="shared" ref="A15:A41" si="1">A14+1</f>
        <v>3</v>
      </c>
      <c r="B15" s="243" t="s">
        <v>168</v>
      </c>
      <c r="C15" s="407">
        <v>720887.38291199994</v>
      </c>
      <c r="D15" s="407"/>
      <c r="E15" s="407"/>
      <c r="F15" s="407"/>
      <c r="G15" s="326">
        <f>'B 3'!H120+'B 3'!H124</f>
        <v>56702.471628095998</v>
      </c>
      <c r="H15" s="287">
        <f t="shared" si="0"/>
        <v>777589.8545400959</v>
      </c>
    </row>
    <row r="16" spans="1:10">
      <c r="A16" s="256">
        <f t="shared" si="1"/>
        <v>4</v>
      </c>
      <c r="B16" s="243" t="s">
        <v>169</v>
      </c>
      <c r="C16" s="407">
        <v>1469022.25</v>
      </c>
      <c r="D16" s="407"/>
      <c r="E16" s="281">
        <f>'B 3'!H51</f>
        <v>-24927</v>
      </c>
      <c r="F16" s="281"/>
      <c r="G16" s="326">
        <f>'B 3'!H99</f>
        <v>135680.50499999989</v>
      </c>
      <c r="H16" s="287">
        <f t="shared" si="0"/>
        <v>1579775.7549999999</v>
      </c>
    </row>
    <row r="17" spans="1:8">
      <c r="A17" s="256">
        <f t="shared" si="1"/>
        <v>5</v>
      </c>
      <c r="B17" s="243" t="s">
        <v>170</v>
      </c>
      <c r="C17" s="407">
        <v>639081.21</v>
      </c>
      <c r="D17" s="407"/>
      <c r="E17" s="281"/>
      <c r="F17" s="281"/>
      <c r="G17" s="326"/>
      <c r="H17" s="287">
        <f t="shared" si="0"/>
        <v>639081.21</v>
      </c>
    </row>
    <row r="18" spans="1:8">
      <c r="A18" s="256">
        <f t="shared" si="1"/>
        <v>6</v>
      </c>
      <c r="B18" s="243" t="s">
        <v>171</v>
      </c>
      <c r="C18" s="407">
        <v>1220697.25</v>
      </c>
      <c r="D18" s="407"/>
      <c r="E18" s="281">
        <f>'B 3'!H52</f>
        <v>-325</v>
      </c>
      <c r="F18" s="281"/>
      <c r="G18" s="326"/>
      <c r="H18" s="287">
        <f t="shared" si="0"/>
        <v>1220372.25</v>
      </c>
    </row>
    <row r="19" spans="1:8">
      <c r="A19" s="256">
        <f t="shared" si="1"/>
        <v>7</v>
      </c>
      <c r="B19" s="243" t="s">
        <v>157</v>
      </c>
      <c r="C19" s="407">
        <v>0</v>
      </c>
      <c r="D19" s="407"/>
      <c r="E19" s="281"/>
      <c r="F19" s="281"/>
      <c r="G19" s="326"/>
      <c r="H19" s="287">
        <f t="shared" si="0"/>
        <v>0</v>
      </c>
    </row>
    <row r="20" spans="1:8">
      <c r="A20" s="256">
        <f t="shared" si="1"/>
        <v>8</v>
      </c>
      <c r="B20" s="243" t="s">
        <v>158</v>
      </c>
      <c r="C20" s="407">
        <v>420056.255274</v>
      </c>
      <c r="D20" s="407"/>
      <c r="E20" s="281">
        <f>'B 3'!H41+'B 3'!H53</f>
        <v>102121.31000000006</v>
      </c>
      <c r="F20" s="281"/>
      <c r="G20" s="326"/>
      <c r="H20" s="287">
        <f t="shared" si="0"/>
        <v>522177.56527400005</v>
      </c>
    </row>
    <row r="21" spans="1:8">
      <c r="A21" s="256">
        <f t="shared" si="1"/>
        <v>9</v>
      </c>
      <c r="B21" s="243" t="s">
        <v>194</v>
      </c>
      <c r="C21" s="407">
        <v>120634.033576</v>
      </c>
      <c r="D21" s="407"/>
      <c r="E21" s="281"/>
      <c r="F21" s="281"/>
      <c r="G21" s="326"/>
      <c r="H21" s="287">
        <f t="shared" si="0"/>
        <v>120634.033576</v>
      </c>
    </row>
    <row r="22" spans="1:8">
      <c r="A22" s="256">
        <f t="shared" si="1"/>
        <v>10</v>
      </c>
      <c r="B22" s="243" t="s">
        <v>195</v>
      </c>
      <c r="C22" s="407">
        <v>5838.920000000001</v>
      </c>
      <c r="D22" s="407"/>
      <c r="E22" s="281"/>
      <c r="F22" s="281"/>
      <c r="G22" s="326"/>
      <c r="H22" s="287">
        <f t="shared" si="0"/>
        <v>5838.920000000001</v>
      </c>
    </row>
    <row r="23" spans="1:8">
      <c r="A23" s="256">
        <f t="shared" si="1"/>
        <v>11</v>
      </c>
      <c r="B23" s="243" t="s">
        <v>196</v>
      </c>
      <c r="C23" s="407">
        <v>58685.008302000002</v>
      </c>
      <c r="D23" s="407"/>
      <c r="E23" s="281"/>
      <c r="F23" s="281"/>
      <c r="G23" s="326"/>
      <c r="H23" s="287">
        <f t="shared" si="0"/>
        <v>58685.008302000002</v>
      </c>
    </row>
    <row r="24" spans="1:8">
      <c r="A24" s="256">
        <f t="shared" si="1"/>
        <v>12</v>
      </c>
      <c r="B24" s="243" t="s">
        <v>292</v>
      </c>
      <c r="C24" s="407">
        <v>3296.2617799999998</v>
      </c>
      <c r="D24" s="407"/>
      <c r="E24" s="281"/>
      <c r="F24" s="281"/>
      <c r="G24" s="326"/>
      <c r="H24" s="287">
        <f t="shared" si="0"/>
        <v>3296.2617799999998</v>
      </c>
    </row>
    <row r="25" spans="1:8">
      <c r="A25" s="256">
        <f t="shared" si="1"/>
        <v>13</v>
      </c>
      <c r="B25" s="243" t="s">
        <v>293</v>
      </c>
      <c r="C25" s="407">
        <v>626523.97461200005</v>
      </c>
      <c r="D25" s="407"/>
      <c r="E25" s="281"/>
      <c r="F25" s="281"/>
      <c r="G25" s="326"/>
      <c r="H25" s="287">
        <f t="shared" si="0"/>
        <v>626523.97461200005</v>
      </c>
    </row>
    <row r="26" spans="1:8">
      <c r="A26" s="256">
        <f t="shared" si="1"/>
        <v>14</v>
      </c>
      <c r="B26" s="775" t="s">
        <v>269</v>
      </c>
      <c r="C26" s="407">
        <v>184071.2</v>
      </c>
      <c r="D26" s="407"/>
      <c r="E26" s="281"/>
      <c r="F26" s="281"/>
      <c r="G26" s="326"/>
      <c r="H26" s="287">
        <f t="shared" si="0"/>
        <v>184071.2</v>
      </c>
    </row>
    <row r="27" spans="1:8">
      <c r="A27" s="256">
        <f t="shared" si="1"/>
        <v>15</v>
      </c>
      <c r="B27" s="775" t="s">
        <v>270</v>
      </c>
      <c r="C27" s="407">
        <v>410280.04144000006</v>
      </c>
      <c r="D27" s="407"/>
      <c r="E27" s="281"/>
      <c r="F27" s="281"/>
      <c r="G27" s="326">
        <f>'B 3'!H112+'B 3'!H113</f>
        <v>33600</v>
      </c>
      <c r="H27" s="287">
        <f t="shared" si="0"/>
        <v>443880.04144000006</v>
      </c>
    </row>
    <row r="28" spans="1:8">
      <c r="A28" s="256">
        <f t="shared" si="1"/>
        <v>16</v>
      </c>
      <c r="B28" s="243" t="s">
        <v>417</v>
      </c>
      <c r="C28" s="407">
        <v>90062.019516</v>
      </c>
      <c r="D28" s="407"/>
      <c r="E28" s="281"/>
      <c r="F28" s="281"/>
      <c r="G28" s="326">
        <f>'B 3'!H114</f>
        <v>10386</v>
      </c>
      <c r="H28" s="287">
        <f t="shared" si="0"/>
        <v>100448.019516</v>
      </c>
    </row>
    <row r="29" spans="1:8">
      <c r="A29" s="256">
        <f t="shared" si="1"/>
        <v>17</v>
      </c>
      <c r="B29" s="243" t="s">
        <v>418</v>
      </c>
      <c r="C29" s="407">
        <v>13079.429672</v>
      </c>
      <c r="D29" s="407"/>
      <c r="E29" s="281">
        <f>'B 3'!H56</f>
        <v>14249.090328</v>
      </c>
      <c r="F29" s="281"/>
      <c r="G29" s="326">
        <f>'B 3'!H116</f>
        <v>5053</v>
      </c>
      <c r="H29" s="287">
        <f t="shared" si="0"/>
        <v>32381.52</v>
      </c>
    </row>
    <row r="30" spans="1:8">
      <c r="A30" s="256">
        <f t="shared" si="1"/>
        <v>18</v>
      </c>
      <c r="B30" s="243" t="s">
        <v>419</v>
      </c>
      <c r="C30" s="407">
        <v>167431.576604</v>
      </c>
      <c r="D30" s="407"/>
      <c r="E30" s="281"/>
      <c r="F30" s="281"/>
      <c r="G30" s="326">
        <f>'B 3'!H126</f>
        <v>6362</v>
      </c>
      <c r="H30" s="287">
        <f t="shared" si="0"/>
        <v>173793.576604</v>
      </c>
    </row>
    <row r="31" spans="1:8">
      <c r="A31" s="256">
        <f t="shared" si="1"/>
        <v>19</v>
      </c>
      <c r="B31" s="243" t="s">
        <v>420</v>
      </c>
      <c r="C31" s="407">
        <v>0</v>
      </c>
      <c r="D31" s="407"/>
      <c r="E31" s="281"/>
      <c r="F31" s="281"/>
      <c r="G31" s="326"/>
      <c r="H31" s="287">
        <f t="shared" si="0"/>
        <v>0</v>
      </c>
    </row>
    <row r="32" spans="1:8">
      <c r="A32" s="256">
        <f t="shared" si="1"/>
        <v>20</v>
      </c>
      <c r="B32" s="243" t="s">
        <v>421</v>
      </c>
      <c r="C32" s="407">
        <v>286369.467664</v>
      </c>
      <c r="D32" s="407"/>
      <c r="E32" s="281"/>
      <c r="F32" s="281"/>
      <c r="G32" s="326"/>
      <c r="H32" s="287">
        <f t="shared" si="0"/>
        <v>286369.467664</v>
      </c>
    </row>
    <row r="33" spans="1:10">
      <c r="A33" s="256">
        <f t="shared" si="1"/>
        <v>21</v>
      </c>
      <c r="B33" s="243" t="s">
        <v>422</v>
      </c>
      <c r="C33" s="407">
        <v>0</v>
      </c>
      <c r="D33" s="407"/>
      <c r="E33" s="281"/>
      <c r="F33" s="281"/>
      <c r="G33" s="326"/>
      <c r="H33" s="287">
        <f t="shared" si="0"/>
        <v>0</v>
      </c>
    </row>
    <row r="34" spans="1:10">
      <c r="A34" s="256">
        <f t="shared" si="1"/>
        <v>22</v>
      </c>
      <c r="B34" s="243" t="s">
        <v>431</v>
      </c>
      <c r="C34" s="407">
        <v>47680.635077999999</v>
      </c>
      <c r="D34" s="407"/>
      <c r="E34" s="281"/>
      <c r="F34" s="281"/>
      <c r="G34" s="326"/>
      <c r="H34" s="287">
        <f t="shared" si="0"/>
        <v>47680.635077999999</v>
      </c>
    </row>
    <row r="35" spans="1:10">
      <c r="A35" s="256">
        <f t="shared" si="1"/>
        <v>23</v>
      </c>
      <c r="B35" s="243" t="s">
        <v>450</v>
      </c>
      <c r="C35" s="407">
        <v>136.027692</v>
      </c>
      <c r="D35" s="407"/>
      <c r="E35" s="281"/>
      <c r="F35" s="281"/>
      <c r="G35" s="326"/>
      <c r="H35" s="287">
        <f t="shared" si="0"/>
        <v>136.027692</v>
      </c>
    </row>
    <row r="36" spans="1:10">
      <c r="A36" s="256">
        <f t="shared" si="1"/>
        <v>24</v>
      </c>
      <c r="B36" s="243" t="s">
        <v>451</v>
      </c>
      <c r="C36" s="407">
        <v>166398.00161600002</v>
      </c>
      <c r="D36" s="407"/>
      <c r="E36" s="281">
        <f>'B 3'!H63</f>
        <v>-32425.44107749284</v>
      </c>
      <c r="F36" s="281"/>
      <c r="G36" s="326">
        <f>'B 3'!H102</f>
        <v>94351.5</v>
      </c>
      <c r="H36" s="287">
        <f t="shared" si="0"/>
        <v>228324.06053850718</v>
      </c>
      <c r="I36" s="410"/>
    </row>
    <row r="37" spans="1:10">
      <c r="A37" s="256">
        <f t="shared" si="1"/>
        <v>25</v>
      </c>
      <c r="B37" s="243" t="s">
        <v>452</v>
      </c>
      <c r="C37" s="407">
        <v>1905.6942660000004</v>
      </c>
      <c r="D37" s="407"/>
      <c r="E37" s="281"/>
      <c r="F37" s="281"/>
      <c r="G37" s="326"/>
      <c r="H37" s="287">
        <f t="shared" si="0"/>
        <v>1905.6942660000004</v>
      </c>
    </row>
    <row r="38" spans="1:10">
      <c r="A38" s="256">
        <f t="shared" si="1"/>
        <v>26</v>
      </c>
      <c r="B38" s="243" t="s">
        <v>453</v>
      </c>
      <c r="C38" s="407">
        <v>47825.526441999995</v>
      </c>
      <c r="D38" s="407"/>
      <c r="E38" s="281"/>
      <c r="F38" s="281"/>
      <c r="G38" s="326"/>
      <c r="H38" s="287">
        <f t="shared" si="0"/>
        <v>47825.526441999995</v>
      </c>
    </row>
    <row r="39" spans="1:10">
      <c r="A39" s="256">
        <f t="shared" si="1"/>
        <v>27</v>
      </c>
      <c r="B39" s="243" t="s">
        <v>454</v>
      </c>
      <c r="C39" s="779">
        <v>981756.81494800013</v>
      </c>
      <c r="D39" s="779"/>
      <c r="E39" s="780"/>
      <c r="F39" s="780"/>
      <c r="G39" s="781">
        <f>'B 3'!H125</f>
        <v>1759.3336000000002</v>
      </c>
      <c r="H39" s="782">
        <f t="shared" si="0"/>
        <v>983516.14854800014</v>
      </c>
      <c r="I39" s="263" t="s">
        <v>465</v>
      </c>
      <c r="J39" s="263"/>
    </row>
    <row r="40" spans="1:10">
      <c r="A40" s="256">
        <f t="shared" si="1"/>
        <v>28</v>
      </c>
      <c r="C40" s="776"/>
      <c r="D40" s="776"/>
      <c r="E40" s="776"/>
      <c r="F40" s="776"/>
      <c r="G40" s="383"/>
      <c r="H40" s="776"/>
    </row>
    <row r="41" spans="1:10" ht="12.75" thickBot="1">
      <c r="A41" s="256">
        <f t="shared" si="1"/>
        <v>29</v>
      </c>
      <c r="B41" s="243" t="s">
        <v>433</v>
      </c>
      <c r="C41" s="777">
        <f>SUM(C12:C39)</f>
        <v>10494285.533148002</v>
      </c>
      <c r="D41" s="777"/>
      <c r="E41" s="777">
        <f>SUM(E12:E39)</f>
        <v>58692.959250507221</v>
      </c>
      <c r="F41" s="777"/>
      <c r="G41" s="333">
        <f>SUM(G12:G39)</f>
        <v>516540.3609428709</v>
      </c>
      <c r="H41" s="777">
        <f>SUM(H12:H39)</f>
        <v>11069518.853341378</v>
      </c>
      <c r="I41" s="783">
        <f>H41-C41</f>
        <v>575233.32019337639</v>
      </c>
      <c r="J41" s="783"/>
    </row>
    <row r="42" spans="1:10" ht="12.75" thickTop="1">
      <c r="A42" s="256"/>
      <c r="B42" s="250"/>
      <c r="C42" s="287"/>
      <c r="D42" s="287"/>
      <c r="E42" s="287"/>
      <c r="F42" s="287"/>
      <c r="G42" s="244"/>
      <c r="I42" s="335">
        <f>C41+I41</f>
        <v>11069518.853341378</v>
      </c>
      <c r="J42" s="335"/>
    </row>
    <row r="43" spans="1:10">
      <c r="A43" s="258"/>
      <c r="B43" s="250"/>
      <c r="C43" s="287"/>
      <c r="D43" s="287"/>
      <c r="E43" s="287"/>
      <c r="F43" s="287"/>
      <c r="G43" s="244"/>
    </row>
    <row r="44" spans="1:10">
      <c r="A44" s="784" t="s">
        <v>126</v>
      </c>
      <c r="B44" s="292"/>
      <c r="C44" s="785">
        <v>19153745</v>
      </c>
      <c r="D44" s="785"/>
      <c r="H44" s="287">
        <f>SUM(C41:G41)</f>
        <v>11069518.85334138</v>
      </c>
    </row>
    <row r="45" spans="1:10">
      <c r="A45" s="296" t="s">
        <v>824</v>
      </c>
      <c r="B45" s="292"/>
      <c r="C45" s="785">
        <f>-'B 5'!C40</f>
        <v>-8659459.5468520001</v>
      </c>
      <c r="D45" s="785"/>
    </row>
    <row r="46" spans="1:10" ht="12.75" thickBot="1">
      <c r="A46" s="784" t="s">
        <v>491</v>
      </c>
      <c r="B46" s="292"/>
      <c r="C46" s="786">
        <f>C44-C41+C45</f>
        <v>-8.0000001937150955E-2</v>
      </c>
      <c r="D46" s="787"/>
    </row>
    <row r="47" spans="1:10" ht="12.75" thickTop="1">
      <c r="A47" s="296"/>
      <c r="B47" s="292"/>
      <c r="C47" s="785"/>
      <c r="D47" s="785"/>
    </row>
    <row r="49" spans="7:7">
      <c r="G49" s="244">
        <f>SUM(E41:G41)</f>
        <v>575233.32019337814</v>
      </c>
    </row>
  </sheetData>
  <mergeCells count="1">
    <mergeCell ref="B7:G8"/>
  </mergeCells>
  <printOptions horizontalCentered="1"/>
  <pageMargins left="0.5" right="0.25" top="0.5" bottom="0.25" header="0.05" footer="0.05"/>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tabColor rgb="FF66FFFF"/>
    <pageSetUpPr fitToPage="1"/>
  </sheetPr>
  <dimension ref="A1:M59"/>
  <sheetViews>
    <sheetView workbookViewId="0"/>
  </sheetViews>
  <sheetFormatPr defaultColWidth="10.7109375" defaultRowHeight="12"/>
  <cols>
    <col min="1" max="1" width="5" style="243" customWidth="1"/>
    <col min="2" max="2" width="25.7109375" style="242" customWidth="1"/>
    <col min="3" max="3" width="16.5703125" style="243" bestFit="1" customWidth="1"/>
    <col min="4" max="4" width="10.7109375" style="243" customWidth="1"/>
    <col min="5" max="5" width="10.42578125" style="243" bestFit="1" customWidth="1"/>
    <col min="6" max="6" width="11.28515625" style="243" bestFit="1" customWidth="1"/>
    <col min="7" max="7" width="58.7109375" style="243" customWidth="1"/>
    <col min="8" max="16384" width="10.7109375" style="243"/>
  </cols>
  <sheetData>
    <row r="1" spans="1:13">
      <c r="A1" s="250" t="s">
        <v>323</v>
      </c>
      <c r="B1" s="246"/>
      <c r="C1" s="309"/>
      <c r="D1" s="250"/>
      <c r="E1" s="250"/>
      <c r="F1" s="250"/>
      <c r="G1" s="259" t="s">
        <v>84</v>
      </c>
    </row>
    <row r="2" spans="1:13">
      <c r="A2" s="250"/>
      <c r="B2" s="246"/>
      <c r="C2" s="309"/>
      <c r="D2" s="250"/>
      <c r="E2" s="250"/>
      <c r="F2" s="250"/>
      <c r="G2" s="259"/>
    </row>
    <row r="3" spans="1:13">
      <c r="A3" s="250" t="s">
        <v>565</v>
      </c>
      <c r="B3" s="246"/>
      <c r="C3" s="309"/>
      <c r="D3" s="250"/>
      <c r="E3" s="250"/>
      <c r="F3" s="250"/>
      <c r="G3" s="259" t="s">
        <v>324</v>
      </c>
    </row>
    <row r="4" spans="1:13">
      <c r="A4" s="250" t="s">
        <v>705</v>
      </c>
      <c r="B4" s="246"/>
      <c r="C4" s="726"/>
      <c r="D4" s="250"/>
      <c r="E4" s="250"/>
      <c r="F4" s="250"/>
      <c r="G4" s="259" t="s">
        <v>150</v>
      </c>
    </row>
    <row r="5" spans="1:13">
      <c r="A5" s="250" t="s">
        <v>567</v>
      </c>
      <c r="B5" s="246"/>
      <c r="C5" s="250"/>
      <c r="D5" s="250"/>
      <c r="E5" s="250"/>
      <c r="F5" s="250"/>
      <c r="G5" s="259" t="s">
        <v>558</v>
      </c>
    </row>
    <row r="6" spans="1:13" ht="53.25" customHeight="1">
      <c r="A6" s="997" t="s">
        <v>87</v>
      </c>
      <c r="B6" s="1016"/>
      <c r="C6" s="1016"/>
      <c r="D6" s="1016"/>
      <c r="E6" s="1016"/>
      <c r="F6" s="1016"/>
      <c r="G6" s="1016"/>
    </row>
    <row r="7" spans="1:13" ht="12.75" thickBot="1">
      <c r="A7" s="261"/>
      <c r="B7" s="273"/>
      <c r="C7" s="261"/>
      <c r="D7" s="261"/>
      <c r="E7" s="261"/>
      <c r="F7" s="261"/>
      <c r="G7" s="261"/>
    </row>
    <row r="8" spans="1:13">
      <c r="A8" s="250"/>
      <c r="B8" s="264" t="s">
        <v>202</v>
      </c>
      <c r="C8" s="727" t="s">
        <v>203</v>
      </c>
      <c r="D8" s="727" t="s">
        <v>204</v>
      </c>
      <c r="E8" s="727" t="s">
        <v>205</v>
      </c>
      <c r="F8" s="728" t="s">
        <v>429</v>
      </c>
      <c r="G8" s="727" t="s">
        <v>435</v>
      </c>
    </row>
    <row r="9" spans="1:13">
      <c r="A9" s="250"/>
      <c r="B9" s="274"/>
      <c r="C9" s="258"/>
      <c r="D9" s="258"/>
      <c r="E9" s="258"/>
      <c r="F9" s="258" t="s">
        <v>344</v>
      </c>
      <c r="G9" s="286"/>
    </row>
    <row r="10" spans="1:13">
      <c r="A10" s="254" t="s">
        <v>289</v>
      </c>
      <c r="B10" s="274" t="s">
        <v>341</v>
      </c>
      <c r="C10" s="258" t="s">
        <v>342</v>
      </c>
      <c r="D10" s="254" t="s">
        <v>343</v>
      </c>
      <c r="E10" s="285"/>
      <c r="F10" s="729" t="s">
        <v>287</v>
      </c>
      <c r="G10" s="254" t="s">
        <v>345</v>
      </c>
      <c r="M10" s="256"/>
    </row>
    <row r="11" spans="1:13">
      <c r="A11" s="730" t="s">
        <v>351</v>
      </c>
      <c r="B11" s="731" t="s">
        <v>346</v>
      </c>
      <c r="C11" s="732" t="s">
        <v>347</v>
      </c>
      <c r="D11" s="730" t="s">
        <v>348</v>
      </c>
      <c r="E11" s="730" t="s">
        <v>413</v>
      </c>
      <c r="F11" s="732" t="s">
        <v>476</v>
      </c>
      <c r="G11" s="730" t="s">
        <v>349</v>
      </c>
      <c r="M11" s="256"/>
    </row>
    <row r="12" spans="1:13" s="242" customFormat="1" ht="12.75">
      <c r="A12" s="275">
        <v>1</v>
      </c>
      <c r="B12" s="733" t="s">
        <v>626</v>
      </c>
      <c r="C12" s="734" t="s">
        <v>610</v>
      </c>
      <c r="D12" s="735">
        <v>385</v>
      </c>
      <c r="E12" s="736">
        <v>650</v>
      </c>
      <c r="F12" s="737">
        <f>ROUND(D12*E12,0)</f>
        <v>250250</v>
      </c>
      <c r="G12" s="566" t="s">
        <v>611</v>
      </c>
      <c r="H12" s="567"/>
      <c r="J12" s="567"/>
    </row>
    <row r="13" spans="1:13" ht="12.75">
      <c r="A13" s="263">
        <f t="shared" ref="A13:A19" si="0">A12+1</f>
        <v>2</v>
      </c>
      <c r="B13" s="563" t="s">
        <v>612</v>
      </c>
      <c r="C13" s="734" t="s">
        <v>613</v>
      </c>
      <c r="D13" s="735">
        <v>225</v>
      </c>
      <c r="E13" s="736">
        <v>800</v>
      </c>
      <c r="F13" s="737">
        <f>ROUND(D13*E13,0)</f>
        <v>180000</v>
      </c>
      <c r="G13" s="566" t="s">
        <v>614</v>
      </c>
      <c r="H13" s="567"/>
      <c r="J13" s="567"/>
    </row>
    <row r="14" spans="1:13" ht="12.75">
      <c r="A14" s="263">
        <f t="shared" si="0"/>
        <v>3</v>
      </c>
      <c r="B14" s="563" t="s">
        <v>612</v>
      </c>
      <c r="C14" s="734" t="s">
        <v>615</v>
      </c>
      <c r="D14" s="735">
        <v>175</v>
      </c>
      <c r="E14" s="738">
        <v>480</v>
      </c>
      <c r="F14" s="737">
        <f>ROUND(D14*E14,0)</f>
        <v>84000</v>
      </c>
      <c r="G14" s="566" t="s">
        <v>614</v>
      </c>
      <c r="H14" s="567"/>
      <c r="J14" s="567"/>
    </row>
    <row r="15" spans="1:13" ht="12.75">
      <c r="A15" s="263">
        <f t="shared" si="0"/>
        <v>4</v>
      </c>
      <c r="B15" s="563" t="s">
        <v>616</v>
      </c>
      <c r="C15" s="734" t="s">
        <v>617</v>
      </c>
      <c r="D15" s="735">
        <v>170</v>
      </c>
      <c r="E15" s="736">
        <v>250</v>
      </c>
      <c r="F15" s="737">
        <f>ROUND(D15*E15,0)</f>
        <v>42500</v>
      </c>
      <c r="G15" s="566" t="s">
        <v>618</v>
      </c>
      <c r="H15" s="567"/>
      <c r="J15" s="567"/>
    </row>
    <row r="16" spans="1:13" s="241" customFormat="1" ht="12.75">
      <c r="A16" s="263">
        <f t="shared" si="0"/>
        <v>5</v>
      </c>
      <c r="B16" s="739" t="s">
        <v>1044</v>
      </c>
      <c r="C16" s="739" t="s">
        <v>1045</v>
      </c>
      <c r="D16" s="740">
        <v>295</v>
      </c>
      <c r="E16" s="741">
        <v>180</v>
      </c>
      <c r="F16" s="742">
        <f>ROUND(D16*E16,0)</f>
        <v>53100</v>
      </c>
      <c r="G16" s="743" t="s">
        <v>1046</v>
      </c>
    </row>
    <row r="17" spans="1:11" ht="12.75">
      <c r="A17" s="263">
        <f t="shared" si="0"/>
        <v>6</v>
      </c>
      <c r="B17" s="563" t="s">
        <v>619</v>
      </c>
      <c r="C17" s="734"/>
      <c r="D17" s="565"/>
      <c r="E17" s="565"/>
      <c r="F17" s="737">
        <v>9000</v>
      </c>
      <c r="G17" s="566" t="s">
        <v>620</v>
      </c>
      <c r="H17" s="567"/>
      <c r="J17" s="567"/>
    </row>
    <row r="18" spans="1:11">
      <c r="A18" s="263">
        <f t="shared" si="0"/>
        <v>7</v>
      </c>
      <c r="B18" s="566" t="s">
        <v>621</v>
      </c>
      <c r="C18" s="739"/>
      <c r="D18" s="565"/>
      <c r="E18" s="565"/>
      <c r="F18" s="737">
        <v>5000</v>
      </c>
      <c r="G18" s="566" t="s">
        <v>622</v>
      </c>
      <c r="H18" s="567"/>
      <c r="J18" s="567"/>
    </row>
    <row r="19" spans="1:11">
      <c r="A19" s="263">
        <f t="shared" si="0"/>
        <v>8</v>
      </c>
      <c r="B19" s="566" t="s">
        <v>623</v>
      </c>
      <c r="C19" s="744"/>
      <c r="D19" s="565"/>
      <c r="E19" s="565"/>
      <c r="F19" s="737">
        <v>10000</v>
      </c>
      <c r="G19" s="566" t="s">
        <v>622</v>
      </c>
      <c r="H19" s="567"/>
      <c r="J19" s="567"/>
    </row>
    <row r="20" spans="1:11">
      <c r="A20" s="263">
        <f t="shared" ref="A20:A42" si="1">A19+1</f>
        <v>9</v>
      </c>
      <c r="B20" s="566" t="s">
        <v>623</v>
      </c>
      <c r="C20" s="739"/>
      <c r="D20" s="565"/>
      <c r="E20" s="565"/>
      <c r="F20" s="737">
        <v>115000</v>
      </c>
      <c r="G20" s="743" t="s">
        <v>1047</v>
      </c>
      <c r="H20" s="745"/>
      <c r="J20" s="567"/>
    </row>
    <row r="21" spans="1:11">
      <c r="A21" s="263">
        <f t="shared" si="1"/>
        <v>10</v>
      </c>
      <c r="B21" s="746"/>
      <c r="C21" s="739"/>
      <c r="D21" s="563"/>
      <c r="E21" s="565"/>
      <c r="F21" s="747"/>
      <c r="G21" s="748"/>
      <c r="H21" s="745"/>
      <c r="J21" s="567"/>
    </row>
    <row r="22" spans="1:11">
      <c r="A22" s="263">
        <f t="shared" si="1"/>
        <v>11</v>
      </c>
      <c r="B22" s="563" t="s">
        <v>879</v>
      </c>
      <c r="C22" s="739"/>
      <c r="D22" s="563"/>
      <c r="E22" s="565"/>
      <c r="F22" s="749">
        <f>SUM(F12:F21)</f>
        <v>748850</v>
      </c>
      <c r="G22" s="565"/>
      <c r="H22" s="745"/>
      <c r="J22" s="745"/>
    </row>
    <row r="23" spans="1:11">
      <c r="A23" s="263">
        <f t="shared" si="1"/>
        <v>12</v>
      </c>
      <c r="B23" s="563"/>
      <c r="C23" s="739"/>
      <c r="D23" s="750"/>
      <c r="E23" s="751"/>
      <c r="F23" s="752"/>
      <c r="G23" s="743"/>
      <c r="H23" s="567"/>
      <c r="J23" s="745"/>
    </row>
    <row r="24" spans="1:11">
      <c r="A24" s="263">
        <f t="shared" si="1"/>
        <v>13</v>
      </c>
      <c r="B24" s="563" t="s">
        <v>535</v>
      </c>
      <c r="C24" s="739"/>
      <c r="D24" s="750"/>
      <c r="E24" s="751"/>
      <c r="F24" s="752"/>
      <c r="G24" s="743"/>
      <c r="H24" s="567"/>
      <c r="J24" s="745"/>
    </row>
    <row r="25" spans="1:11">
      <c r="A25" s="263">
        <f t="shared" si="1"/>
        <v>14</v>
      </c>
      <c r="B25" s="563" t="s">
        <v>624</v>
      </c>
      <c r="C25" s="739"/>
      <c r="D25" s="750"/>
      <c r="E25" s="751"/>
      <c r="F25" s="752"/>
      <c r="G25" s="743"/>
      <c r="H25" s="567"/>
      <c r="J25" s="745"/>
    </row>
    <row r="26" spans="1:11">
      <c r="A26" s="263">
        <f t="shared" si="1"/>
        <v>15</v>
      </c>
      <c r="B26" s="568"/>
      <c r="C26" s="568"/>
      <c r="D26" s="568"/>
      <c r="E26" s="567"/>
      <c r="F26" s="567"/>
      <c r="G26" s="567"/>
      <c r="H26" s="567"/>
      <c r="J26" s="567"/>
      <c r="K26" s="570"/>
    </row>
    <row r="27" spans="1:11">
      <c r="A27" s="263">
        <f t="shared" si="1"/>
        <v>16</v>
      </c>
      <c r="B27" s="563" t="s">
        <v>350</v>
      </c>
      <c r="C27" s="739"/>
      <c r="D27" s="750"/>
      <c r="E27" s="751"/>
      <c r="F27" s="752"/>
      <c r="G27" s="567"/>
      <c r="H27" s="567"/>
      <c r="J27" s="567"/>
      <c r="K27" s="567"/>
    </row>
    <row r="28" spans="1:11">
      <c r="A28" s="263">
        <f t="shared" si="1"/>
        <v>17</v>
      </c>
      <c r="B28" s="563" t="s">
        <v>457</v>
      </c>
      <c r="C28" s="739"/>
      <c r="D28" s="750"/>
      <c r="E28" s="751"/>
      <c r="F28" s="752"/>
      <c r="G28" s="242"/>
      <c r="H28" s="567"/>
      <c r="I28" s="747"/>
      <c r="J28" s="567"/>
      <c r="K28" s="567"/>
    </row>
    <row r="29" spans="1:11">
      <c r="A29" s="263">
        <f t="shared" si="1"/>
        <v>18</v>
      </c>
      <c r="B29" s="563"/>
      <c r="C29" s="739"/>
      <c r="D29" s="750"/>
      <c r="E29" s="751"/>
      <c r="F29" s="752"/>
      <c r="G29" s="276"/>
      <c r="H29" s="567"/>
      <c r="I29" s="747"/>
      <c r="J29" s="567"/>
      <c r="K29" s="567"/>
    </row>
    <row r="30" spans="1:11">
      <c r="A30" s="263">
        <f t="shared" si="1"/>
        <v>19</v>
      </c>
      <c r="B30" s="563" t="s">
        <v>477</v>
      </c>
      <c r="C30" s="739"/>
      <c r="D30" s="739"/>
      <c r="E30" s="753"/>
      <c r="F30" s="753"/>
      <c r="G30" s="248"/>
      <c r="H30" s="567"/>
      <c r="I30" s="747"/>
      <c r="J30" s="567"/>
      <c r="K30" s="567"/>
    </row>
    <row r="31" spans="1:11">
      <c r="A31" s="263">
        <f t="shared" si="1"/>
        <v>20</v>
      </c>
      <c r="B31" s="563"/>
      <c r="C31" s="739"/>
      <c r="D31" s="753" t="s">
        <v>253</v>
      </c>
      <c r="E31" s="753" t="s">
        <v>254</v>
      </c>
      <c r="F31" s="753" t="s">
        <v>281</v>
      </c>
      <c r="G31" s="248"/>
      <c r="H31" s="567"/>
      <c r="I31" s="747"/>
      <c r="J31" s="567"/>
      <c r="K31" s="567"/>
    </row>
    <row r="32" spans="1:11">
      <c r="A32" s="263">
        <f t="shared" si="1"/>
        <v>21</v>
      </c>
      <c r="B32" s="563"/>
      <c r="C32" s="739"/>
      <c r="D32" s="753" t="s">
        <v>251</v>
      </c>
      <c r="E32" s="753" t="s">
        <v>252</v>
      </c>
      <c r="F32" s="754" t="s">
        <v>73</v>
      </c>
      <c r="G32" s="276"/>
      <c r="H32" s="567"/>
      <c r="I32" s="747"/>
      <c r="J32" s="567"/>
      <c r="K32" s="567"/>
    </row>
    <row r="33" spans="1:11">
      <c r="A33" s="263">
        <f t="shared" si="1"/>
        <v>22</v>
      </c>
      <c r="B33" s="563" t="s">
        <v>541</v>
      </c>
      <c r="C33" s="739"/>
      <c r="D33" s="755">
        <f>ROUND($F33*D40,0)</f>
        <v>390457</v>
      </c>
      <c r="E33" s="755">
        <f>ROUND($F33*E40,0)</f>
        <v>358393</v>
      </c>
      <c r="F33" s="755">
        <f>F22</f>
        <v>748850</v>
      </c>
      <c r="G33" s="756"/>
      <c r="H33" s="567"/>
      <c r="J33" s="567"/>
      <c r="K33" s="567"/>
    </row>
    <row r="34" spans="1:11" ht="14.25">
      <c r="A34" s="263">
        <f>A33+1</f>
        <v>23</v>
      </c>
      <c r="B34" s="563" t="s">
        <v>1048</v>
      </c>
      <c r="C34" s="739"/>
      <c r="D34" s="757">
        <f>ROUND($F34*D40,0)</f>
        <v>20714</v>
      </c>
      <c r="E34" s="757">
        <f>ROUND($F34*E40,0)</f>
        <v>19013</v>
      </c>
      <c r="F34" s="757">
        <v>39727</v>
      </c>
      <c r="H34" s="567"/>
      <c r="J34" s="567"/>
      <c r="K34" s="567"/>
    </row>
    <row r="35" spans="1:11">
      <c r="A35" s="263">
        <f t="shared" si="1"/>
        <v>24</v>
      </c>
      <c r="B35" s="563" t="s">
        <v>625</v>
      </c>
      <c r="C35" s="739"/>
      <c r="D35" s="758">
        <f>SUM(D33:D34)</f>
        <v>411171</v>
      </c>
      <c r="E35" s="758">
        <f>SUM(E33:E34)</f>
        <v>377406</v>
      </c>
      <c r="F35" s="758">
        <f>SUM(F33:F34)</f>
        <v>788577</v>
      </c>
      <c r="G35" s="756"/>
      <c r="H35" s="567"/>
      <c r="J35" s="567"/>
      <c r="K35" s="567"/>
    </row>
    <row r="36" spans="1:11" ht="12.75" thickBot="1">
      <c r="A36" s="263">
        <f t="shared" si="1"/>
        <v>25</v>
      </c>
      <c r="B36" s="563" t="s">
        <v>609</v>
      </c>
      <c r="C36" s="739"/>
      <c r="D36" s="759">
        <f>+D35/4</f>
        <v>102792.75</v>
      </c>
      <c r="E36" s="759">
        <f>+E35/4</f>
        <v>94351.5</v>
      </c>
      <c r="F36" s="759">
        <f>D36+E36</f>
        <v>197144.25</v>
      </c>
      <c r="G36" s="760"/>
      <c r="H36" s="756"/>
      <c r="J36" s="567"/>
      <c r="K36" s="567"/>
    </row>
    <row r="37" spans="1:11" ht="12.75" thickTop="1">
      <c r="A37" s="263">
        <f t="shared" si="1"/>
        <v>26</v>
      </c>
      <c r="B37" s="568"/>
      <c r="C37" s="568"/>
      <c r="D37" s="568"/>
      <c r="E37" s="564"/>
      <c r="F37" s="564"/>
      <c r="G37" s="569"/>
      <c r="H37" s="760"/>
      <c r="J37" s="567"/>
      <c r="K37" s="567"/>
    </row>
    <row r="38" spans="1:11">
      <c r="A38" s="263">
        <f t="shared" si="1"/>
        <v>27</v>
      </c>
      <c r="B38" s="568" t="s">
        <v>570</v>
      </c>
      <c r="C38" s="568"/>
      <c r="D38" s="761"/>
      <c r="E38" s="761"/>
      <c r="F38" s="762"/>
      <c r="G38" s="569"/>
      <c r="H38" s="564"/>
      <c r="J38" s="567"/>
      <c r="K38" s="567"/>
    </row>
    <row r="39" spans="1:11">
      <c r="A39" s="263">
        <f t="shared" si="1"/>
        <v>28</v>
      </c>
      <c r="B39" s="568" t="s">
        <v>509</v>
      </c>
      <c r="C39" s="568"/>
      <c r="D39" s="763">
        <v>35101.300000000003</v>
      </c>
      <c r="E39" s="763">
        <v>32218.799999999999</v>
      </c>
      <c r="F39" s="763">
        <f>D39+E39</f>
        <v>67320.100000000006</v>
      </c>
      <c r="G39" s="569"/>
      <c r="H39" s="564"/>
      <c r="J39" s="756"/>
      <c r="K39" s="567"/>
    </row>
    <row r="40" spans="1:11">
      <c r="A40" s="263">
        <f t="shared" si="1"/>
        <v>29</v>
      </c>
      <c r="B40" s="568" t="s">
        <v>510</v>
      </c>
      <c r="C40" s="568"/>
      <c r="D40" s="764">
        <f>D39/F39</f>
        <v>0.52140891056311567</v>
      </c>
      <c r="E40" s="764">
        <f>E39/F39</f>
        <v>0.47859108943688433</v>
      </c>
      <c r="F40" s="762">
        <f>SUM(D40:E40)</f>
        <v>1</v>
      </c>
      <c r="G40" s="569"/>
      <c r="H40" s="564"/>
      <c r="J40" s="760"/>
      <c r="K40" s="567"/>
    </row>
    <row r="41" spans="1:11">
      <c r="A41" s="263">
        <f t="shared" si="1"/>
        <v>30</v>
      </c>
      <c r="B41" s="568"/>
      <c r="C41" s="568"/>
      <c r="D41" s="765"/>
      <c r="E41" s="745"/>
      <c r="F41" s="567"/>
      <c r="G41" s="569"/>
      <c r="H41" s="564"/>
      <c r="J41" s="564"/>
      <c r="K41" s="567"/>
    </row>
    <row r="42" spans="1:11" ht="14.25">
      <c r="A42" s="263">
        <f t="shared" si="1"/>
        <v>31</v>
      </c>
      <c r="B42" s="766" t="s">
        <v>878</v>
      </c>
      <c r="C42" s="276"/>
      <c r="D42" s="767"/>
      <c r="E42" s="767"/>
      <c r="F42" s="768"/>
      <c r="G42" s="768"/>
      <c r="H42" s="564"/>
      <c r="J42" s="564"/>
      <c r="K42" s="567"/>
    </row>
    <row r="43" spans="1:11">
      <c r="A43" s="263"/>
      <c r="C43" s="276"/>
      <c r="D43" s="767"/>
      <c r="E43" s="767"/>
      <c r="F43" s="768"/>
      <c r="G43" s="768"/>
      <c r="H43" s="564"/>
      <c r="J43" s="564"/>
      <c r="K43" s="567"/>
    </row>
    <row r="44" spans="1:11">
      <c r="A44" s="263"/>
      <c r="G44" s="768"/>
      <c r="H44" s="769"/>
      <c r="J44" s="564"/>
      <c r="K44" s="567"/>
    </row>
    <row r="45" spans="1:11">
      <c r="A45" s="263"/>
      <c r="D45" s="1017"/>
      <c r="E45" s="1017"/>
      <c r="F45" s="1017"/>
      <c r="G45" s="745"/>
      <c r="H45" s="770"/>
      <c r="J45" s="564"/>
      <c r="K45" s="567"/>
    </row>
    <row r="46" spans="1:11">
      <c r="A46" s="263"/>
      <c r="D46" s="753"/>
      <c r="E46" s="753"/>
      <c r="F46" s="754"/>
      <c r="G46" s="276"/>
      <c r="H46" s="771"/>
      <c r="J46" s="564"/>
      <c r="K46" s="567"/>
    </row>
    <row r="47" spans="1:11">
      <c r="A47" s="263"/>
      <c r="F47" s="283"/>
      <c r="G47" s="276"/>
      <c r="H47" s="772"/>
      <c r="J47" s="769"/>
      <c r="K47" s="567"/>
    </row>
    <row r="48" spans="1:11">
      <c r="A48" s="263"/>
      <c r="F48" s="283"/>
      <c r="G48" s="242"/>
      <c r="H48" s="772"/>
      <c r="J48" s="770"/>
      <c r="K48" s="567"/>
    </row>
    <row r="49" spans="1:11">
      <c r="A49" s="834"/>
      <c r="E49" s="287"/>
      <c r="F49" s="283"/>
      <c r="G49" s="242"/>
      <c r="H49" s="772"/>
      <c r="J49" s="771"/>
      <c r="K49" s="567"/>
    </row>
    <row r="50" spans="1:11">
      <c r="A50" s="263"/>
      <c r="G50" s="242"/>
      <c r="H50" s="772"/>
      <c r="J50" s="771"/>
      <c r="K50" s="567"/>
    </row>
    <row r="51" spans="1:11">
      <c r="A51" s="254"/>
      <c r="G51" s="242"/>
      <c r="H51" s="773"/>
      <c r="J51" s="771"/>
      <c r="K51" s="567"/>
    </row>
    <row r="52" spans="1:11">
      <c r="A52" s="254"/>
      <c r="G52" s="242"/>
      <c r="H52" s="774"/>
      <c r="J52" s="771"/>
      <c r="K52" s="567"/>
    </row>
    <row r="53" spans="1:11">
      <c r="A53" s="254"/>
      <c r="B53" s="242" t="s">
        <v>873</v>
      </c>
      <c r="G53" s="242"/>
      <c r="H53" s="657"/>
      <c r="J53" s="771"/>
      <c r="K53" s="567"/>
    </row>
    <row r="54" spans="1:11">
      <c r="A54" s="254"/>
      <c r="B54" s="242" t="s">
        <v>874</v>
      </c>
      <c r="G54" s="242"/>
      <c r="H54" s="657"/>
      <c r="I54" s="747"/>
      <c r="J54" s="567"/>
      <c r="K54" s="567"/>
    </row>
    <row r="55" spans="1:11">
      <c r="A55" s="254"/>
      <c r="B55" s="242" t="s">
        <v>875</v>
      </c>
      <c r="G55" s="242"/>
      <c r="H55" s="657"/>
    </row>
    <row r="56" spans="1:11">
      <c r="A56" s="254"/>
      <c r="B56" s="242" t="s">
        <v>876</v>
      </c>
      <c r="G56" s="242"/>
      <c r="H56" s="657"/>
    </row>
    <row r="57" spans="1:11">
      <c r="A57" s="254"/>
      <c r="B57" s="242" t="s">
        <v>877</v>
      </c>
      <c r="G57" s="242"/>
      <c r="H57" s="657"/>
    </row>
    <row r="58" spans="1:11">
      <c r="A58" s="254"/>
      <c r="G58" s="242"/>
      <c r="H58" s="657"/>
    </row>
    <row r="59" spans="1:11">
      <c r="A59" s="254"/>
      <c r="G59" s="242"/>
      <c r="H59" s="657"/>
    </row>
  </sheetData>
  <mergeCells count="2">
    <mergeCell ref="A6:G6"/>
    <mergeCell ref="D45:F45"/>
  </mergeCells>
  <printOptions horizontalCentered="1"/>
  <pageMargins left="0.5" right="0.25" top="0.5" bottom="0.25" header="0.05" footer="0.05"/>
  <pageSetup scale="9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89">
    <tabColor rgb="FF66FFFF"/>
    <pageSetUpPr fitToPage="1"/>
  </sheetPr>
  <dimension ref="A1:P72"/>
  <sheetViews>
    <sheetView workbookViewId="0"/>
  </sheetViews>
  <sheetFormatPr defaultColWidth="10.7109375" defaultRowHeight="12"/>
  <cols>
    <col min="1" max="1" width="4.28515625" style="243" customWidth="1"/>
    <col min="2" max="2" width="16.28515625" style="243" hidden="1" customWidth="1"/>
    <col min="3" max="3" width="35" style="243" customWidth="1"/>
    <col min="4" max="4" width="11.7109375" style="242" customWidth="1"/>
    <col min="5" max="6" width="11.7109375" style="243" customWidth="1"/>
    <col min="7" max="8" width="11.7109375" style="242" customWidth="1"/>
    <col min="9" max="9" width="11.7109375" style="243" customWidth="1"/>
    <col min="10" max="16384" width="10.7109375" style="243"/>
  </cols>
  <sheetData>
    <row r="1" spans="1:14">
      <c r="A1" s="250" t="s">
        <v>447</v>
      </c>
      <c r="B1" s="250"/>
      <c r="C1" s="250"/>
      <c r="D1" s="246"/>
      <c r="E1" s="250"/>
      <c r="F1" s="250"/>
      <c r="G1" s="246"/>
      <c r="H1" s="246"/>
      <c r="I1" s="260" t="s">
        <v>84</v>
      </c>
      <c r="K1" s="793"/>
      <c r="L1" s="794" t="s">
        <v>290</v>
      </c>
      <c r="M1" s="795"/>
    </row>
    <row r="2" spans="1:14">
      <c r="A2" s="246"/>
      <c r="B2" s="246"/>
      <c r="C2" s="246"/>
      <c r="D2" s="246"/>
      <c r="E2" s="246"/>
      <c r="F2" s="246"/>
      <c r="G2" s="246"/>
      <c r="H2" s="246"/>
      <c r="I2" s="260"/>
      <c r="K2" s="796" t="s">
        <v>438</v>
      </c>
      <c r="L2" s="797" t="s">
        <v>262</v>
      </c>
      <c r="M2" s="798" t="s">
        <v>155</v>
      </c>
    </row>
    <row r="3" spans="1:14">
      <c r="A3" s="246" t="s">
        <v>565</v>
      </c>
      <c r="B3" s="246"/>
      <c r="C3" s="246"/>
      <c r="D3" s="246"/>
      <c r="E3" s="246"/>
      <c r="F3" s="246"/>
      <c r="G3" s="246"/>
      <c r="H3" s="246"/>
      <c r="I3" s="260" t="s">
        <v>199</v>
      </c>
      <c r="K3" s="799">
        <f>SUM(L3:M3)</f>
        <v>3968</v>
      </c>
      <c r="L3" s="800">
        <v>2592.5</v>
      </c>
      <c r="M3" s="801">
        <v>1375.5</v>
      </c>
    </row>
    <row r="4" spans="1:14">
      <c r="A4" s="246" t="s">
        <v>705</v>
      </c>
      <c r="B4" s="246"/>
      <c r="C4" s="54"/>
      <c r="D4" s="54"/>
      <c r="E4" s="54"/>
      <c r="F4" s="54"/>
      <c r="G4" s="246"/>
      <c r="H4" s="246"/>
      <c r="I4" s="260" t="s">
        <v>150</v>
      </c>
    </row>
    <row r="5" spans="1:14">
      <c r="A5" s="246" t="s">
        <v>567</v>
      </c>
      <c r="B5" s="246"/>
      <c r="C5" s="54"/>
      <c r="D5" s="54"/>
      <c r="E5" s="54"/>
      <c r="F5" s="54"/>
      <c r="G5" s="246"/>
      <c r="H5" s="246"/>
      <c r="I5" s="259" t="s">
        <v>558</v>
      </c>
    </row>
    <row r="6" spans="1:14">
      <c r="A6" s="272" t="s">
        <v>285</v>
      </c>
      <c r="B6" s="272"/>
      <c r="C6" s="246"/>
      <c r="D6" s="246"/>
      <c r="E6" s="246"/>
      <c r="F6" s="246"/>
      <c r="G6" s="246"/>
      <c r="H6" s="246"/>
      <c r="I6" s="260" t="s">
        <v>200</v>
      </c>
    </row>
    <row r="7" spans="1:14">
      <c r="A7" s="274" t="s">
        <v>295</v>
      </c>
      <c r="B7" s="274"/>
      <c r="C7" s="274"/>
      <c r="D7" s="274"/>
      <c r="E7" s="274"/>
      <c r="F7" s="274"/>
      <c r="G7" s="274"/>
      <c r="H7" s="274"/>
      <c r="I7" s="274"/>
      <c r="K7" s="447" t="s">
        <v>215</v>
      </c>
      <c r="L7" s="448" t="s">
        <v>216</v>
      </c>
      <c r="M7" s="449" t="s">
        <v>217</v>
      </c>
    </row>
    <row r="8" spans="1:14" ht="12.75" customHeight="1" thickBot="1">
      <c r="A8" s="273"/>
      <c r="B8" s="273"/>
      <c r="C8" s="273"/>
      <c r="D8" s="273"/>
      <c r="E8" s="273"/>
      <c r="F8" s="273"/>
      <c r="G8" s="273"/>
      <c r="H8" s="273"/>
      <c r="I8" s="273"/>
      <c r="K8" s="802">
        <f>+M8+L8</f>
        <v>67320.100000000006</v>
      </c>
      <c r="L8" s="451">
        <v>35101.300000000003</v>
      </c>
      <c r="M8" s="451">
        <v>32218.799999999999</v>
      </c>
      <c r="N8" s="803"/>
    </row>
    <row r="9" spans="1:14">
      <c r="A9" s="250"/>
      <c r="B9" s="292"/>
      <c r="C9" s="254" t="s">
        <v>202</v>
      </c>
      <c r="D9" s="456" t="s">
        <v>203</v>
      </c>
      <c r="E9" s="360">
        <v>-3</v>
      </c>
      <c r="F9" s="360">
        <v>-4</v>
      </c>
      <c r="G9" s="360">
        <v>-5</v>
      </c>
      <c r="H9" s="360">
        <v>-6</v>
      </c>
      <c r="I9" s="360">
        <v>-7</v>
      </c>
      <c r="K9" s="804">
        <f>SUM(L9:M9)</f>
        <v>1</v>
      </c>
      <c r="L9" s="805">
        <f>+L8/K8</f>
        <v>0.52140891056311567</v>
      </c>
      <c r="M9" s="806">
        <f>+M8/K8</f>
        <v>0.47859108943688433</v>
      </c>
      <c r="N9" s="807">
        <f>+L9+M9</f>
        <v>1</v>
      </c>
    </row>
    <row r="10" spans="1:14">
      <c r="A10" s="254" t="s">
        <v>289</v>
      </c>
      <c r="B10" s="293" t="s">
        <v>244</v>
      </c>
      <c r="C10" s="254"/>
      <c r="D10" s="274" t="s">
        <v>434</v>
      </c>
      <c r="E10" s="274" t="s">
        <v>434</v>
      </c>
      <c r="F10" s="274" t="s">
        <v>1029</v>
      </c>
      <c r="G10" s="254" t="s">
        <v>296</v>
      </c>
      <c r="H10" s="258" t="s">
        <v>93</v>
      </c>
      <c r="I10" s="254" t="s">
        <v>493</v>
      </c>
    </row>
    <row r="11" spans="1:14" ht="12.75" thickBot="1">
      <c r="A11" s="297" t="s">
        <v>351</v>
      </c>
      <c r="B11" s="808" t="s">
        <v>1</v>
      </c>
      <c r="C11" s="297" t="s">
        <v>94</v>
      </c>
      <c r="D11" s="371" t="s">
        <v>404</v>
      </c>
      <c r="E11" s="809" t="s">
        <v>354</v>
      </c>
      <c r="F11" s="809" t="s">
        <v>354</v>
      </c>
      <c r="G11" s="297" t="s">
        <v>430</v>
      </c>
      <c r="H11" s="298" t="s">
        <v>96</v>
      </c>
      <c r="I11" s="297" t="s">
        <v>97</v>
      </c>
    </row>
    <row r="12" spans="1:14">
      <c r="A12" s="263">
        <v>1</v>
      </c>
      <c r="B12" s="254"/>
      <c r="C12" s="250" t="s">
        <v>98</v>
      </c>
      <c r="D12" s="246"/>
      <c r="E12" s="250"/>
      <c r="F12" s="250"/>
      <c r="I12" s="287" t="str">
        <f>IF(OR(G13=0,H13=0),"",ROUND(G13*H13,0))</f>
        <v/>
      </c>
    </row>
    <row r="13" spans="1:14">
      <c r="A13" s="263">
        <f t="shared" ref="A13:A63" si="0">A12+1</f>
        <v>2</v>
      </c>
      <c r="B13" s="254">
        <v>6445</v>
      </c>
      <c r="C13" s="243" t="s">
        <v>129</v>
      </c>
      <c r="D13" s="468">
        <v>2467.1799999999998</v>
      </c>
      <c r="E13" s="407"/>
      <c r="F13" s="407"/>
      <c r="G13" s="326">
        <f>SUM(D13:F13)</f>
        <v>2467.1799999999998</v>
      </c>
      <c r="H13" s="325"/>
    </row>
    <row r="14" spans="1:14">
      <c r="A14" s="263">
        <f t="shared" si="0"/>
        <v>3</v>
      </c>
      <c r="B14" s="254">
        <v>6450</v>
      </c>
      <c r="C14" s="243" t="s">
        <v>130</v>
      </c>
      <c r="D14" s="468">
        <v>5820.2200000000012</v>
      </c>
      <c r="E14" s="287"/>
      <c r="F14" s="287"/>
      <c r="G14" s="326">
        <f>SUM(D14:F14)</f>
        <v>5820.2200000000012</v>
      </c>
      <c r="H14" s="325"/>
      <c r="I14" s="287" t="str">
        <f t="shared" ref="I14:I58" si="1">IF(OR(G14=0,H14=0),"",ROUND(G14*H14,0))</f>
        <v/>
      </c>
    </row>
    <row r="15" spans="1:14">
      <c r="A15" s="263">
        <f t="shared" si="0"/>
        <v>4</v>
      </c>
      <c r="B15" s="254">
        <v>6560</v>
      </c>
      <c r="C15" s="243" t="s">
        <v>131</v>
      </c>
      <c r="D15" s="468"/>
      <c r="E15" s="287"/>
      <c r="F15" s="287"/>
      <c r="G15" s="326">
        <f>SUM(D15:F15)</f>
        <v>0</v>
      </c>
      <c r="H15" s="325"/>
      <c r="I15" s="287" t="str">
        <f t="shared" si="1"/>
        <v/>
      </c>
    </row>
    <row r="16" spans="1:14">
      <c r="A16" s="263">
        <f t="shared" si="0"/>
        <v>5</v>
      </c>
      <c r="B16" s="254"/>
      <c r="C16" s="250" t="s">
        <v>132</v>
      </c>
      <c r="D16" s="468"/>
      <c r="E16" s="287"/>
      <c r="F16" s="287"/>
      <c r="G16" s="305"/>
      <c r="H16" s="325"/>
      <c r="I16" s="287"/>
    </row>
    <row r="17" spans="1:9">
      <c r="A17" s="263">
        <f t="shared" si="0"/>
        <v>6</v>
      </c>
      <c r="B17" s="254" t="s">
        <v>256</v>
      </c>
      <c r="C17" s="243" t="s">
        <v>133</v>
      </c>
      <c r="D17" s="468"/>
      <c r="E17" s="287"/>
      <c r="F17" s="287"/>
      <c r="G17" s="326">
        <f t="shared" ref="G17:G26" si="2">SUM(D17:F17)</f>
        <v>0</v>
      </c>
      <c r="H17" s="325"/>
      <c r="I17" s="287" t="str">
        <f t="shared" si="1"/>
        <v/>
      </c>
    </row>
    <row r="18" spans="1:9">
      <c r="A18" s="263">
        <f t="shared" si="0"/>
        <v>7</v>
      </c>
      <c r="B18" s="810">
        <v>6455</v>
      </c>
      <c r="C18" s="243" t="s">
        <v>134</v>
      </c>
      <c r="D18" s="468">
        <v>39801.000000000007</v>
      </c>
      <c r="F18" s="287">
        <f>'B 3'!G172</f>
        <v>583.75520833333337</v>
      </c>
      <c r="G18" s="326">
        <f t="shared" si="2"/>
        <v>40384.755208333343</v>
      </c>
      <c r="H18" s="325"/>
      <c r="I18" s="287" t="str">
        <f t="shared" si="1"/>
        <v/>
      </c>
    </row>
    <row r="19" spans="1:9">
      <c r="A19" s="263">
        <f t="shared" si="0"/>
        <v>8</v>
      </c>
      <c r="B19" s="254">
        <v>6475</v>
      </c>
      <c r="C19" s="243" t="s">
        <v>135</v>
      </c>
      <c r="D19" s="468"/>
      <c r="E19" s="287"/>
      <c r="F19" s="287"/>
      <c r="G19" s="326">
        <f t="shared" si="2"/>
        <v>0</v>
      </c>
      <c r="H19" s="325"/>
      <c r="I19" s="287" t="str">
        <f t="shared" si="1"/>
        <v/>
      </c>
    </row>
    <row r="20" spans="1:9">
      <c r="A20" s="263">
        <f t="shared" si="0"/>
        <v>9</v>
      </c>
      <c r="B20" s="254">
        <v>6480</v>
      </c>
      <c r="C20" s="811" t="s">
        <v>377</v>
      </c>
      <c r="D20" s="468"/>
      <c r="E20" s="287"/>
      <c r="F20" s="287"/>
      <c r="G20" s="326">
        <f t="shared" si="2"/>
        <v>0</v>
      </c>
      <c r="H20" s="325"/>
      <c r="I20" s="287" t="str">
        <f t="shared" si="1"/>
        <v/>
      </c>
    </row>
    <row r="21" spans="1:9">
      <c r="A21" s="263">
        <f t="shared" si="0"/>
        <v>10</v>
      </c>
      <c r="B21" s="254">
        <v>6485</v>
      </c>
      <c r="C21" s="243" t="s">
        <v>378</v>
      </c>
      <c r="D21" s="468">
        <v>181665.41999999998</v>
      </c>
      <c r="E21" s="287">
        <f>'B 3'!G134</f>
        <v>-46704</v>
      </c>
      <c r="F21" s="287" t="e">
        <f>'B 3'!G173+'B 3'!G243+'B 3'!G263</f>
        <v>#REF!</v>
      </c>
      <c r="G21" s="326" t="e">
        <f t="shared" si="2"/>
        <v>#REF!</v>
      </c>
      <c r="H21" s="325"/>
      <c r="I21" s="287" t="e">
        <f t="shared" si="1"/>
        <v>#REF!</v>
      </c>
    </row>
    <row r="22" spans="1:9">
      <c r="A22" s="263">
        <f t="shared" si="0"/>
        <v>11</v>
      </c>
      <c r="B22" s="254">
        <v>6490</v>
      </c>
      <c r="C22" s="243" t="s">
        <v>379</v>
      </c>
      <c r="D22" s="468">
        <v>3455.76</v>
      </c>
      <c r="E22" s="287"/>
      <c r="F22" s="287"/>
      <c r="G22" s="326">
        <f t="shared" si="2"/>
        <v>3455.76</v>
      </c>
      <c r="H22" s="325"/>
      <c r="I22" s="287" t="str">
        <f t="shared" si="1"/>
        <v/>
      </c>
    </row>
    <row r="23" spans="1:9">
      <c r="A23" s="263">
        <f t="shared" si="0"/>
        <v>12</v>
      </c>
      <c r="B23" s="254">
        <v>6495</v>
      </c>
      <c r="C23" s="243" t="s">
        <v>380</v>
      </c>
      <c r="D23" s="468">
        <v>96173.400000000009</v>
      </c>
      <c r="F23" s="287" t="e">
        <f>'B 3'!G174+'B 3'!G244</f>
        <v>#REF!</v>
      </c>
      <c r="G23" s="326" t="e">
        <f t="shared" si="2"/>
        <v>#REF!</v>
      </c>
      <c r="H23" s="325"/>
      <c r="I23" s="287" t="e">
        <f t="shared" si="1"/>
        <v>#REF!</v>
      </c>
    </row>
    <row r="24" spans="1:9">
      <c r="A24" s="263">
        <f t="shared" si="0"/>
        <v>13</v>
      </c>
      <c r="B24" s="254">
        <v>6500</v>
      </c>
      <c r="C24" s="243" t="s">
        <v>381</v>
      </c>
      <c r="D24" s="468">
        <v>29709.58</v>
      </c>
      <c r="F24" s="287" t="e">
        <f>'B 3'!G175+'B 3'!G245+'B 3'!G264</f>
        <v>#REF!</v>
      </c>
      <c r="G24" s="326" t="e">
        <f t="shared" si="2"/>
        <v>#REF!</v>
      </c>
      <c r="H24" s="325"/>
      <c r="I24" s="287" t="e">
        <f t="shared" si="1"/>
        <v>#REF!</v>
      </c>
    </row>
    <row r="25" spans="1:9">
      <c r="A25" s="263">
        <f t="shared" si="0"/>
        <v>14</v>
      </c>
      <c r="B25" s="727" t="s">
        <v>676</v>
      </c>
      <c r="C25" s="243" t="s">
        <v>382</v>
      </c>
      <c r="D25" s="468">
        <v>17154.25</v>
      </c>
      <c r="F25" s="287">
        <f>'B 3'!G176</f>
        <v>1463.0916666666667</v>
      </c>
      <c r="G25" s="326">
        <f t="shared" si="2"/>
        <v>18617.341666666667</v>
      </c>
      <c r="H25" s="325"/>
      <c r="I25" s="287" t="str">
        <f t="shared" si="1"/>
        <v/>
      </c>
    </row>
    <row r="26" spans="1:9">
      <c r="A26" s="263">
        <f t="shared" si="0"/>
        <v>15</v>
      </c>
      <c r="B26" s="254">
        <v>6565</v>
      </c>
      <c r="C26" s="243" t="s">
        <v>383</v>
      </c>
      <c r="D26" s="468">
        <v>4483.8</v>
      </c>
      <c r="F26" s="287"/>
      <c r="G26" s="326">
        <f t="shared" si="2"/>
        <v>4483.8</v>
      </c>
      <c r="H26" s="325"/>
      <c r="I26" s="287" t="str">
        <f t="shared" si="1"/>
        <v/>
      </c>
    </row>
    <row r="27" spans="1:9">
      <c r="A27" s="263">
        <f t="shared" si="0"/>
        <v>16</v>
      </c>
      <c r="B27" s="254"/>
      <c r="C27" s="250" t="s">
        <v>384</v>
      </c>
      <c r="D27" s="468"/>
      <c r="F27" s="287"/>
      <c r="G27" s="305"/>
      <c r="H27" s="325"/>
      <c r="I27" s="287"/>
    </row>
    <row r="28" spans="1:9">
      <c r="A28" s="263">
        <f t="shared" si="0"/>
        <v>17</v>
      </c>
      <c r="B28" s="254" t="s">
        <v>256</v>
      </c>
      <c r="C28" s="243" t="s">
        <v>385</v>
      </c>
      <c r="D28" s="468"/>
      <c r="F28" s="287"/>
      <c r="G28" s="326">
        <f t="shared" ref="G28:G33" si="3">SUM(D28:F28)</f>
        <v>0</v>
      </c>
      <c r="H28" s="325"/>
      <c r="I28" s="287" t="str">
        <f t="shared" si="1"/>
        <v/>
      </c>
    </row>
    <row r="29" spans="1:9">
      <c r="A29" s="263">
        <f t="shared" si="0"/>
        <v>18</v>
      </c>
      <c r="B29" s="254">
        <v>6460</v>
      </c>
      <c r="C29" s="243" t="s">
        <v>386</v>
      </c>
      <c r="D29" s="468">
        <v>254995.12</v>
      </c>
      <c r="F29" s="287">
        <f>'B 3'!G177</f>
        <v>33520.572916666664</v>
      </c>
      <c r="G29" s="326">
        <f t="shared" si="3"/>
        <v>288515.69291666668</v>
      </c>
      <c r="H29" s="325"/>
      <c r="I29" s="287" t="str">
        <f t="shared" si="1"/>
        <v/>
      </c>
    </row>
    <row r="30" spans="1:9">
      <c r="A30" s="263">
        <f t="shared" si="0"/>
        <v>19</v>
      </c>
      <c r="B30" s="293"/>
      <c r="C30" s="243" t="s">
        <v>30</v>
      </c>
      <c r="D30" s="468"/>
      <c r="F30" s="287"/>
      <c r="G30" s="326">
        <f t="shared" si="3"/>
        <v>0</v>
      </c>
      <c r="H30" s="325"/>
      <c r="I30" s="287" t="str">
        <f t="shared" si="1"/>
        <v/>
      </c>
    </row>
    <row r="31" spans="1:9">
      <c r="A31" s="263">
        <f t="shared" si="0"/>
        <v>20</v>
      </c>
      <c r="B31" s="254">
        <v>6510</v>
      </c>
      <c r="C31" s="243" t="s">
        <v>31</v>
      </c>
      <c r="D31" s="468">
        <v>410261</v>
      </c>
      <c r="F31" s="287">
        <f>'B 3'!G178</f>
        <v>4505.208333333333</v>
      </c>
      <c r="G31" s="326">
        <f t="shared" si="3"/>
        <v>414766.20833333331</v>
      </c>
      <c r="H31" s="325"/>
      <c r="I31" s="287" t="str">
        <f t="shared" si="1"/>
        <v/>
      </c>
    </row>
    <row r="32" spans="1:9">
      <c r="A32" s="263">
        <f t="shared" si="0"/>
        <v>21</v>
      </c>
      <c r="B32" s="254">
        <v>6520</v>
      </c>
      <c r="C32" s="243" t="s">
        <v>387</v>
      </c>
      <c r="D32" s="468">
        <v>328346</v>
      </c>
      <c r="F32" s="287" t="e">
        <f>'B 3'!G179+'B 3'!G246+'B 3'!G265</f>
        <v>#REF!</v>
      </c>
      <c r="G32" s="326" t="e">
        <f t="shared" si="3"/>
        <v>#REF!</v>
      </c>
      <c r="H32" s="325"/>
      <c r="I32" s="287" t="e">
        <f t="shared" si="1"/>
        <v>#REF!</v>
      </c>
    </row>
    <row r="33" spans="1:16">
      <c r="A33" s="263">
        <f t="shared" si="0"/>
        <v>22</v>
      </c>
      <c r="B33" s="254">
        <v>6570</v>
      </c>
      <c r="C33" s="243" t="s">
        <v>388</v>
      </c>
      <c r="D33" s="468">
        <v>230</v>
      </c>
      <c r="E33" s="287"/>
      <c r="F33" s="287"/>
      <c r="G33" s="326">
        <f t="shared" si="3"/>
        <v>230</v>
      </c>
      <c r="H33" s="325"/>
      <c r="I33" s="287" t="str">
        <f t="shared" si="1"/>
        <v/>
      </c>
    </row>
    <row r="34" spans="1:16">
      <c r="A34" s="263">
        <f t="shared" si="0"/>
        <v>23</v>
      </c>
      <c r="B34" s="254"/>
      <c r="C34" s="250" t="s">
        <v>389</v>
      </c>
      <c r="D34" s="468"/>
      <c r="E34" s="287"/>
      <c r="F34" s="287"/>
      <c r="G34" s="305"/>
      <c r="H34" s="325"/>
      <c r="I34" s="287"/>
    </row>
    <row r="35" spans="1:16">
      <c r="A35" s="263">
        <f t="shared" si="0"/>
        <v>24</v>
      </c>
      <c r="B35" s="254" t="s">
        <v>256</v>
      </c>
      <c r="C35" s="243" t="s">
        <v>390</v>
      </c>
      <c r="D35" s="468"/>
      <c r="E35" s="287"/>
      <c r="F35" s="287"/>
      <c r="G35" s="326">
        <f t="shared" ref="G35:G44" si="4">SUM(D35:F35)</f>
        <v>0</v>
      </c>
      <c r="H35" s="325"/>
      <c r="I35" s="287" t="str">
        <f t="shared" si="1"/>
        <v/>
      </c>
    </row>
    <row r="36" spans="1:16">
      <c r="A36" s="263">
        <f t="shared" si="0"/>
        <v>25</v>
      </c>
      <c r="B36" s="254">
        <v>6465</v>
      </c>
      <c r="C36" s="243" t="s">
        <v>391</v>
      </c>
      <c r="D36" s="468">
        <v>261.37</v>
      </c>
      <c r="F36" s="287">
        <f>'B 3'!G180</f>
        <v>29.505208333333332</v>
      </c>
      <c r="G36" s="326">
        <f t="shared" si="4"/>
        <v>290.87520833333332</v>
      </c>
      <c r="H36" s="325"/>
      <c r="I36" s="287" t="str">
        <f t="shared" si="1"/>
        <v/>
      </c>
    </row>
    <row r="37" spans="1:16">
      <c r="A37" s="263">
        <f t="shared" si="0"/>
        <v>26</v>
      </c>
      <c r="B37" s="254">
        <v>6515</v>
      </c>
      <c r="C37" s="243" t="s">
        <v>61</v>
      </c>
      <c r="D37" s="468">
        <v>14624.6</v>
      </c>
      <c r="F37" s="287"/>
      <c r="G37" s="326">
        <f t="shared" si="4"/>
        <v>14624.6</v>
      </c>
      <c r="H37" s="325"/>
      <c r="I37" s="287"/>
    </row>
    <row r="38" spans="1:16">
      <c r="A38" s="263">
        <f t="shared" si="0"/>
        <v>27</v>
      </c>
      <c r="B38" s="254">
        <v>6525</v>
      </c>
      <c r="C38" s="243" t="s">
        <v>392</v>
      </c>
      <c r="D38" s="468">
        <v>150893.06999999998</v>
      </c>
      <c r="F38" s="287" t="e">
        <f>'B 3'!G181+'B 3'!G247+'B 3'!G266</f>
        <v>#REF!</v>
      </c>
      <c r="G38" s="326" t="e">
        <f t="shared" si="4"/>
        <v>#REF!</v>
      </c>
      <c r="H38" s="325"/>
      <c r="I38" s="287" t="e">
        <f t="shared" si="1"/>
        <v>#REF!</v>
      </c>
    </row>
    <row r="39" spans="1:16">
      <c r="A39" s="263">
        <f t="shared" si="0"/>
        <v>28</v>
      </c>
      <c r="B39" s="254">
        <v>6530</v>
      </c>
      <c r="C39" s="243" t="s">
        <v>393</v>
      </c>
      <c r="D39" s="468">
        <v>1065237.44</v>
      </c>
      <c r="F39" s="287" t="e">
        <f>'B 3'!G182+'B 3'!G248+'B 3'!G267</f>
        <v>#REF!</v>
      </c>
      <c r="G39" s="326" t="e">
        <f t="shared" si="4"/>
        <v>#REF!</v>
      </c>
      <c r="H39" s="325"/>
      <c r="I39" s="287" t="e">
        <f t="shared" si="1"/>
        <v>#REF!</v>
      </c>
    </row>
    <row r="40" spans="1:16">
      <c r="A40" s="263">
        <f t="shared" si="0"/>
        <v>29</v>
      </c>
      <c r="B40" s="254">
        <v>6535</v>
      </c>
      <c r="C40" s="243" t="s">
        <v>394</v>
      </c>
      <c r="D40" s="468">
        <v>274345.03999999998</v>
      </c>
      <c r="F40" s="287">
        <f>'B 3'!G183</f>
        <v>8632.1124999999993</v>
      </c>
      <c r="G40" s="326">
        <f t="shared" si="4"/>
        <v>282977.15249999997</v>
      </c>
      <c r="H40" s="325"/>
      <c r="I40" s="287" t="str">
        <f t="shared" si="1"/>
        <v/>
      </c>
    </row>
    <row r="41" spans="1:16">
      <c r="A41" s="263">
        <f t="shared" si="0"/>
        <v>30</v>
      </c>
      <c r="B41" s="727" t="s">
        <v>3</v>
      </c>
      <c r="C41" s="243" t="s">
        <v>395</v>
      </c>
      <c r="D41" s="468">
        <v>305595.92</v>
      </c>
      <c r="F41" s="287">
        <f>'B 3'!G184</f>
        <v>10690.399999999998</v>
      </c>
      <c r="G41" s="326">
        <f t="shared" si="4"/>
        <v>316286.32</v>
      </c>
      <c r="H41" s="325"/>
      <c r="I41" s="287" t="str">
        <f t="shared" si="1"/>
        <v/>
      </c>
    </row>
    <row r="42" spans="1:16">
      <c r="A42" s="263">
        <f t="shared" si="0"/>
        <v>31</v>
      </c>
      <c r="B42" s="254">
        <v>6550</v>
      </c>
      <c r="C42" s="243" t="s">
        <v>396</v>
      </c>
      <c r="D42" s="468">
        <v>55411.030000000006</v>
      </c>
      <c r="F42" s="287">
        <f>'B 3'!G185</f>
        <v>2327.9259259259261</v>
      </c>
      <c r="G42" s="326">
        <f t="shared" si="4"/>
        <v>57738.955925925933</v>
      </c>
      <c r="H42" s="325"/>
      <c r="I42" s="287" t="str">
        <f t="shared" si="1"/>
        <v/>
      </c>
    </row>
    <row r="43" spans="1:16">
      <c r="A43" s="263">
        <f t="shared" si="0"/>
        <v>32</v>
      </c>
      <c r="B43" s="254">
        <v>6555</v>
      </c>
      <c r="C43" s="362" t="s">
        <v>11</v>
      </c>
      <c r="D43" s="468">
        <v>24960.210000000003</v>
      </c>
      <c r="F43" s="287">
        <f>'B 3'!G186</f>
        <v>3634.0555555555561</v>
      </c>
      <c r="G43" s="326">
        <f t="shared" si="4"/>
        <v>28594.265555555558</v>
      </c>
      <c r="H43" s="325"/>
      <c r="I43" s="287" t="str">
        <f t="shared" si="1"/>
        <v/>
      </c>
    </row>
    <row r="44" spans="1:16">
      <c r="A44" s="263">
        <f t="shared" si="0"/>
        <v>33</v>
      </c>
      <c r="B44" s="254">
        <v>6575</v>
      </c>
      <c r="C44" s="243" t="s">
        <v>397</v>
      </c>
      <c r="D44" s="468">
        <v>481.32000000000011</v>
      </c>
      <c r="E44" s="287"/>
      <c r="F44" s="287"/>
      <c r="G44" s="326">
        <f t="shared" si="4"/>
        <v>481.32000000000011</v>
      </c>
      <c r="H44" s="325"/>
      <c r="I44" s="287" t="str">
        <f t="shared" si="1"/>
        <v/>
      </c>
    </row>
    <row r="45" spans="1:16">
      <c r="A45" s="263">
        <f t="shared" si="0"/>
        <v>34</v>
      </c>
      <c r="B45" s="254"/>
      <c r="C45" s="250" t="s">
        <v>298</v>
      </c>
      <c r="D45" s="468"/>
      <c r="E45" s="287"/>
      <c r="F45" s="287"/>
      <c r="G45" s="305"/>
      <c r="H45" s="325"/>
      <c r="I45" s="287"/>
    </row>
    <row r="46" spans="1:16">
      <c r="A46" s="263">
        <f t="shared" si="0"/>
        <v>35</v>
      </c>
      <c r="B46" s="254" t="s">
        <v>256</v>
      </c>
      <c r="C46" s="243" t="s">
        <v>398</v>
      </c>
      <c r="D46" s="468"/>
      <c r="E46" s="287"/>
      <c r="F46" s="287"/>
      <c r="G46" s="326">
        <f t="shared" ref="G46:G58" si="5">SUM(D46:F46)</f>
        <v>0</v>
      </c>
      <c r="H46" s="325"/>
      <c r="I46" s="287" t="str">
        <f>IF(OR(G46=0,H46=0),"",ROUND(G46*H46,0))</f>
        <v/>
      </c>
      <c r="M46" s="812" t="s">
        <v>714</v>
      </c>
      <c r="N46" s="243" t="s">
        <v>713</v>
      </c>
      <c r="P46" s="283">
        <v>0</v>
      </c>
    </row>
    <row r="47" spans="1:16">
      <c r="A47" s="263">
        <f t="shared" si="0"/>
        <v>36</v>
      </c>
      <c r="B47" s="813" t="s">
        <v>530</v>
      </c>
      <c r="C47" s="288" t="s">
        <v>528</v>
      </c>
      <c r="D47" s="468">
        <v>1359.8099999999997</v>
      </c>
      <c r="F47" s="244">
        <f>'B 3'!G187</f>
        <v>20365.065104166668</v>
      </c>
      <c r="G47" s="326">
        <f t="shared" si="5"/>
        <v>21724.875104166669</v>
      </c>
      <c r="H47" s="325"/>
      <c r="I47" s="287" t="str">
        <f t="shared" si="1"/>
        <v/>
      </c>
      <c r="L47" s="468"/>
      <c r="P47" s="283">
        <v>21724.875104166669</v>
      </c>
    </row>
    <row r="48" spans="1:16">
      <c r="A48" s="263">
        <f t="shared" si="0"/>
        <v>37</v>
      </c>
      <c r="B48" s="814" t="s">
        <v>674</v>
      </c>
      <c r="C48" s="288" t="s">
        <v>527</v>
      </c>
      <c r="D48" s="468">
        <v>210704.37014432542</v>
      </c>
      <c r="E48" s="244"/>
      <c r="F48" s="244"/>
      <c r="G48" s="326">
        <f t="shared" si="5"/>
        <v>210704.37014432542</v>
      </c>
      <c r="H48" s="325"/>
      <c r="I48" s="287"/>
      <c r="L48" s="468">
        <v>404105.81000000006</v>
      </c>
      <c r="M48" s="409">
        <f t="shared" ref="M48:N56" si="6">$L48*L$9</f>
        <v>210704.37014432545</v>
      </c>
      <c r="N48" s="409">
        <f t="shared" si="6"/>
        <v>193401.4398556746</v>
      </c>
      <c r="P48" s="283">
        <v>210704.37014432542</v>
      </c>
    </row>
    <row r="49" spans="1:16">
      <c r="A49" s="263">
        <f t="shared" si="0"/>
        <v>38</v>
      </c>
      <c r="B49" s="727" t="s">
        <v>60</v>
      </c>
      <c r="C49" s="243" t="s">
        <v>399</v>
      </c>
      <c r="D49" s="468">
        <v>245604.82343197652</v>
      </c>
      <c r="E49" s="244"/>
      <c r="F49" s="244">
        <f>'B 3'!G188</f>
        <v>32104.161536666659</v>
      </c>
      <c r="G49" s="326">
        <f t="shared" si="5"/>
        <v>277708.98496864317</v>
      </c>
      <c r="H49" s="325"/>
      <c r="I49" s="287" t="str">
        <f t="shared" si="1"/>
        <v/>
      </c>
      <c r="L49" s="468">
        <v>471040.71000000008</v>
      </c>
      <c r="M49" s="409">
        <f t="shared" si="6"/>
        <v>245604.82343197655</v>
      </c>
      <c r="N49" s="409">
        <f t="shared" si="6"/>
        <v>225435.88656802353</v>
      </c>
      <c r="P49" s="283">
        <v>277708.98496864323</v>
      </c>
    </row>
    <row r="50" spans="1:16">
      <c r="A50" s="263">
        <f t="shared" si="0"/>
        <v>39</v>
      </c>
      <c r="B50" s="254">
        <v>6905</v>
      </c>
      <c r="C50" s="243" t="s">
        <v>400</v>
      </c>
      <c r="D50" s="468">
        <v>169580.0463984902</v>
      </c>
      <c r="E50" s="244"/>
      <c r="F50" s="244" t="e">
        <f>'B 3'!G189+'B 3'!G249+'B 3'!G268</f>
        <v>#REF!</v>
      </c>
      <c r="G50" s="326" t="e">
        <f t="shared" si="5"/>
        <v>#REF!</v>
      </c>
      <c r="H50" s="325"/>
      <c r="I50" s="287"/>
      <c r="L50" s="468">
        <v>325234.26999999996</v>
      </c>
      <c r="M50" s="409">
        <f t="shared" si="6"/>
        <v>169580.0463984902</v>
      </c>
      <c r="N50" s="409">
        <f t="shared" si="6"/>
        <v>155654.22360150976</v>
      </c>
      <c r="P50" s="283">
        <v>175687.31544515686</v>
      </c>
    </row>
    <row r="51" spans="1:16">
      <c r="A51" s="263">
        <f t="shared" si="0"/>
        <v>40</v>
      </c>
      <c r="B51" s="727" t="s">
        <v>675</v>
      </c>
      <c r="C51" s="243" t="s">
        <v>401</v>
      </c>
      <c r="D51" s="468">
        <v>503.49330039616717</v>
      </c>
      <c r="E51" s="244"/>
      <c r="F51" s="244"/>
      <c r="G51" s="326">
        <f t="shared" si="5"/>
        <v>503.49330039616717</v>
      </c>
      <c r="H51" s="325"/>
      <c r="I51" s="287" t="str">
        <f t="shared" si="1"/>
        <v/>
      </c>
      <c r="L51" s="468">
        <v>965.64000000000033</v>
      </c>
      <c r="M51" s="409">
        <f t="shared" si="6"/>
        <v>503.49330039616717</v>
      </c>
      <c r="N51" s="409">
        <f t="shared" si="6"/>
        <v>462.14669960383316</v>
      </c>
      <c r="P51" s="283">
        <v>843.20684206283386</v>
      </c>
    </row>
    <row r="52" spans="1:16">
      <c r="A52" s="263">
        <f t="shared" si="0"/>
        <v>41</v>
      </c>
      <c r="B52" s="727" t="s">
        <v>56</v>
      </c>
      <c r="C52" s="243" t="s">
        <v>402</v>
      </c>
      <c r="D52" s="468">
        <v>33544.399063504068</v>
      </c>
      <c r="E52" s="244"/>
      <c r="F52" s="244">
        <f>'B 3'!G190</f>
        <v>339.71354166666663</v>
      </c>
      <c r="G52" s="326">
        <f t="shared" si="5"/>
        <v>33884.112605170732</v>
      </c>
      <c r="H52" s="325"/>
      <c r="I52" s="287" t="str">
        <f t="shared" si="1"/>
        <v/>
      </c>
      <c r="K52" s="266"/>
      <c r="L52" s="468">
        <v>64334.149999999994</v>
      </c>
      <c r="M52" s="409">
        <f t="shared" si="6"/>
        <v>33544.399063504068</v>
      </c>
      <c r="N52" s="409">
        <f t="shared" si="6"/>
        <v>30789.75093649593</v>
      </c>
      <c r="P52" s="283">
        <v>33652.871285726287</v>
      </c>
    </row>
    <row r="53" spans="1:16">
      <c r="A53" s="263">
        <f t="shared" si="0"/>
        <v>42</v>
      </c>
      <c r="B53" s="815" t="s">
        <v>482</v>
      </c>
      <c r="C53" s="243" t="s">
        <v>403</v>
      </c>
      <c r="D53" s="468">
        <v>5184.4365808874318</v>
      </c>
      <c r="E53" s="244"/>
      <c r="F53" s="244">
        <f>'B 3'!G191</f>
        <v>108.47222222222223</v>
      </c>
      <c r="G53" s="326">
        <f t="shared" si="5"/>
        <v>5292.9088031096544</v>
      </c>
      <c r="H53" s="325"/>
      <c r="I53" s="287" t="str">
        <f t="shared" si="1"/>
        <v/>
      </c>
      <c r="K53" s="266"/>
      <c r="L53" s="468">
        <v>9943.1299999999992</v>
      </c>
      <c r="M53" s="409">
        <f t="shared" si="6"/>
        <v>5184.4365808874318</v>
      </c>
      <c r="N53" s="409">
        <f t="shared" si="6"/>
        <v>4758.6934191125674</v>
      </c>
      <c r="P53" s="283">
        <v>5184.4365808874318</v>
      </c>
    </row>
    <row r="54" spans="1:16">
      <c r="A54" s="263">
        <f t="shared" si="0"/>
        <v>43</v>
      </c>
      <c r="B54" s="727" t="s">
        <v>479</v>
      </c>
      <c r="C54" s="243" t="s">
        <v>109</v>
      </c>
      <c r="D54" s="468">
        <v>11042.622113737209</v>
      </c>
      <c r="E54" s="244"/>
      <c r="F54" s="244">
        <f>'B 3'!G192</f>
        <v>1511.2638888888885</v>
      </c>
      <c r="G54" s="326">
        <f t="shared" si="5"/>
        <v>12553.886002626097</v>
      </c>
      <c r="H54" s="325"/>
      <c r="I54" s="287" t="str">
        <f t="shared" si="1"/>
        <v/>
      </c>
      <c r="K54" s="266"/>
      <c r="L54" s="468">
        <v>21178.43</v>
      </c>
      <c r="M54" s="409">
        <f t="shared" si="6"/>
        <v>11042.622113737207</v>
      </c>
      <c r="N54" s="409">
        <f t="shared" si="6"/>
        <v>10135.807886262794</v>
      </c>
      <c r="P54" s="283">
        <v>12553.886002626095</v>
      </c>
    </row>
    <row r="55" spans="1:16">
      <c r="A55" s="263">
        <f t="shared" si="0"/>
        <v>44</v>
      </c>
      <c r="B55" s="727" t="s">
        <v>57</v>
      </c>
      <c r="C55" s="243" t="s">
        <v>110</v>
      </c>
      <c r="D55" s="468">
        <v>13253.719168049365</v>
      </c>
      <c r="E55" s="244"/>
      <c r="F55" s="244">
        <f>'B 3'!G193</f>
        <v>235.89166666666671</v>
      </c>
      <c r="G55" s="326">
        <f t="shared" si="5"/>
        <v>13489.610834716032</v>
      </c>
      <c r="H55" s="325"/>
      <c r="I55" s="287" t="str">
        <f t="shared" si="1"/>
        <v/>
      </c>
      <c r="K55" s="266"/>
      <c r="L55" s="468">
        <v>25419.05</v>
      </c>
      <c r="M55" s="409">
        <f t="shared" si="6"/>
        <v>13253.719168049365</v>
      </c>
      <c r="N55" s="409">
        <f t="shared" si="6"/>
        <v>12165.330831950634</v>
      </c>
      <c r="P55" s="283">
        <v>13489.610834716032</v>
      </c>
    </row>
    <row r="56" spans="1:16">
      <c r="A56" s="263">
        <f t="shared" si="0"/>
        <v>45</v>
      </c>
      <c r="B56" s="727" t="s">
        <v>59</v>
      </c>
      <c r="C56" s="243" t="s">
        <v>111</v>
      </c>
      <c r="D56" s="468">
        <v>807.1409935517031</v>
      </c>
      <c r="E56" s="244"/>
      <c r="F56" s="244"/>
      <c r="G56" s="326">
        <f t="shared" si="5"/>
        <v>807.1409935517031</v>
      </c>
      <c r="H56" s="325"/>
      <c r="I56" s="287" t="str">
        <f t="shared" si="1"/>
        <v/>
      </c>
      <c r="K56" s="266"/>
      <c r="L56" s="468">
        <v>1548</v>
      </c>
      <c r="M56" s="409">
        <f t="shared" si="6"/>
        <v>807.1409935517031</v>
      </c>
      <c r="N56" s="409">
        <f t="shared" si="6"/>
        <v>740.8590064482969</v>
      </c>
      <c r="P56" s="283">
        <v>807.1409935517031</v>
      </c>
    </row>
    <row r="57" spans="1:16">
      <c r="A57" s="263">
        <f t="shared" si="0"/>
        <v>46</v>
      </c>
      <c r="B57" s="727">
        <v>6620</v>
      </c>
      <c r="C57" s="243" t="s">
        <v>112</v>
      </c>
      <c r="D57" s="468">
        <v>-4075.1</v>
      </c>
      <c r="E57" s="287"/>
      <c r="F57" s="287"/>
      <c r="G57" s="326">
        <f t="shared" si="5"/>
        <v>-4075.1</v>
      </c>
      <c r="H57" s="325"/>
      <c r="I57" s="287" t="str">
        <f t="shared" si="1"/>
        <v/>
      </c>
      <c r="J57" s="243" t="s">
        <v>462</v>
      </c>
      <c r="K57" s="266" t="s">
        <v>463</v>
      </c>
      <c r="L57" s="468">
        <v>1323769.1899999997</v>
      </c>
      <c r="M57" s="468">
        <f>SUM(M48:M56)</f>
        <v>690225.05119491811</v>
      </c>
      <c r="N57" s="468">
        <f>SUM(N48:N56)</f>
        <v>633544.13880508207</v>
      </c>
      <c r="P57" s="283">
        <v>-4075.1</v>
      </c>
    </row>
    <row r="58" spans="1:16">
      <c r="A58" s="263">
        <f t="shared" si="0"/>
        <v>47</v>
      </c>
      <c r="B58" s="254"/>
      <c r="D58" s="244"/>
      <c r="E58" s="287"/>
      <c r="F58" s="287"/>
      <c r="G58" s="326">
        <f t="shared" si="5"/>
        <v>0</v>
      </c>
      <c r="H58" s="332"/>
      <c r="I58" s="287" t="str">
        <f t="shared" si="1"/>
        <v/>
      </c>
      <c r="K58" s="266"/>
    </row>
    <row r="59" spans="1:16">
      <c r="A59" s="263">
        <f t="shared" si="0"/>
        <v>48</v>
      </c>
      <c r="B59" s="254"/>
      <c r="C59" s="259" t="s">
        <v>172</v>
      </c>
      <c r="D59" s="300">
        <f>SUM(D12:D58)</f>
        <v>3953882.4911949174</v>
      </c>
      <c r="E59" s="816">
        <f>SUM(E12:E58)</f>
        <v>-46704</v>
      </c>
      <c r="F59" s="816" t="e">
        <f>SUM(F12:F58)</f>
        <v>#REF!</v>
      </c>
      <c r="G59" s="300" t="e">
        <f>SUM(G12:G58)</f>
        <v>#REF!</v>
      </c>
      <c r="H59" s="334" t="s">
        <v>256</v>
      </c>
      <c r="I59" s="557" t="s">
        <v>256</v>
      </c>
      <c r="J59" s="817" t="e">
        <f>SUM(E59:F59)</f>
        <v>#REF!</v>
      </c>
      <c r="K59" s="817" t="e">
        <f>SUM(E59:F59)</f>
        <v>#REF!</v>
      </c>
      <c r="L59" s="287"/>
    </row>
    <row r="60" spans="1:16">
      <c r="A60" s="263">
        <f t="shared" si="0"/>
        <v>49</v>
      </c>
      <c r="B60" s="254"/>
      <c r="C60" s="250"/>
      <c r="D60" s="244"/>
      <c r="E60" s="287"/>
      <c r="F60" s="287"/>
      <c r="G60" s="305"/>
      <c r="H60" s="332"/>
      <c r="I60" s="552"/>
      <c r="J60" s="817" t="e">
        <f>D59+J59</f>
        <v>#REF!</v>
      </c>
      <c r="K60" s="817" t="e">
        <f>D59+K59</f>
        <v>#REF!</v>
      </c>
    </row>
    <row r="61" spans="1:16">
      <c r="A61" s="263">
        <f t="shared" si="0"/>
        <v>50</v>
      </c>
      <c r="B61" s="293" t="s">
        <v>63</v>
      </c>
      <c r="C61" s="250" t="s">
        <v>405</v>
      </c>
      <c r="D61" s="302">
        <v>-1068816.02</v>
      </c>
      <c r="E61" s="788">
        <f>'B 3'!G166</f>
        <v>1084</v>
      </c>
      <c r="F61" s="788">
        <f>'B 3'!G297</f>
        <v>2042.4899999999998</v>
      </c>
      <c r="G61" s="326">
        <f>SUM(D61:F61)</f>
        <v>-1065689.53</v>
      </c>
      <c r="H61" s="334"/>
      <c r="I61" s="553"/>
      <c r="J61" s="267">
        <f>SUM(E61:F61)</f>
        <v>3126.49</v>
      </c>
      <c r="K61" s="267">
        <f>SUM(E61:F61)</f>
        <v>3126.49</v>
      </c>
      <c r="L61" s="299"/>
      <c r="M61" s="299"/>
    </row>
    <row r="62" spans="1:16">
      <c r="A62" s="263">
        <f t="shared" si="0"/>
        <v>51</v>
      </c>
      <c r="B62" s="254"/>
      <c r="C62" s="250"/>
      <c r="D62" s="244"/>
      <c r="E62" s="287"/>
      <c r="F62" s="287"/>
      <c r="G62" s="244"/>
      <c r="H62" s="325"/>
      <c r="I62" s="423"/>
      <c r="J62" s="266"/>
      <c r="K62" s="266"/>
    </row>
    <row r="63" spans="1:16" ht="12.75" thickBot="1">
      <c r="A63" s="263">
        <f t="shared" si="0"/>
        <v>52</v>
      </c>
      <c r="B63" s="254"/>
      <c r="C63" s="250" t="s">
        <v>201</v>
      </c>
      <c r="D63" s="303">
        <f>SUM(D59:D61)</f>
        <v>2885066.4711949173</v>
      </c>
      <c r="E63" s="303">
        <f>SUM(E59:E61)</f>
        <v>-45620</v>
      </c>
      <c r="F63" s="363" t="e">
        <f>SUM(F59:F61)</f>
        <v>#REF!</v>
      </c>
      <c r="G63" s="363" t="e">
        <f>SUM(G59:G61)</f>
        <v>#REF!</v>
      </c>
      <c r="H63" s="334" t="s">
        <v>256</v>
      </c>
      <c r="I63" s="710" t="s">
        <v>256</v>
      </c>
      <c r="J63" s="267" t="e">
        <f>SUM(E63:F63)</f>
        <v>#REF!</v>
      </c>
      <c r="K63" s="267" t="e">
        <f>SUM(E63:F63)</f>
        <v>#REF!</v>
      </c>
    </row>
    <row r="64" spans="1:16" ht="12.75" thickTop="1">
      <c r="A64" s="263"/>
      <c r="B64" s="254"/>
      <c r="C64" s="250"/>
      <c r="D64" s="247"/>
      <c r="E64" s="487"/>
      <c r="F64" s="487"/>
      <c r="G64" s="244"/>
      <c r="H64" s="332"/>
      <c r="I64" s="287"/>
      <c r="J64" s="266"/>
      <c r="K64" s="266"/>
    </row>
    <row r="65" spans="3:11">
      <c r="E65" s="287"/>
      <c r="F65" s="287"/>
      <c r="G65" s="244" t="e">
        <f>SUM(D59:F59)</f>
        <v>#REF!</v>
      </c>
      <c r="K65" s="287" t="e">
        <f>D63+K63</f>
        <v>#REF!</v>
      </c>
    </row>
    <row r="66" spans="3:11">
      <c r="G66" s="244" t="e">
        <f>SUM(D63:F63)</f>
        <v>#REF!</v>
      </c>
    </row>
    <row r="67" spans="3:11">
      <c r="C67" s="243" t="s">
        <v>480</v>
      </c>
      <c r="D67" s="385">
        <v>4587426.7600000007</v>
      </c>
    </row>
    <row r="68" spans="3:11">
      <c r="G68" s="244" t="e">
        <f>SUM(D63:F63)</f>
        <v>#REF!</v>
      </c>
    </row>
    <row r="69" spans="3:11">
      <c r="C69" s="243" t="s">
        <v>455</v>
      </c>
      <c r="D69" s="244">
        <f>D59-D67</f>
        <v>-633544.26880508335</v>
      </c>
    </row>
    <row r="71" spans="3:11">
      <c r="D71" s="242">
        <f>1584+45458</f>
        <v>47042</v>
      </c>
    </row>
    <row r="72" spans="3:11">
      <c r="D72" s="242">
        <f>1800+2718+6691</f>
        <v>11209</v>
      </c>
    </row>
  </sheetData>
  <phoneticPr fontId="41" type="noConversion"/>
  <printOptions horizontalCentered="1"/>
  <pageMargins left="0.5" right="0.25" top="0.5" bottom="0.25" header="0.05" footer="0.05"/>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codeName="Sheet38">
    <tabColor rgb="FFFF0000"/>
  </sheetPr>
  <dimension ref="A1:N65"/>
  <sheetViews>
    <sheetView workbookViewId="0"/>
  </sheetViews>
  <sheetFormatPr defaultColWidth="10.7109375" defaultRowHeight="12" customHeight="1"/>
  <cols>
    <col min="1" max="1" width="3.28515625" style="242" customWidth="1"/>
    <col min="2" max="2" width="32.7109375" style="242" customWidth="1"/>
    <col min="3" max="3" width="1.7109375" style="242" customWidth="1"/>
    <col min="4" max="4" width="11.7109375" style="242" customWidth="1"/>
    <col min="5" max="5" width="11.7109375" style="244" customWidth="1"/>
    <col min="6" max="6" width="11.7109375" style="242" customWidth="1"/>
    <col min="7" max="7" width="11.7109375" style="245" customWidth="1"/>
    <col min="8" max="8" width="11.7109375" style="242" customWidth="1"/>
    <col min="9" max="119" width="10.7109375" style="242" customWidth="1"/>
    <col min="120" max="16384" width="10.7109375" style="242"/>
  </cols>
  <sheetData>
    <row r="1" spans="1:9" ht="12" customHeight="1">
      <c r="A1" s="246" t="s">
        <v>113</v>
      </c>
      <c r="B1" s="246"/>
      <c r="C1" s="246"/>
      <c r="E1" s="388"/>
      <c r="G1" s="242"/>
      <c r="H1" s="260" t="s">
        <v>84</v>
      </c>
    </row>
    <row r="2" spans="1:9" ht="12" customHeight="1">
      <c r="A2" s="246" t="s">
        <v>114</v>
      </c>
      <c r="B2" s="246"/>
      <c r="C2" s="246"/>
      <c r="D2" s="428"/>
      <c r="E2" s="388"/>
      <c r="G2" s="242"/>
      <c r="H2" s="437"/>
    </row>
    <row r="3" spans="1:9" ht="12" customHeight="1">
      <c r="A3" s="246"/>
      <c r="B3" s="246"/>
      <c r="C3" s="246"/>
      <c r="E3" s="389"/>
      <c r="G3" s="242"/>
      <c r="H3" s="351" t="s">
        <v>138</v>
      </c>
    </row>
    <row r="4" spans="1:9" ht="12" customHeight="1">
      <c r="A4" s="246" t="s">
        <v>565</v>
      </c>
      <c r="B4" s="246"/>
      <c r="C4" s="246"/>
      <c r="D4" s="253"/>
      <c r="E4" s="253"/>
      <c r="G4" s="242"/>
      <c r="H4" s="351" t="s">
        <v>156</v>
      </c>
    </row>
    <row r="5" spans="1:9" ht="12" customHeight="1">
      <c r="A5" s="246" t="s">
        <v>705</v>
      </c>
      <c r="B5" s="246"/>
      <c r="C5" s="246"/>
      <c r="D5" s="253"/>
      <c r="E5" s="253"/>
      <c r="G5" s="242"/>
      <c r="H5" s="260" t="s">
        <v>558</v>
      </c>
    </row>
    <row r="6" spans="1:9" ht="12" customHeight="1">
      <c r="A6" s="246" t="s">
        <v>566</v>
      </c>
      <c r="B6" s="246"/>
      <c r="C6" s="246"/>
      <c r="D6" s="253"/>
      <c r="E6" s="253"/>
      <c r="F6" s="438"/>
      <c r="G6" s="242"/>
      <c r="H6" s="246"/>
    </row>
    <row r="7" spans="1:9" ht="12" customHeight="1">
      <c r="A7" s="272" t="s">
        <v>248</v>
      </c>
      <c r="B7" s="54"/>
      <c r="C7" s="54"/>
      <c r="D7" s="253"/>
      <c r="E7" s="253"/>
      <c r="G7" s="242"/>
      <c r="H7" s="260" t="s">
        <v>137</v>
      </c>
    </row>
    <row r="8" spans="1:9" ht="12" customHeight="1" thickBot="1">
      <c r="A8" s="273"/>
      <c r="B8" s="273"/>
      <c r="C8" s="273"/>
      <c r="D8" s="433"/>
      <c r="E8" s="390"/>
      <c r="F8" s="433"/>
      <c r="G8" s="439"/>
      <c r="H8" s="273"/>
    </row>
    <row r="9" spans="1:9" ht="12" customHeight="1">
      <c r="A9" s="246"/>
      <c r="B9" s="368" t="s">
        <v>202</v>
      </c>
      <c r="C9" s="368"/>
      <c r="D9" s="294">
        <v>-2</v>
      </c>
      <c r="E9" s="391" t="s">
        <v>204</v>
      </c>
      <c r="F9" s="295">
        <v>-4</v>
      </c>
      <c r="G9" s="429">
        <v>-5</v>
      </c>
      <c r="H9" s="429">
        <v>-6</v>
      </c>
      <c r="I9" s="264"/>
    </row>
    <row r="10" spans="1:9" ht="12" customHeight="1">
      <c r="A10" s="274" t="s">
        <v>289</v>
      </c>
      <c r="B10" s="368"/>
      <c r="C10" s="368"/>
      <c r="D10" s="274" t="s">
        <v>434</v>
      </c>
      <c r="E10" s="369"/>
      <c r="F10" s="274" t="s">
        <v>296</v>
      </c>
      <c r="G10" s="440" t="s">
        <v>493</v>
      </c>
      <c r="H10" s="440" t="s">
        <v>493</v>
      </c>
    </row>
    <row r="11" spans="1:9" ht="12" customHeight="1" thickBot="1">
      <c r="A11" s="370" t="s">
        <v>351</v>
      </c>
      <c r="B11" s="370" t="s">
        <v>94</v>
      </c>
      <c r="C11" s="370"/>
      <c r="D11" s="371" t="s">
        <v>136</v>
      </c>
      <c r="E11" s="372" t="s">
        <v>354</v>
      </c>
      <c r="F11" s="373" t="s">
        <v>95</v>
      </c>
      <c r="G11" s="441" t="s">
        <v>284</v>
      </c>
      <c r="H11" s="371" t="s">
        <v>97</v>
      </c>
    </row>
    <row r="12" spans="1:9" ht="12" customHeight="1">
      <c r="A12" s="374">
        <v>1</v>
      </c>
      <c r="B12" s="246" t="s">
        <v>98</v>
      </c>
      <c r="C12" s="246"/>
      <c r="D12" s="305"/>
      <c r="E12" s="305"/>
      <c r="F12" s="305"/>
      <c r="G12" s="244"/>
      <c r="H12" s="305"/>
    </row>
    <row r="13" spans="1:9" ht="12" customHeight="1">
      <c r="A13" s="374">
        <f t="shared" ref="A13:A60" si="0">A12+1</f>
        <v>2</v>
      </c>
      <c r="B13" s="242" t="s">
        <v>129</v>
      </c>
      <c r="D13" s="305">
        <v>98683</v>
      </c>
      <c r="E13" s="305"/>
      <c r="F13" s="305">
        <f>SUM(D13:E13)</f>
        <v>98683</v>
      </c>
      <c r="G13" s="442"/>
      <c r="H13" s="301" t="str">
        <f>IF(G13=0,"",ROUND(F13*G13,0))</f>
        <v/>
      </c>
    </row>
    <row r="14" spans="1:9" ht="12" customHeight="1">
      <c r="A14" s="374">
        <f t="shared" si="0"/>
        <v>3</v>
      </c>
      <c r="B14" s="242" t="s">
        <v>130</v>
      </c>
      <c r="D14" s="305">
        <v>232782</v>
      </c>
      <c r="E14" s="305"/>
      <c r="F14" s="305">
        <f>SUM(D14:E14)</f>
        <v>232782</v>
      </c>
      <c r="G14" s="442"/>
      <c r="H14" s="301" t="str">
        <f>IF(G14=0,"",ROUND(F14*G14,0))</f>
        <v/>
      </c>
    </row>
    <row r="15" spans="1:9" ht="12" customHeight="1">
      <c r="A15" s="374">
        <f t="shared" si="0"/>
        <v>4</v>
      </c>
      <c r="B15" s="242" t="s">
        <v>131</v>
      </c>
      <c r="D15" s="305">
        <v>35755</v>
      </c>
      <c r="E15" s="305"/>
      <c r="F15" s="305">
        <f>SUM(D15:E15)</f>
        <v>35755</v>
      </c>
      <c r="G15" s="442"/>
      <c r="H15" s="301" t="str">
        <f>IF(G15=0,"",ROUND(F15*G15,0))</f>
        <v/>
      </c>
    </row>
    <row r="16" spans="1:9" ht="12" customHeight="1">
      <c r="A16" s="374">
        <f t="shared" si="0"/>
        <v>5</v>
      </c>
      <c r="B16" s="246" t="s">
        <v>132</v>
      </c>
      <c r="C16" s="246"/>
      <c r="D16" s="305"/>
      <c r="E16" s="305"/>
      <c r="F16" s="305"/>
      <c r="G16" s="442"/>
      <c r="H16" s="301"/>
    </row>
    <row r="17" spans="1:8" ht="12" customHeight="1">
      <c r="A17" s="374">
        <f t="shared" si="0"/>
        <v>6</v>
      </c>
      <c r="B17" s="242" t="s">
        <v>133</v>
      </c>
      <c r="D17" s="305">
        <v>35517</v>
      </c>
      <c r="E17" s="305"/>
      <c r="F17" s="305">
        <f t="shared" ref="F17:F26" si="1">SUM(D17:E17)</f>
        <v>35517</v>
      </c>
      <c r="G17" s="442"/>
      <c r="H17" s="301" t="str">
        <f t="shared" ref="H17:H26" si="2">IF(G17=0,"",ROUND(F17*G17,0))</f>
        <v/>
      </c>
    </row>
    <row r="18" spans="1:8" ht="12" customHeight="1">
      <c r="A18" s="374">
        <f t="shared" si="0"/>
        <v>7</v>
      </c>
      <c r="B18" s="242" t="s">
        <v>134</v>
      </c>
      <c r="D18" s="305">
        <v>1269595</v>
      </c>
      <c r="E18" s="305"/>
      <c r="F18" s="305">
        <f t="shared" si="1"/>
        <v>1269595</v>
      </c>
      <c r="G18" s="442"/>
      <c r="H18" s="301" t="str">
        <f t="shared" si="2"/>
        <v/>
      </c>
    </row>
    <row r="19" spans="1:8" ht="12" customHeight="1">
      <c r="A19" s="374">
        <f t="shared" si="0"/>
        <v>8</v>
      </c>
      <c r="B19" s="242" t="s">
        <v>135</v>
      </c>
      <c r="D19" s="305">
        <v>0</v>
      </c>
      <c r="E19" s="305"/>
      <c r="F19" s="305">
        <f t="shared" si="1"/>
        <v>0</v>
      </c>
      <c r="G19" s="442"/>
      <c r="H19" s="301" t="str">
        <f t="shared" si="2"/>
        <v/>
      </c>
    </row>
    <row r="20" spans="1:8" ht="12" customHeight="1">
      <c r="A20" s="374">
        <f t="shared" si="0"/>
        <v>9</v>
      </c>
      <c r="B20" s="242" t="s">
        <v>377</v>
      </c>
      <c r="D20" s="305">
        <v>0</v>
      </c>
      <c r="E20" s="305"/>
      <c r="F20" s="305">
        <f t="shared" si="1"/>
        <v>0</v>
      </c>
      <c r="G20" s="442"/>
      <c r="H20" s="301" t="str">
        <f t="shared" si="2"/>
        <v/>
      </c>
    </row>
    <row r="21" spans="1:8" ht="12" customHeight="1">
      <c r="A21" s="374">
        <f t="shared" si="0"/>
        <v>10</v>
      </c>
      <c r="B21" s="242" t="s">
        <v>378</v>
      </c>
      <c r="D21" s="305">
        <v>4048236</v>
      </c>
      <c r="E21" s="305" t="e">
        <f>'A 3'!E27+'A 3'!E47</f>
        <v>#REF!</v>
      </c>
      <c r="F21" s="305" t="e">
        <f t="shared" si="1"/>
        <v>#REF!</v>
      </c>
      <c r="G21" s="442"/>
      <c r="H21" s="301" t="str">
        <f t="shared" si="2"/>
        <v/>
      </c>
    </row>
    <row r="22" spans="1:8" ht="12" customHeight="1">
      <c r="A22" s="374">
        <f t="shared" si="0"/>
        <v>11</v>
      </c>
      <c r="B22" s="242" t="s">
        <v>379</v>
      </c>
      <c r="D22" s="305">
        <v>138232</v>
      </c>
      <c r="E22" s="305"/>
      <c r="F22" s="305">
        <f t="shared" si="1"/>
        <v>138232</v>
      </c>
      <c r="G22" s="442"/>
      <c r="H22" s="301" t="str">
        <f t="shared" si="2"/>
        <v/>
      </c>
    </row>
    <row r="23" spans="1:8" ht="12" customHeight="1">
      <c r="A23" s="374">
        <f t="shared" si="0"/>
        <v>12</v>
      </c>
      <c r="B23" s="242" t="s">
        <v>380</v>
      </c>
      <c r="D23" s="305">
        <v>3364035</v>
      </c>
      <c r="E23" s="305" t="e">
        <f>'A 3'!E28</f>
        <v>#REF!</v>
      </c>
      <c r="F23" s="305" t="e">
        <f t="shared" si="1"/>
        <v>#REF!</v>
      </c>
      <c r="G23" s="442"/>
      <c r="H23" s="301" t="str">
        <f t="shared" si="2"/>
        <v/>
      </c>
    </row>
    <row r="24" spans="1:8" ht="12" customHeight="1">
      <c r="A24" s="374">
        <f t="shared" si="0"/>
        <v>13</v>
      </c>
      <c r="B24" s="242" t="s">
        <v>381</v>
      </c>
      <c r="D24" s="305">
        <v>586731</v>
      </c>
      <c r="E24" s="305" t="e">
        <f>'A 3'!E29+'A 3'!E48</f>
        <v>#REF!</v>
      </c>
      <c r="F24" s="305" t="e">
        <f t="shared" si="1"/>
        <v>#REF!</v>
      </c>
      <c r="G24" s="442"/>
      <c r="H24" s="301" t="str">
        <f t="shared" si="2"/>
        <v/>
      </c>
    </row>
    <row r="25" spans="1:8" ht="12" customHeight="1">
      <c r="A25" s="374">
        <f t="shared" si="0"/>
        <v>14</v>
      </c>
      <c r="B25" s="242" t="s">
        <v>382</v>
      </c>
      <c r="D25" s="305">
        <v>299342</v>
      </c>
      <c r="E25" s="305"/>
      <c r="F25" s="305">
        <f t="shared" si="1"/>
        <v>299342</v>
      </c>
      <c r="G25" s="442"/>
      <c r="H25" s="301" t="str">
        <f t="shared" si="2"/>
        <v/>
      </c>
    </row>
    <row r="26" spans="1:8" ht="12" customHeight="1">
      <c r="A26" s="374">
        <f t="shared" si="0"/>
        <v>15</v>
      </c>
      <c r="B26" s="242" t="s">
        <v>383</v>
      </c>
      <c r="D26" s="305">
        <v>80709</v>
      </c>
      <c r="E26" s="305"/>
      <c r="F26" s="305">
        <f t="shared" si="1"/>
        <v>80709</v>
      </c>
      <c r="G26" s="442"/>
      <c r="H26" s="301" t="str">
        <f t="shared" si="2"/>
        <v/>
      </c>
    </row>
    <row r="27" spans="1:8" ht="12" customHeight="1">
      <c r="A27" s="374">
        <f t="shared" si="0"/>
        <v>16</v>
      </c>
      <c r="B27" s="246" t="s">
        <v>384</v>
      </c>
      <c r="C27" s="246"/>
      <c r="D27" s="305"/>
      <c r="E27" s="305"/>
      <c r="F27" s="305"/>
      <c r="G27" s="442"/>
      <c r="H27" s="301"/>
    </row>
    <row r="28" spans="1:8" ht="12" customHeight="1">
      <c r="A28" s="374">
        <f t="shared" si="0"/>
        <v>17</v>
      </c>
      <c r="B28" s="242" t="s">
        <v>385</v>
      </c>
      <c r="D28" s="305">
        <v>216022</v>
      </c>
      <c r="E28" s="305"/>
      <c r="F28" s="305">
        <f t="shared" ref="F28:F33" si="3">SUM(D28:E28)</f>
        <v>216022</v>
      </c>
      <c r="G28" s="442"/>
      <c r="H28" s="301" t="str">
        <f t="shared" ref="H28:H33" si="4">IF(G28=0,"",ROUND(F28*G28,0))</f>
        <v/>
      </c>
    </row>
    <row r="29" spans="1:8" ht="12" customHeight="1">
      <c r="A29" s="374">
        <f t="shared" si="0"/>
        <v>18</v>
      </c>
      <c r="B29" s="242" t="s">
        <v>386</v>
      </c>
      <c r="D29" s="305">
        <v>8214330</v>
      </c>
      <c r="E29" s="305"/>
      <c r="F29" s="305">
        <f t="shared" si="3"/>
        <v>8214330</v>
      </c>
      <c r="G29" s="442"/>
      <c r="H29" s="301" t="str">
        <f t="shared" si="4"/>
        <v/>
      </c>
    </row>
    <row r="30" spans="1:8" ht="12" customHeight="1">
      <c r="A30" s="374">
        <f t="shared" si="0"/>
        <v>19</v>
      </c>
      <c r="B30" s="242" t="s">
        <v>30</v>
      </c>
      <c r="D30" s="305">
        <v>0</v>
      </c>
      <c r="E30" s="305"/>
      <c r="F30" s="305">
        <f t="shared" si="3"/>
        <v>0</v>
      </c>
      <c r="G30" s="442"/>
      <c r="H30" s="301" t="str">
        <f t="shared" si="4"/>
        <v/>
      </c>
    </row>
    <row r="31" spans="1:8" ht="12" customHeight="1">
      <c r="A31" s="374">
        <f t="shared" si="0"/>
        <v>20</v>
      </c>
      <c r="B31" s="242" t="s">
        <v>31</v>
      </c>
      <c r="D31" s="305">
        <v>8189518</v>
      </c>
      <c r="E31" s="305"/>
      <c r="F31" s="305">
        <f t="shared" si="3"/>
        <v>8189518</v>
      </c>
      <c r="G31" s="442"/>
      <c r="H31" s="301" t="str">
        <f t="shared" si="4"/>
        <v/>
      </c>
    </row>
    <row r="32" spans="1:8" ht="12" customHeight="1">
      <c r="A32" s="374">
        <f t="shared" si="0"/>
        <v>21</v>
      </c>
      <c r="B32" s="242" t="s">
        <v>387</v>
      </c>
      <c r="D32" s="305">
        <v>7218075</v>
      </c>
      <c r="E32" s="305" t="e">
        <f>'A 3'!E30+'A 3'!E49</f>
        <v>#REF!</v>
      </c>
      <c r="F32" s="305" t="e">
        <f t="shared" si="3"/>
        <v>#REF!</v>
      </c>
      <c r="G32" s="442"/>
      <c r="H32" s="301" t="str">
        <f t="shared" si="4"/>
        <v/>
      </c>
    </row>
    <row r="33" spans="1:8" ht="12" customHeight="1">
      <c r="A33" s="374">
        <f t="shared" si="0"/>
        <v>22</v>
      </c>
      <c r="B33" s="242" t="s">
        <v>388</v>
      </c>
      <c r="D33" s="305">
        <v>4143</v>
      </c>
      <c r="E33" s="305"/>
      <c r="F33" s="305">
        <f t="shared" si="3"/>
        <v>4143</v>
      </c>
      <c r="G33" s="442"/>
      <c r="H33" s="301" t="str">
        <f t="shared" si="4"/>
        <v/>
      </c>
    </row>
    <row r="34" spans="1:8" ht="12" customHeight="1">
      <c r="A34" s="374">
        <f t="shared" si="0"/>
        <v>23</v>
      </c>
      <c r="B34" s="246" t="s">
        <v>389</v>
      </c>
      <c r="C34" s="246"/>
      <c r="D34" s="305"/>
      <c r="E34" s="305"/>
      <c r="F34" s="305"/>
      <c r="G34" s="442"/>
      <c r="H34" s="301"/>
    </row>
    <row r="35" spans="1:8" ht="12" customHeight="1">
      <c r="A35" s="374">
        <f t="shared" si="0"/>
        <v>24</v>
      </c>
      <c r="B35" s="242" t="s">
        <v>390</v>
      </c>
      <c r="D35" s="305">
        <v>246</v>
      </c>
      <c r="E35" s="305"/>
      <c r="F35" s="305">
        <f t="shared" ref="F35:F44" si="5">SUM(D35:E35)</f>
        <v>246</v>
      </c>
      <c r="G35" s="442"/>
      <c r="H35" s="301" t="str">
        <f>IF(G35=0,"",ROUND(F35*G35,0))</f>
        <v/>
      </c>
    </row>
    <row r="36" spans="1:8" ht="12" customHeight="1">
      <c r="A36" s="374">
        <f t="shared" si="0"/>
        <v>25</v>
      </c>
      <c r="B36" s="242" t="s">
        <v>391</v>
      </c>
      <c r="D36" s="305">
        <v>8496</v>
      </c>
      <c r="E36" s="305"/>
      <c r="F36" s="305">
        <f t="shared" si="5"/>
        <v>8496</v>
      </c>
      <c r="G36" s="442"/>
      <c r="H36" s="301" t="str">
        <f>IF(G36=0,"",ROUND(F36*G36,0))</f>
        <v/>
      </c>
    </row>
    <row r="37" spans="1:8" ht="12" customHeight="1">
      <c r="A37" s="374">
        <f t="shared" si="0"/>
        <v>26</v>
      </c>
      <c r="B37" s="242" t="s">
        <v>61</v>
      </c>
      <c r="D37" s="305">
        <v>292488</v>
      </c>
      <c r="E37" s="305"/>
      <c r="F37" s="305">
        <f t="shared" si="5"/>
        <v>292488</v>
      </c>
      <c r="G37" s="442"/>
      <c r="H37" s="301"/>
    </row>
    <row r="38" spans="1:8" ht="12" customHeight="1">
      <c r="A38" s="374">
        <f t="shared" si="0"/>
        <v>27</v>
      </c>
      <c r="B38" s="242" t="s">
        <v>392</v>
      </c>
      <c r="D38" s="305">
        <v>5583677</v>
      </c>
      <c r="E38" s="305" t="e">
        <f>'A 3'!E31+'A 3'!E50</f>
        <v>#REF!</v>
      </c>
      <c r="F38" s="305" t="e">
        <f t="shared" si="5"/>
        <v>#REF!</v>
      </c>
      <c r="G38" s="442"/>
      <c r="H38" s="301" t="str">
        <f t="shared" ref="H38:H44" si="6">IF(G38=0,"",ROUND(F38*G38,0))</f>
        <v/>
      </c>
    </row>
    <row r="39" spans="1:8" ht="12" customHeight="1">
      <c r="A39" s="374">
        <f t="shared" si="0"/>
        <v>28</v>
      </c>
      <c r="B39" s="242" t="s">
        <v>393</v>
      </c>
      <c r="D39" s="305">
        <v>45696363</v>
      </c>
      <c r="E39" s="305" t="e">
        <f>'A 3'!E32+'A 3'!E51</f>
        <v>#REF!</v>
      </c>
      <c r="F39" s="305" t="e">
        <f t="shared" si="5"/>
        <v>#REF!</v>
      </c>
      <c r="G39" s="442"/>
      <c r="H39" s="301" t="str">
        <f t="shared" si="6"/>
        <v/>
      </c>
    </row>
    <row r="40" spans="1:8" ht="12" customHeight="1">
      <c r="A40" s="374">
        <f t="shared" si="0"/>
        <v>29</v>
      </c>
      <c r="B40" s="242" t="s">
        <v>394</v>
      </c>
      <c r="D40" s="305">
        <v>10939809</v>
      </c>
      <c r="E40" s="305"/>
      <c r="F40" s="305">
        <f t="shared" si="5"/>
        <v>10939809</v>
      </c>
      <c r="G40" s="442"/>
      <c r="H40" s="301" t="str">
        <f t="shared" si="6"/>
        <v/>
      </c>
    </row>
    <row r="41" spans="1:8" ht="12" customHeight="1">
      <c r="A41" s="374">
        <f t="shared" si="0"/>
        <v>30</v>
      </c>
      <c r="B41" s="242" t="s">
        <v>395</v>
      </c>
      <c r="D41" s="305">
        <v>6095769</v>
      </c>
      <c r="E41" s="305"/>
      <c r="F41" s="305">
        <f t="shared" si="5"/>
        <v>6095769</v>
      </c>
      <c r="G41" s="442"/>
      <c r="H41" s="301" t="str">
        <f t="shared" si="6"/>
        <v/>
      </c>
    </row>
    <row r="42" spans="1:8" ht="12" customHeight="1">
      <c r="A42" s="374">
        <f t="shared" si="0"/>
        <v>31</v>
      </c>
      <c r="B42" s="242" t="s">
        <v>396</v>
      </c>
      <c r="D42" s="305">
        <v>2489640</v>
      </c>
      <c r="E42" s="305"/>
      <c r="F42" s="305">
        <f t="shared" si="5"/>
        <v>2489640</v>
      </c>
      <c r="G42" s="442"/>
      <c r="H42" s="301" t="str">
        <f t="shared" si="6"/>
        <v/>
      </c>
    </row>
    <row r="43" spans="1:8" ht="12" customHeight="1">
      <c r="A43" s="374">
        <f t="shared" si="0"/>
        <v>32</v>
      </c>
      <c r="B43" s="288" t="s">
        <v>11</v>
      </c>
      <c r="C43" s="288"/>
      <c r="D43" s="305">
        <v>369975</v>
      </c>
      <c r="E43" s="305"/>
      <c r="F43" s="305">
        <f t="shared" si="5"/>
        <v>369975</v>
      </c>
      <c r="G43" s="442"/>
      <c r="H43" s="301" t="str">
        <f t="shared" si="6"/>
        <v/>
      </c>
    </row>
    <row r="44" spans="1:8" ht="12" customHeight="1">
      <c r="A44" s="374">
        <f t="shared" si="0"/>
        <v>33</v>
      </c>
      <c r="B44" s="242" t="s">
        <v>397</v>
      </c>
      <c r="D44" s="305">
        <v>12030</v>
      </c>
      <c r="E44" s="305"/>
      <c r="F44" s="305">
        <f t="shared" si="5"/>
        <v>12030</v>
      </c>
      <c r="G44" s="442"/>
      <c r="H44" s="301" t="str">
        <f t="shared" si="6"/>
        <v/>
      </c>
    </row>
    <row r="45" spans="1:8" ht="12" customHeight="1">
      <c r="A45" s="374">
        <f t="shared" si="0"/>
        <v>34</v>
      </c>
      <c r="B45" s="246" t="s">
        <v>298</v>
      </c>
      <c r="C45" s="246"/>
      <c r="D45" s="305"/>
      <c r="E45" s="305"/>
      <c r="F45" s="305"/>
      <c r="G45" s="442"/>
      <c r="H45" s="301"/>
    </row>
    <row r="46" spans="1:8" ht="12" customHeight="1">
      <c r="A46" s="374">
        <f t="shared" si="0"/>
        <v>35</v>
      </c>
      <c r="B46" s="242" t="s">
        <v>398</v>
      </c>
      <c r="D46" s="305">
        <v>45074</v>
      </c>
      <c r="E46" s="305"/>
      <c r="F46" s="305">
        <f t="shared" ref="F46:F56" si="7">SUM(D46:E46)</f>
        <v>45074</v>
      </c>
      <c r="G46" s="442"/>
      <c r="H46" s="301" t="str">
        <f>IF(G46=0,"",ROUND(F46*G46,0))</f>
        <v/>
      </c>
    </row>
    <row r="47" spans="1:8" ht="12" customHeight="1">
      <c r="A47" s="374">
        <f t="shared" si="0"/>
        <v>36</v>
      </c>
      <c r="B47" s="288" t="s">
        <v>655</v>
      </c>
      <c r="C47" s="288"/>
      <c r="D47" s="305">
        <v>2113534</v>
      </c>
      <c r="E47" s="305"/>
      <c r="F47" s="305">
        <f t="shared" si="7"/>
        <v>2113534</v>
      </c>
      <c r="G47" s="442"/>
      <c r="H47" s="301"/>
    </row>
    <row r="48" spans="1:8" ht="12" customHeight="1">
      <c r="A48" s="374">
        <f t="shared" si="0"/>
        <v>37</v>
      </c>
      <c r="B48" s="242" t="s">
        <v>399</v>
      </c>
      <c r="D48" s="305">
        <v>9742081</v>
      </c>
      <c r="E48" s="305">
        <f>'A 3'!E15</f>
        <v>-4319165</v>
      </c>
      <c r="F48" s="305">
        <f t="shared" si="7"/>
        <v>5422916</v>
      </c>
      <c r="G48" s="442"/>
      <c r="H48" s="301" t="str">
        <f t="shared" ref="H48:H56" si="8">IF(G48=0,"",ROUND(F48*G48,0))</f>
        <v/>
      </c>
    </row>
    <row r="49" spans="1:14" ht="12" customHeight="1">
      <c r="A49" s="374">
        <f t="shared" si="0"/>
        <v>38</v>
      </c>
      <c r="B49" s="242" t="s">
        <v>400</v>
      </c>
      <c r="D49" s="305">
        <v>3842285</v>
      </c>
      <c r="E49" s="305" t="e">
        <f>'A 3'!E16+'A 3'!E33+'A 3'!E52</f>
        <v>#REF!</v>
      </c>
      <c r="F49" s="305" t="e">
        <f t="shared" si="7"/>
        <v>#REF!</v>
      </c>
      <c r="G49" s="442"/>
      <c r="H49" s="301" t="str">
        <f t="shared" si="8"/>
        <v/>
      </c>
    </row>
    <row r="50" spans="1:14" ht="12" customHeight="1">
      <c r="A50" s="374">
        <f t="shared" si="0"/>
        <v>39</v>
      </c>
      <c r="B50" s="242" t="s">
        <v>401</v>
      </c>
      <c r="D50" s="305">
        <v>14333</v>
      </c>
      <c r="E50" s="305"/>
      <c r="F50" s="305">
        <f t="shared" si="7"/>
        <v>14333</v>
      </c>
      <c r="G50" s="442"/>
      <c r="H50" s="301" t="str">
        <f t="shared" si="8"/>
        <v/>
      </c>
    </row>
    <row r="51" spans="1:14" ht="12" customHeight="1">
      <c r="A51" s="374">
        <f t="shared" si="0"/>
        <v>40</v>
      </c>
      <c r="B51" s="242" t="s">
        <v>402</v>
      </c>
      <c r="D51" s="305">
        <v>828522</v>
      </c>
      <c r="E51" s="305"/>
      <c r="F51" s="305">
        <f t="shared" si="7"/>
        <v>828522</v>
      </c>
      <c r="G51" s="442"/>
      <c r="H51" s="301" t="str">
        <f t="shared" si="8"/>
        <v/>
      </c>
    </row>
    <row r="52" spans="1:14" ht="12" customHeight="1">
      <c r="A52" s="374">
        <f t="shared" si="0"/>
        <v>41</v>
      </c>
      <c r="B52" s="242" t="s">
        <v>403</v>
      </c>
      <c r="D52" s="305">
        <v>63455</v>
      </c>
      <c r="E52" s="305"/>
      <c r="F52" s="305">
        <f t="shared" si="7"/>
        <v>63455</v>
      </c>
      <c r="G52" s="442"/>
      <c r="H52" s="301" t="str">
        <f t="shared" si="8"/>
        <v/>
      </c>
    </row>
    <row r="53" spans="1:14" ht="12" customHeight="1">
      <c r="A53" s="374">
        <f t="shared" si="0"/>
        <v>42</v>
      </c>
      <c r="B53" s="242" t="s">
        <v>109</v>
      </c>
      <c r="D53" s="305">
        <v>156775</v>
      </c>
      <c r="E53" s="305"/>
      <c r="F53" s="305">
        <f t="shared" si="7"/>
        <v>156775</v>
      </c>
      <c r="G53" s="442"/>
      <c r="H53" s="301" t="str">
        <f t="shared" si="8"/>
        <v/>
      </c>
    </row>
    <row r="54" spans="1:14" ht="12" customHeight="1">
      <c r="A54" s="374">
        <f t="shared" si="0"/>
        <v>43</v>
      </c>
      <c r="B54" s="242" t="s">
        <v>110</v>
      </c>
      <c r="D54" s="305">
        <v>231122</v>
      </c>
      <c r="E54" s="305"/>
      <c r="F54" s="305">
        <f t="shared" si="7"/>
        <v>231122</v>
      </c>
      <c r="G54" s="442"/>
      <c r="H54" s="301" t="str">
        <f t="shared" si="8"/>
        <v/>
      </c>
    </row>
    <row r="55" spans="1:14" ht="12" customHeight="1">
      <c r="A55" s="374">
        <f t="shared" si="0"/>
        <v>44</v>
      </c>
      <c r="B55" s="242" t="s">
        <v>111</v>
      </c>
      <c r="D55" s="305">
        <v>23218</v>
      </c>
      <c r="E55" s="305"/>
      <c r="F55" s="305">
        <f t="shared" si="7"/>
        <v>23218</v>
      </c>
      <c r="G55" s="442"/>
      <c r="H55" s="301" t="str">
        <f t="shared" si="8"/>
        <v/>
      </c>
    </row>
    <row r="56" spans="1:14" ht="12" customHeight="1">
      <c r="A56" s="374">
        <f t="shared" si="0"/>
        <v>45</v>
      </c>
      <c r="B56" s="242" t="s">
        <v>112</v>
      </c>
      <c r="D56" s="305">
        <v>-425667</v>
      </c>
      <c r="E56" s="305">
        <f>'A 3'!E17</f>
        <v>-12274</v>
      </c>
      <c r="F56" s="305">
        <f t="shared" si="7"/>
        <v>-437941</v>
      </c>
      <c r="G56" s="442"/>
      <c r="H56" s="301" t="str">
        <f t="shared" si="8"/>
        <v/>
      </c>
    </row>
    <row r="57" spans="1:14" ht="12" customHeight="1">
      <c r="A57" s="374">
        <f t="shared" si="0"/>
        <v>46</v>
      </c>
      <c r="D57" s="305"/>
      <c r="E57" s="305"/>
      <c r="F57" s="305"/>
      <c r="G57" s="442"/>
      <c r="H57" s="301"/>
      <c r="J57" s="275" t="s">
        <v>416</v>
      </c>
    </row>
    <row r="58" spans="1:14" ht="12" customHeight="1" thickBot="1">
      <c r="A58" s="374">
        <f t="shared" si="0"/>
        <v>47</v>
      </c>
      <c r="B58" s="260" t="s">
        <v>438</v>
      </c>
      <c r="C58" s="260"/>
      <c r="D58" s="303">
        <f>SUM(D12:D56)</f>
        <v>122154930</v>
      </c>
      <c r="E58" s="303" t="e">
        <f>SUM(E12:E56)</f>
        <v>#REF!</v>
      </c>
      <c r="F58" s="303" t="e">
        <f>SUM(F12:F56)</f>
        <v>#REF!</v>
      </c>
      <c r="G58" s="443" t="s">
        <v>256</v>
      </c>
      <c r="H58" s="303">
        <f>SUM(H12:H56)</f>
        <v>0</v>
      </c>
      <c r="I58" s="378" t="e">
        <f>SUM(E58:E58)</f>
        <v>#REF!</v>
      </c>
      <c r="J58" s="378" t="e">
        <f>SUM(E58:E58)</f>
        <v>#REF!</v>
      </c>
    </row>
    <row r="59" spans="1:14" s="252" customFormat="1" ht="12.75" thickTop="1">
      <c r="A59" s="404">
        <f t="shared" si="0"/>
        <v>48</v>
      </c>
      <c r="B59" s="364" t="s">
        <v>652</v>
      </c>
      <c r="C59" s="364"/>
      <c r="D59" s="365"/>
      <c r="E59" s="349"/>
      <c r="F59" s="349"/>
      <c r="G59" s="349"/>
      <c r="H59" s="349"/>
      <c r="I59" s="349"/>
      <c r="J59" s="349"/>
      <c r="K59" s="337"/>
      <c r="L59" s="349"/>
      <c r="M59" s="349"/>
      <c r="N59" s="349"/>
    </row>
    <row r="60" spans="1:14" s="252" customFormat="1">
      <c r="A60" s="404">
        <f t="shared" si="0"/>
        <v>49</v>
      </c>
      <c r="B60" s="400" t="s">
        <v>399</v>
      </c>
      <c r="C60" s="400"/>
      <c r="D60" s="401">
        <v>-4319165</v>
      </c>
      <c r="E60" s="401"/>
      <c r="F60" s="401">
        <f>D60+E60</f>
        <v>-4319165</v>
      </c>
      <c r="G60" s="349"/>
      <c r="H60" s="349"/>
      <c r="I60" s="349"/>
      <c r="J60" s="349"/>
      <c r="K60" s="337"/>
      <c r="L60" s="349"/>
      <c r="M60" s="349"/>
      <c r="N60" s="349"/>
    </row>
    <row r="61" spans="1:14" s="252" customFormat="1">
      <c r="A61" s="404">
        <f>A59+1</f>
        <v>49</v>
      </c>
      <c r="B61" s="400" t="s">
        <v>400</v>
      </c>
      <c r="C61" s="400"/>
      <c r="D61" s="401">
        <v>-1837766</v>
      </c>
      <c r="E61" s="401"/>
      <c r="F61" s="401">
        <f>D61+E61</f>
        <v>-1837766</v>
      </c>
      <c r="G61" s="349"/>
      <c r="H61" s="349"/>
      <c r="I61" s="349"/>
      <c r="J61" s="349"/>
      <c r="K61" s="337"/>
      <c r="L61" s="349"/>
      <c r="M61" s="349"/>
      <c r="N61" s="349"/>
    </row>
    <row r="62" spans="1:14" s="252" customFormat="1">
      <c r="A62" s="404">
        <f>A60+1</f>
        <v>50</v>
      </c>
      <c r="B62" s="400" t="s">
        <v>112</v>
      </c>
      <c r="C62" s="400"/>
      <c r="D62" s="401">
        <v>-12274</v>
      </c>
      <c r="E62" s="401"/>
      <c r="F62" s="401">
        <f>D62+E62</f>
        <v>-12274</v>
      </c>
      <c r="G62" s="349"/>
      <c r="H62" s="349"/>
      <c r="I62" s="349"/>
      <c r="J62" s="349"/>
      <c r="K62" s="337"/>
      <c r="L62" s="349"/>
      <c r="M62" s="349"/>
      <c r="N62" s="349"/>
    </row>
    <row r="63" spans="1:14" s="252" customFormat="1" ht="12.75" thickBot="1">
      <c r="A63" s="404">
        <f>A62+1</f>
        <v>51</v>
      </c>
      <c r="B63" s="402" t="s">
        <v>653</v>
      </c>
      <c r="C63" s="402"/>
      <c r="D63" s="403">
        <f>SUM(D60:D62)</f>
        <v>-6169205</v>
      </c>
      <c r="E63" s="403">
        <f>SUM(E60:E62)</f>
        <v>0</v>
      </c>
      <c r="F63" s="403">
        <f>SUM(F60:F62)</f>
        <v>-6169205</v>
      </c>
      <c r="G63" s="349"/>
      <c r="H63" s="349"/>
      <c r="I63" s="349"/>
      <c r="J63" s="349"/>
      <c r="K63" s="337"/>
      <c r="L63" s="349"/>
      <c r="M63" s="349"/>
      <c r="N63" s="349"/>
    </row>
    <row r="64" spans="1:14" s="252" customFormat="1" ht="12.75" thickTop="1">
      <c r="A64" s="349"/>
      <c r="B64" s="349"/>
      <c r="C64" s="349"/>
      <c r="D64" s="349"/>
      <c r="E64" s="349"/>
      <c r="F64" s="349"/>
      <c r="G64" s="349"/>
      <c r="H64" s="349"/>
      <c r="I64" s="349"/>
      <c r="J64" s="349"/>
      <c r="K64" s="337"/>
      <c r="L64" s="349"/>
      <c r="M64" s="349"/>
      <c r="N64" s="349"/>
    </row>
    <row r="65" spans="1:14" s="252" customFormat="1">
      <c r="A65" s="444"/>
      <c r="B65" s="349"/>
      <c r="C65" s="349"/>
      <c r="D65" s="349"/>
      <c r="E65" s="349"/>
      <c r="F65" s="349"/>
      <c r="G65" s="349"/>
      <c r="H65" s="349"/>
      <c r="I65" s="349"/>
      <c r="J65" s="349"/>
      <c r="K65" s="337"/>
      <c r="L65" s="349"/>
      <c r="M65" s="349"/>
      <c r="N65" s="349"/>
    </row>
  </sheetData>
  <phoneticPr fontId="41" type="noConversion"/>
  <printOptions horizontalCentered="1"/>
  <pageMargins left="0.5" right="0.25" top="0.5" bottom="0.25" header="0.05" footer="0.05"/>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ransitionEntry="1" codeName="Sheet37">
    <tabColor rgb="FF66FFFF"/>
    <pageSetUpPr fitToPage="1"/>
  </sheetPr>
  <dimension ref="A1:O104"/>
  <sheetViews>
    <sheetView workbookViewId="0"/>
  </sheetViews>
  <sheetFormatPr defaultColWidth="10.7109375" defaultRowHeight="12"/>
  <cols>
    <col min="1" max="1" width="6.28515625" style="243" customWidth="1"/>
    <col min="2" max="2" width="11.5703125" style="243" hidden="1" customWidth="1"/>
    <col min="3" max="3" width="35" style="242" customWidth="1"/>
    <col min="4" max="7" width="11.7109375" style="242" customWidth="1"/>
    <col min="8" max="10" width="11.7109375" style="243" customWidth="1"/>
    <col min="11" max="16384" width="10.7109375" style="243"/>
  </cols>
  <sheetData>
    <row r="1" spans="1:14">
      <c r="A1" s="250" t="s">
        <v>406</v>
      </c>
      <c r="B1" s="250"/>
      <c r="C1" s="246"/>
      <c r="D1" s="246"/>
      <c r="E1" s="246"/>
      <c r="F1" s="246"/>
      <c r="H1" s="250"/>
      <c r="I1" s="259" t="s">
        <v>84</v>
      </c>
      <c r="K1" s="793"/>
      <c r="L1" s="794" t="s">
        <v>290</v>
      </c>
      <c r="M1" s="795"/>
    </row>
    <row r="2" spans="1:14">
      <c r="A2" s="250"/>
      <c r="B2" s="250"/>
      <c r="C2" s="246"/>
      <c r="D2" s="246"/>
      <c r="E2" s="246"/>
      <c r="F2" s="246"/>
      <c r="H2" s="250"/>
      <c r="I2" s="259"/>
      <c r="K2" s="796" t="s">
        <v>438</v>
      </c>
      <c r="L2" s="797" t="s">
        <v>262</v>
      </c>
      <c r="M2" s="798" t="s">
        <v>155</v>
      </c>
    </row>
    <row r="3" spans="1:14">
      <c r="A3" s="250" t="s">
        <v>565</v>
      </c>
      <c r="B3" s="250"/>
      <c r="C3" s="246"/>
      <c r="D3" s="246"/>
      <c r="E3" s="246"/>
      <c r="F3" s="246"/>
      <c r="H3" s="250"/>
      <c r="I3" s="259" t="s">
        <v>407</v>
      </c>
      <c r="K3" s="799">
        <f>SUM(L3:M3)</f>
        <v>3968</v>
      </c>
      <c r="L3" s="800">
        <v>2592.5</v>
      </c>
      <c r="M3" s="801">
        <v>1375.5</v>
      </c>
    </row>
    <row r="4" spans="1:14">
      <c r="A4" s="250" t="s">
        <v>705</v>
      </c>
      <c r="B4" s="250"/>
      <c r="C4" s="54"/>
      <c r="D4" s="54"/>
      <c r="E4" s="54"/>
      <c r="F4" s="54"/>
      <c r="H4" s="250"/>
      <c r="I4" s="259" t="s">
        <v>156</v>
      </c>
    </row>
    <row r="5" spans="1:14">
      <c r="A5" s="250" t="s">
        <v>567</v>
      </c>
      <c r="B5" s="250"/>
      <c r="C5" s="54"/>
      <c r="D5" s="54"/>
      <c r="E5" s="54"/>
      <c r="F5" s="54"/>
      <c r="H5" s="250"/>
      <c r="I5" s="259" t="s">
        <v>558</v>
      </c>
    </row>
    <row r="6" spans="1:14">
      <c r="A6" s="282" t="s">
        <v>285</v>
      </c>
      <c r="B6" s="282"/>
      <c r="C6" s="246"/>
      <c r="D6" s="246"/>
      <c r="E6" s="246"/>
      <c r="F6" s="246"/>
      <c r="H6" s="250"/>
      <c r="I6" s="259" t="s">
        <v>408</v>
      </c>
    </row>
    <row r="7" spans="1:14">
      <c r="A7" s="434" t="s">
        <v>295</v>
      </c>
      <c r="B7" s="434"/>
      <c r="C7" s="434"/>
      <c r="D7" s="434"/>
      <c r="E7" s="434"/>
      <c r="F7" s="434"/>
      <c r="G7" s="434"/>
      <c r="H7" s="434"/>
      <c r="I7" s="308" t="s">
        <v>356</v>
      </c>
      <c r="K7" s="447" t="s">
        <v>215</v>
      </c>
      <c r="L7" s="448" t="s">
        <v>216</v>
      </c>
      <c r="M7" s="449" t="s">
        <v>217</v>
      </c>
    </row>
    <row r="8" spans="1:14" ht="12.75" customHeight="1" thickBot="1">
      <c r="A8" s="261"/>
      <c r="B8" s="261"/>
      <c r="C8" s="273"/>
      <c r="D8" s="273"/>
      <c r="E8" s="273"/>
      <c r="F8" s="273"/>
      <c r="G8" s="273"/>
      <c r="H8" s="261"/>
      <c r="I8" s="261"/>
      <c r="K8" s="802">
        <f>+M8+L8</f>
        <v>67320.100000000006</v>
      </c>
      <c r="L8" s="451">
        <v>35101.300000000003</v>
      </c>
      <c r="M8" s="451">
        <v>32218.799999999999</v>
      </c>
      <c r="N8" s="803"/>
    </row>
    <row r="9" spans="1:14">
      <c r="A9" s="250"/>
      <c r="B9" s="292"/>
      <c r="C9" s="274" t="s">
        <v>202</v>
      </c>
      <c r="D9" s="456" t="s">
        <v>203</v>
      </c>
      <c r="E9" s="294">
        <v>-3</v>
      </c>
      <c r="F9" s="294">
        <v>-4</v>
      </c>
      <c r="G9" s="294">
        <v>-5</v>
      </c>
      <c r="H9" s="360">
        <v>-6</v>
      </c>
      <c r="I9" s="360">
        <v>-7</v>
      </c>
      <c r="K9" s="804">
        <f>SUM(L9:M9)</f>
        <v>1</v>
      </c>
      <c r="L9" s="805">
        <f>+L8/K8</f>
        <v>0.52140891056311567</v>
      </c>
      <c r="M9" s="806">
        <f>+M8/K8</f>
        <v>0.47859108943688433</v>
      </c>
      <c r="N9" s="807">
        <f>+L9+M9</f>
        <v>1</v>
      </c>
    </row>
    <row r="10" spans="1:14">
      <c r="A10" s="254" t="s">
        <v>289</v>
      </c>
      <c r="B10" s="293" t="s">
        <v>244</v>
      </c>
      <c r="C10" s="368"/>
      <c r="D10" s="274" t="s">
        <v>434</v>
      </c>
      <c r="E10" s="274" t="s">
        <v>434</v>
      </c>
      <c r="F10" s="274" t="s">
        <v>1029</v>
      </c>
      <c r="G10" s="274" t="s">
        <v>296</v>
      </c>
      <c r="H10" s="258" t="s">
        <v>93</v>
      </c>
      <c r="I10" s="254" t="s">
        <v>493</v>
      </c>
    </row>
    <row r="11" spans="1:14" ht="12.75" thickBot="1">
      <c r="A11" s="297" t="s">
        <v>351</v>
      </c>
      <c r="B11" s="808" t="s">
        <v>1</v>
      </c>
      <c r="C11" s="371" t="s">
        <v>94</v>
      </c>
      <c r="D11" s="371" t="s">
        <v>404</v>
      </c>
      <c r="E11" s="436" t="s">
        <v>354</v>
      </c>
      <c r="F11" s="436" t="s">
        <v>354</v>
      </c>
      <c r="G11" s="371" t="s">
        <v>430</v>
      </c>
      <c r="H11" s="298" t="s">
        <v>96</v>
      </c>
      <c r="I11" s="297" t="s">
        <v>97</v>
      </c>
    </row>
    <row r="12" spans="1:14">
      <c r="A12" s="263">
        <v>1</v>
      </c>
      <c r="B12" s="254"/>
      <c r="C12" s="246" t="s">
        <v>98</v>
      </c>
      <c r="D12" s="246"/>
      <c r="E12" s="246"/>
      <c r="F12" s="246"/>
      <c r="H12" s="430"/>
    </row>
    <row r="13" spans="1:14">
      <c r="A13" s="263">
        <f>A12+1</f>
        <v>2</v>
      </c>
      <c r="B13" s="254">
        <v>6640</v>
      </c>
      <c r="C13" s="242" t="s">
        <v>357</v>
      </c>
      <c r="D13" s="468">
        <v>2927.52</v>
      </c>
      <c r="E13" s="326"/>
      <c r="F13" s="326"/>
      <c r="G13" s="326">
        <f>SUM(D13:F13)</f>
        <v>2927.52</v>
      </c>
      <c r="H13" s="430"/>
      <c r="I13" s="287"/>
    </row>
    <row r="14" spans="1:14">
      <c r="A14" s="263">
        <f t="shared" ref="A14:A84" si="0">A13+1</f>
        <v>3</v>
      </c>
      <c r="B14" s="254">
        <v>6645</v>
      </c>
      <c r="C14" s="242" t="s">
        <v>358</v>
      </c>
      <c r="D14" s="468">
        <v>520.08000000000015</v>
      </c>
      <c r="E14" s="244"/>
      <c r="F14" s="244"/>
      <c r="G14" s="326">
        <f>SUM(D14:F14)</f>
        <v>520.08000000000015</v>
      </c>
      <c r="H14" s="430"/>
      <c r="I14" s="287"/>
    </row>
    <row r="15" spans="1:14">
      <c r="A15" s="263">
        <f t="shared" si="0"/>
        <v>4</v>
      </c>
      <c r="B15" s="254">
        <v>6790</v>
      </c>
      <c r="C15" s="242" t="s">
        <v>359</v>
      </c>
      <c r="D15" s="468">
        <v>229957.79999999996</v>
      </c>
      <c r="E15" s="244">
        <f>'B 3'!H140</f>
        <v>-167234.92499999999</v>
      </c>
      <c r="F15" s="244"/>
      <c r="G15" s="326">
        <f>SUM(D15:F15)</f>
        <v>62722.874999999971</v>
      </c>
      <c r="H15" s="832" t="s">
        <v>784</v>
      </c>
      <c r="I15" s="287">
        <v>26969</v>
      </c>
    </row>
    <row r="16" spans="1:14">
      <c r="A16" s="263">
        <f t="shared" si="0"/>
        <v>5</v>
      </c>
      <c r="B16" s="254"/>
      <c r="C16" s="246" t="s">
        <v>360</v>
      </c>
      <c r="D16" s="468"/>
      <c r="E16" s="244"/>
      <c r="F16" s="244"/>
      <c r="G16" s="326"/>
      <c r="H16" s="430"/>
      <c r="I16" s="287"/>
    </row>
    <row r="17" spans="1:10">
      <c r="A17" s="263">
        <f t="shared" si="0"/>
        <v>6</v>
      </c>
      <c r="B17" s="254" t="s">
        <v>256</v>
      </c>
      <c r="C17" s="242" t="s">
        <v>361</v>
      </c>
      <c r="D17" s="468"/>
      <c r="E17" s="244"/>
      <c r="F17" s="244"/>
      <c r="G17" s="326">
        <f t="shared" ref="G17:G26" si="1">SUM(D17:F17)</f>
        <v>0</v>
      </c>
      <c r="H17" s="430"/>
      <c r="I17" s="287"/>
    </row>
    <row r="18" spans="1:10">
      <c r="A18" s="263">
        <f t="shared" si="0"/>
        <v>7</v>
      </c>
      <c r="B18" s="254">
        <v>6655</v>
      </c>
      <c r="C18" s="242" t="s">
        <v>362</v>
      </c>
      <c r="D18" s="468">
        <v>16102.47</v>
      </c>
      <c r="E18" s="244"/>
      <c r="F18" s="244">
        <f>'B 3'!H194</f>
        <v>909.49192500000004</v>
      </c>
      <c r="G18" s="326">
        <f t="shared" si="1"/>
        <v>17011.961925</v>
      </c>
      <c r="H18" s="430"/>
      <c r="I18" s="287"/>
    </row>
    <row r="19" spans="1:10">
      <c r="A19" s="263">
        <f t="shared" si="0"/>
        <v>8</v>
      </c>
      <c r="B19" s="254">
        <v>6685</v>
      </c>
      <c r="C19" s="288" t="s">
        <v>208</v>
      </c>
      <c r="D19" s="468">
        <v>87271.660000000018</v>
      </c>
      <c r="E19" s="244"/>
      <c r="F19" s="244">
        <f>'B 3'!H195</f>
        <v>-5.5625</v>
      </c>
      <c r="G19" s="326">
        <f t="shared" si="1"/>
        <v>87266.097500000018</v>
      </c>
      <c r="H19" s="430"/>
      <c r="I19" s="287"/>
    </row>
    <row r="20" spans="1:10" s="242" customFormat="1">
      <c r="A20" s="275">
        <f t="shared" si="0"/>
        <v>9</v>
      </c>
      <c r="B20" s="274">
        <v>6710</v>
      </c>
      <c r="C20" s="242" t="s">
        <v>363</v>
      </c>
      <c r="D20" s="468">
        <v>286374.13</v>
      </c>
      <c r="E20" s="244"/>
      <c r="F20" s="244" t="e">
        <f>'B 3'!H196+'B 3'!H252+'B 3'!H270</f>
        <v>#REF!</v>
      </c>
      <c r="G20" s="326" t="e">
        <f t="shared" si="1"/>
        <v>#REF!</v>
      </c>
      <c r="H20" s="325"/>
      <c r="I20" s="244"/>
      <c r="J20" s="242" t="s">
        <v>53</v>
      </c>
    </row>
    <row r="21" spans="1:10" s="242" customFormat="1">
      <c r="A21" s="275">
        <f t="shared" si="0"/>
        <v>10</v>
      </c>
      <c r="B21" s="264" t="s">
        <v>58</v>
      </c>
      <c r="C21" s="242" t="s">
        <v>364</v>
      </c>
      <c r="D21" s="468">
        <v>677092.53</v>
      </c>
      <c r="E21" s="244"/>
      <c r="F21" s="244" t="e">
        <f>'B 3'!H197+'B 3'!H271+'B 3'!H272+'B 3'!H253+'B 3'!H254</f>
        <v>#REF!</v>
      </c>
      <c r="G21" s="326" t="e">
        <f t="shared" si="1"/>
        <v>#REF!</v>
      </c>
      <c r="H21" s="325"/>
      <c r="I21" s="244"/>
    </row>
    <row r="22" spans="1:10" s="242" customFormat="1">
      <c r="A22" s="275">
        <f t="shared" si="0"/>
        <v>11</v>
      </c>
      <c r="B22" s="274">
        <v>6720</v>
      </c>
      <c r="C22" s="242" t="s">
        <v>365</v>
      </c>
      <c r="D22" s="468">
        <v>4632.6800000000012</v>
      </c>
      <c r="E22" s="244"/>
      <c r="F22" s="244"/>
      <c r="G22" s="326">
        <f t="shared" si="1"/>
        <v>4632.6800000000012</v>
      </c>
      <c r="H22" s="325"/>
      <c r="I22" s="244"/>
    </row>
    <row r="23" spans="1:10" s="242" customFormat="1">
      <c r="A23" s="275">
        <f t="shared" si="0"/>
        <v>12</v>
      </c>
      <c r="B23" s="264">
        <v>6725</v>
      </c>
      <c r="C23" s="242" t="s">
        <v>366</v>
      </c>
      <c r="D23" s="468">
        <v>52344.290000000008</v>
      </c>
      <c r="E23" s="244"/>
      <c r="F23" s="244">
        <f>'B 3'!H198</f>
        <v>4276.3837719298244</v>
      </c>
      <c r="G23" s="326">
        <f t="shared" si="1"/>
        <v>56620.673771929833</v>
      </c>
      <c r="H23" s="325"/>
      <c r="I23" s="244"/>
      <c r="J23" s="242" t="s">
        <v>55</v>
      </c>
    </row>
    <row r="24" spans="1:10">
      <c r="A24" s="263">
        <f t="shared" si="0"/>
        <v>13</v>
      </c>
      <c r="B24" s="254">
        <v>6730</v>
      </c>
      <c r="C24" s="242" t="s">
        <v>367</v>
      </c>
      <c r="D24" s="468">
        <v>144591.4</v>
      </c>
      <c r="F24" s="244">
        <f>'B 3'!H199</f>
        <v>941.6</v>
      </c>
      <c r="G24" s="326">
        <f t="shared" si="1"/>
        <v>145533</v>
      </c>
      <c r="H24" s="430"/>
      <c r="I24" s="287"/>
    </row>
    <row r="25" spans="1:10">
      <c r="A25" s="263">
        <f t="shared" si="0"/>
        <v>14</v>
      </c>
      <c r="B25" s="254">
        <v>6735</v>
      </c>
      <c r="C25" s="242" t="s">
        <v>368</v>
      </c>
      <c r="D25" s="468">
        <v>7.44</v>
      </c>
      <c r="F25" s="244"/>
      <c r="G25" s="326">
        <f t="shared" si="1"/>
        <v>7.44</v>
      </c>
      <c r="H25" s="430"/>
      <c r="I25" s="287"/>
    </row>
    <row r="26" spans="1:10">
      <c r="A26" s="263">
        <f t="shared" si="0"/>
        <v>15</v>
      </c>
      <c r="B26" s="254">
        <v>6795</v>
      </c>
      <c r="C26" s="242" t="s">
        <v>369</v>
      </c>
      <c r="D26" s="468">
        <v>2020.8400000000001</v>
      </c>
      <c r="F26" s="244">
        <f>'B 3'!H200</f>
        <v>1449.7083333333335</v>
      </c>
      <c r="G26" s="326">
        <f t="shared" si="1"/>
        <v>3470.5483333333336</v>
      </c>
      <c r="H26" s="430"/>
      <c r="I26" s="287"/>
    </row>
    <row r="27" spans="1:10">
      <c r="A27" s="263">
        <f t="shared" si="0"/>
        <v>16</v>
      </c>
      <c r="B27" s="254"/>
      <c r="C27" s="246" t="s">
        <v>370</v>
      </c>
      <c r="D27" s="468"/>
      <c r="F27" s="244"/>
      <c r="G27" s="326"/>
      <c r="H27" s="430"/>
      <c r="I27" s="287"/>
    </row>
    <row r="28" spans="1:10">
      <c r="A28" s="263">
        <f t="shared" si="0"/>
        <v>17</v>
      </c>
      <c r="B28" s="254" t="s">
        <v>256</v>
      </c>
      <c r="C28" s="242" t="s">
        <v>371</v>
      </c>
      <c r="D28" s="468"/>
      <c r="F28" s="244"/>
      <c r="G28" s="326">
        <f t="shared" ref="G28:G34" si="2">SUM(D28:F28)</f>
        <v>0</v>
      </c>
      <c r="H28" s="430"/>
      <c r="I28" s="287"/>
    </row>
    <row r="29" spans="1:10">
      <c r="A29" s="263">
        <f t="shared" si="0"/>
        <v>18</v>
      </c>
      <c r="B29" s="254">
        <v>6660</v>
      </c>
      <c r="C29" s="242" t="s">
        <v>372</v>
      </c>
      <c r="D29" s="468">
        <v>470755.2</v>
      </c>
      <c r="F29" s="244" t="e">
        <f>'B 3'!H201+'B 3'!H269+'B 3'!H250</f>
        <v>#REF!</v>
      </c>
      <c r="G29" s="326" t="e">
        <f t="shared" si="2"/>
        <v>#REF!</v>
      </c>
      <c r="H29" s="430"/>
      <c r="I29" s="287"/>
    </row>
    <row r="30" spans="1:10">
      <c r="A30" s="263">
        <f t="shared" si="0"/>
        <v>19</v>
      </c>
      <c r="B30" s="254">
        <v>6690</v>
      </c>
      <c r="C30" s="288" t="s">
        <v>209</v>
      </c>
      <c r="D30" s="468">
        <v>13565.85</v>
      </c>
      <c r="F30" s="244" t="e">
        <f>'B 3'!H202+'B 3'!H251</f>
        <v>#REF!</v>
      </c>
      <c r="G30" s="326" t="e">
        <f t="shared" si="2"/>
        <v>#REF!</v>
      </c>
      <c r="H30" s="430"/>
      <c r="I30" s="287"/>
    </row>
    <row r="31" spans="1:10">
      <c r="A31" s="263">
        <f t="shared" si="0"/>
        <v>20</v>
      </c>
      <c r="B31" s="254">
        <v>6740</v>
      </c>
      <c r="C31" s="242" t="s">
        <v>373</v>
      </c>
      <c r="D31" s="468">
        <v>20313.840000000004</v>
      </c>
      <c r="F31" s="244" t="e">
        <f>+'B 3'!H203+'B 3'!H273+'B 3'!H255</f>
        <v>#REF!</v>
      </c>
      <c r="G31" s="326" t="e">
        <f t="shared" si="2"/>
        <v>#REF!</v>
      </c>
      <c r="H31" s="430"/>
      <c r="I31" s="287"/>
    </row>
    <row r="32" spans="1:10">
      <c r="A32" s="263">
        <f t="shared" si="0"/>
        <v>21</v>
      </c>
      <c r="B32" s="254">
        <v>6745</v>
      </c>
      <c r="C32" s="242" t="s">
        <v>374</v>
      </c>
      <c r="D32" s="468">
        <v>159278.27999999997</v>
      </c>
      <c r="F32" s="244" t="e">
        <f>'B 3'!H204+'B 3'!H274+'B 3'!H256</f>
        <v>#REF!</v>
      </c>
      <c r="G32" s="326" t="e">
        <f t="shared" si="2"/>
        <v>#REF!</v>
      </c>
      <c r="H32" s="430"/>
      <c r="I32" s="287"/>
    </row>
    <row r="33" spans="1:9">
      <c r="A33" s="263">
        <f t="shared" si="0"/>
        <v>22</v>
      </c>
      <c r="B33" s="254">
        <v>6800</v>
      </c>
      <c r="C33" s="242" t="s">
        <v>375</v>
      </c>
      <c r="D33" s="468">
        <v>3093.6700000000005</v>
      </c>
      <c r="E33" s="244"/>
      <c r="F33" s="244"/>
      <c r="G33" s="326">
        <f t="shared" si="2"/>
        <v>3093.6700000000005</v>
      </c>
      <c r="H33" s="430"/>
      <c r="I33" s="287"/>
    </row>
    <row r="34" spans="1:9">
      <c r="A34" s="263">
        <f t="shared" si="0"/>
        <v>23</v>
      </c>
      <c r="B34" s="254"/>
      <c r="C34" s="242" t="s">
        <v>891</v>
      </c>
      <c r="D34" s="468">
        <v>0</v>
      </c>
      <c r="E34" s="244"/>
      <c r="F34" s="244" t="e">
        <f>'B 3'!H259</f>
        <v>#REF!</v>
      </c>
      <c r="G34" s="326" t="e">
        <f t="shared" si="2"/>
        <v>#REF!</v>
      </c>
      <c r="H34" s="430"/>
      <c r="I34" s="287"/>
    </row>
    <row r="35" spans="1:9">
      <c r="A35" s="263">
        <f t="shared" si="0"/>
        <v>24</v>
      </c>
      <c r="B35" s="254"/>
      <c r="C35" s="246" t="s">
        <v>449</v>
      </c>
      <c r="D35" s="468"/>
      <c r="E35" s="244"/>
      <c r="F35" s="244"/>
      <c r="G35" s="326"/>
      <c r="H35" s="430"/>
      <c r="I35" s="287"/>
    </row>
    <row r="36" spans="1:9">
      <c r="A36" s="263">
        <f t="shared" si="0"/>
        <v>25</v>
      </c>
      <c r="B36" s="254" t="s">
        <v>256</v>
      </c>
      <c r="C36" s="242" t="s">
        <v>103</v>
      </c>
      <c r="D36" s="468"/>
      <c r="E36" s="424"/>
      <c r="F36" s="424"/>
      <c r="G36" s="326">
        <f t="shared" ref="G36:G42" si="3">SUM(D36:F36)</f>
        <v>0</v>
      </c>
      <c r="H36" s="430"/>
      <c r="I36" s="287"/>
    </row>
    <row r="37" spans="1:9">
      <c r="A37" s="263">
        <f t="shared" si="0"/>
        <v>26</v>
      </c>
      <c r="B37" s="727">
        <v>6665</v>
      </c>
      <c r="C37" s="242" t="s">
        <v>104</v>
      </c>
      <c r="D37" s="468">
        <v>648475.69999999995</v>
      </c>
      <c r="E37" s="244">
        <f>'B 3'!H135</f>
        <v>-101889</v>
      </c>
      <c r="F37" s="244">
        <f>'B 3'!H205</f>
        <v>2760.6208750000005</v>
      </c>
      <c r="G37" s="326">
        <f t="shared" si="3"/>
        <v>549347.32087499998</v>
      </c>
      <c r="H37" s="832" t="s">
        <v>784</v>
      </c>
      <c r="I37" s="287">
        <v>28357</v>
      </c>
    </row>
    <row r="38" spans="1:9">
      <c r="A38" s="263">
        <f t="shared" si="0"/>
        <v>27</v>
      </c>
      <c r="B38" s="254">
        <v>6695</v>
      </c>
      <c r="C38" s="288" t="s">
        <v>210</v>
      </c>
      <c r="D38" s="468">
        <v>5627.8999999999987</v>
      </c>
      <c r="E38" s="244"/>
      <c r="F38" s="244">
        <f>'B 3'!H206</f>
        <v>36.558333333333337</v>
      </c>
      <c r="G38" s="326">
        <f t="shared" si="3"/>
        <v>5664.4583333333321</v>
      </c>
      <c r="H38" s="832" t="s">
        <v>784</v>
      </c>
      <c r="I38" s="287">
        <v>13</v>
      </c>
    </row>
    <row r="39" spans="1:9">
      <c r="A39" s="263">
        <f t="shared" si="0"/>
        <v>28</v>
      </c>
      <c r="B39" s="727" t="s">
        <v>2</v>
      </c>
      <c r="C39" s="242" t="s">
        <v>105</v>
      </c>
      <c r="D39" s="468">
        <v>680924.17999999993</v>
      </c>
      <c r="E39" s="244"/>
      <c r="F39" s="244" t="e">
        <f>'B 3'!H207+'B 3'!H275+'B 3'!H257</f>
        <v>#REF!</v>
      </c>
      <c r="G39" s="326" t="e">
        <f t="shared" si="3"/>
        <v>#REF!</v>
      </c>
      <c r="H39" s="832" t="s">
        <v>784</v>
      </c>
      <c r="I39" s="287">
        <v>70602</v>
      </c>
    </row>
    <row r="40" spans="1:9">
      <c r="A40" s="263">
        <f t="shared" si="0"/>
        <v>29</v>
      </c>
      <c r="B40" s="254">
        <v>6775</v>
      </c>
      <c r="C40" s="242" t="s">
        <v>106</v>
      </c>
      <c r="D40" s="468">
        <v>97620.489999999991</v>
      </c>
      <c r="E40" s="244"/>
      <c r="F40" s="244" t="e">
        <f>'B 3'!H208+'B 3'!H276+'B 3'!H258</f>
        <v>#REF!</v>
      </c>
      <c r="G40" s="326" t="e">
        <f t="shared" si="3"/>
        <v>#REF!</v>
      </c>
      <c r="H40" s="832" t="s">
        <v>784</v>
      </c>
      <c r="I40" s="287">
        <v>3793</v>
      </c>
    </row>
    <row r="41" spans="1:9">
      <c r="A41" s="263">
        <f t="shared" si="0"/>
        <v>30</v>
      </c>
      <c r="B41" s="254">
        <v>6785</v>
      </c>
      <c r="C41" s="242" t="s">
        <v>107</v>
      </c>
      <c r="D41" s="468">
        <v>23823.989999999998</v>
      </c>
      <c r="E41" s="244"/>
      <c r="F41" s="244">
        <f>'B 3'!H209</f>
        <v>16.261111111111113</v>
      </c>
      <c r="G41" s="326">
        <f t="shared" si="3"/>
        <v>23840.251111111109</v>
      </c>
      <c r="H41" s="832" t="s">
        <v>784</v>
      </c>
      <c r="I41" s="287">
        <v>19</v>
      </c>
    </row>
    <row r="42" spans="1:9">
      <c r="A42" s="263">
        <f t="shared" si="0"/>
        <v>31</v>
      </c>
      <c r="B42" s="254">
        <v>6805</v>
      </c>
      <c r="C42" s="242" t="s">
        <v>108</v>
      </c>
      <c r="D42" s="468">
        <v>5094.4399999999996</v>
      </c>
      <c r="F42" s="244">
        <f>'B 3'!H210</f>
        <v>-222.7</v>
      </c>
      <c r="G42" s="326">
        <f t="shared" si="3"/>
        <v>4871.74</v>
      </c>
      <c r="H42" s="430"/>
      <c r="I42" s="287">
        <v>0</v>
      </c>
    </row>
    <row r="43" spans="1:9">
      <c r="A43" s="263">
        <f t="shared" si="0"/>
        <v>32</v>
      </c>
      <c r="B43" s="254"/>
      <c r="C43" s="246" t="s">
        <v>12</v>
      </c>
      <c r="D43" s="468"/>
      <c r="E43" s="424"/>
      <c r="F43" s="424"/>
      <c r="G43" s="326"/>
      <c r="H43" s="430"/>
      <c r="I43" s="287"/>
    </row>
    <row r="44" spans="1:9">
      <c r="A44" s="263">
        <f t="shared" si="0"/>
        <v>33</v>
      </c>
      <c r="B44" s="254" t="s">
        <v>256</v>
      </c>
      <c r="C44" s="242" t="s">
        <v>13</v>
      </c>
      <c r="D44" s="468"/>
      <c r="E44" s="244"/>
      <c r="F44" s="244"/>
      <c r="G44" s="326">
        <f>SUM(D44:F44)</f>
        <v>0</v>
      </c>
      <c r="H44" s="430"/>
      <c r="I44" s="287"/>
    </row>
    <row r="45" spans="1:9">
      <c r="A45" s="263">
        <f t="shared" si="0"/>
        <v>34</v>
      </c>
      <c r="B45" s="254">
        <v>6670</v>
      </c>
      <c r="C45" s="242" t="s">
        <v>14</v>
      </c>
      <c r="D45" s="468">
        <v>852.4799999999999</v>
      </c>
      <c r="E45" s="244"/>
      <c r="F45" s="244"/>
      <c r="G45" s="326">
        <f>SUM(D45:F45)</f>
        <v>852.4799999999999</v>
      </c>
      <c r="H45" s="430"/>
      <c r="I45" s="287"/>
    </row>
    <row r="46" spans="1:9">
      <c r="A46" s="263">
        <f t="shared" si="0"/>
        <v>35</v>
      </c>
      <c r="B46" s="254">
        <v>6700</v>
      </c>
      <c r="C46" s="242" t="s">
        <v>15</v>
      </c>
      <c r="D46" s="468"/>
      <c r="E46" s="244"/>
      <c r="F46" s="244"/>
      <c r="G46" s="326"/>
      <c r="H46" s="430"/>
      <c r="I46" s="287"/>
    </row>
    <row r="47" spans="1:9">
      <c r="A47" s="263">
        <f t="shared" si="0"/>
        <v>36</v>
      </c>
      <c r="B47" s="254">
        <v>6750</v>
      </c>
      <c r="C47" s="242" t="s">
        <v>16</v>
      </c>
      <c r="D47" s="468">
        <v>4535.41</v>
      </c>
      <c r="F47" s="244">
        <f>'B 3'!H211</f>
        <v>210.25925925925932</v>
      </c>
      <c r="G47" s="326">
        <f>SUM(D47:F47)</f>
        <v>4745.669259259259</v>
      </c>
      <c r="H47" s="430"/>
      <c r="I47" s="287"/>
    </row>
    <row r="48" spans="1:9">
      <c r="A48" s="263">
        <f t="shared" si="0"/>
        <v>37</v>
      </c>
      <c r="B48" s="254">
        <v>6885</v>
      </c>
      <c r="C48" s="242" t="s">
        <v>507</v>
      </c>
      <c r="D48" s="468">
        <v>1786.3799999999997</v>
      </c>
      <c r="F48" s="244">
        <f>'B 3'!H212</f>
        <v>-76.427927927927925</v>
      </c>
      <c r="G48" s="326">
        <f>SUM(D48:F48)</f>
        <v>1709.9520720720718</v>
      </c>
      <c r="H48" s="430"/>
      <c r="I48" s="287"/>
    </row>
    <row r="49" spans="1:15">
      <c r="A49" s="263">
        <f t="shared" si="0"/>
        <v>38</v>
      </c>
      <c r="B49" s="254">
        <v>6770</v>
      </c>
      <c r="C49" s="242" t="s">
        <v>17</v>
      </c>
      <c r="D49" s="468">
        <v>283235.42999999993</v>
      </c>
      <c r="F49" s="244">
        <f>'B 3'!H225</f>
        <v>2.0972222222222214</v>
      </c>
      <c r="G49" s="326">
        <f>SUM(D49:F49)</f>
        <v>283237.52722222218</v>
      </c>
      <c r="H49" s="430"/>
      <c r="I49" s="287"/>
    </row>
    <row r="50" spans="1:15">
      <c r="A50" s="263">
        <f t="shared" si="0"/>
        <v>39</v>
      </c>
      <c r="B50" s="254">
        <v>6780</v>
      </c>
      <c r="C50" s="242" t="s">
        <v>18</v>
      </c>
      <c r="D50" s="468">
        <v>304.8</v>
      </c>
      <c r="E50" s="244"/>
      <c r="F50" s="244"/>
      <c r="G50" s="326">
        <f>SUM(D50:F50)</f>
        <v>304.8</v>
      </c>
      <c r="H50" s="430"/>
      <c r="I50" s="287"/>
    </row>
    <row r="51" spans="1:15">
      <c r="A51" s="263">
        <f t="shared" si="0"/>
        <v>40</v>
      </c>
      <c r="B51" s="254">
        <v>6810</v>
      </c>
      <c r="C51" s="242" t="s">
        <v>19</v>
      </c>
      <c r="D51" s="468">
        <v>353.62</v>
      </c>
      <c r="E51" s="244"/>
      <c r="F51" s="244"/>
      <c r="G51" s="326">
        <f>SUM(D51:F51)</f>
        <v>353.62</v>
      </c>
      <c r="H51" s="430"/>
      <c r="I51" s="287"/>
      <c r="J51" s="266"/>
      <c r="K51" s="266"/>
    </row>
    <row r="52" spans="1:15">
      <c r="A52" s="263">
        <f t="shared" si="0"/>
        <v>41</v>
      </c>
      <c r="B52" s="254"/>
      <c r="C52" s="246" t="s">
        <v>20</v>
      </c>
      <c r="D52" s="468"/>
      <c r="E52" s="244"/>
      <c r="F52" s="244"/>
      <c r="G52" s="326"/>
      <c r="H52" s="430"/>
      <c r="I52" s="287"/>
      <c r="J52" s="266"/>
      <c r="K52" s="266"/>
    </row>
    <row r="53" spans="1:15">
      <c r="A53" s="263">
        <f t="shared" si="0"/>
        <v>42</v>
      </c>
      <c r="B53" s="254">
        <v>6650</v>
      </c>
      <c r="C53" s="242" t="s">
        <v>21</v>
      </c>
      <c r="D53" s="468"/>
      <c r="E53" s="244"/>
      <c r="F53" s="244"/>
      <c r="G53" s="326"/>
      <c r="H53" s="430"/>
      <c r="I53" s="287"/>
      <c r="J53" s="266"/>
      <c r="K53" s="266"/>
    </row>
    <row r="54" spans="1:15">
      <c r="A54" s="263">
        <f t="shared" si="0"/>
        <v>43</v>
      </c>
      <c r="B54" s="254" t="s">
        <v>256</v>
      </c>
      <c r="C54" s="242" t="s">
        <v>22</v>
      </c>
      <c r="D54" s="468"/>
      <c r="E54" s="244"/>
      <c r="F54" s="244"/>
      <c r="G54" s="326">
        <f>SUM(D54:F54)</f>
        <v>0</v>
      </c>
      <c r="H54" s="430"/>
      <c r="I54" s="287"/>
      <c r="J54" s="266"/>
      <c r="K54" s="266"/>
    </row>
    <row r="55" spans="1:15">
      <c r="A55" s="263">
        <f t="shared" si="0"/>
        <v>44</v>
      </c>
      <c r="B55" s="254">
        <v>6675</v>
      </c>
      <c r="C55" s="242" t="s">
        <v>23</v>
      </c>
      <c r="D55" s="468">
        <v>1091.4600000000003</v>
      </c>
      <c r="F55" s="244">
        <f>'B 3'!H226</f>
        <v>33.034541666666669</v>
      </c>
      <c r="G55" s="326">
        <f>SUM(D55:F55)</f>
        <v>1124.4945416666669</v>
      </c>
      <c r="H55" s="430"/>
      <c r="I55" s="287"/>
      <c r="J55" s="266"/>
      <c r="K55" s="266"/>
    </row>
    <row r="56" spans="1:15">
      <c r="A56" s="263">
        <f t="shared" si="0"/>
        <v>45</v>
      </c>
      <c r="B56" s="254">
        <v>6705</v>
      </c>
      <c r="C56" s="242" t="s">
        <v>24</v>
      </c>
      <c r="D56" s="468"/>
      <c r="E56" s="244"/>
      <c r="F56" s="244"/>
      <c r="G56" s="326"/>
      <c r="H56" s="430"/>
      <c r="I56" s="287"/>
      <c r="J56" s="266"/>
      <c r="K56" s="266"/>
    </row>
    <row r="57" spans="1:15">
      <c r="A57" s="263">
        <f t="shared" si="0"/>
        <v>46</v>
      </c>
      <c r="B57" s="254">
        <v>6875</v>
      </c>
      <c r="C57" s="242" t="s">
        <v>25</v>
      </c>
      <c r="D57" s="468">
        <v>22580.18</v>
      </c>
      <c r="F57" s="244">
        <f>'B 3'!H227</f>
        <v>5892.3520833333332</v>
      </c>
      <c r="G57" s="326">
        <f>SUM(D57:F57)</f>
        <v>28472.532083333332</v>
      </c>
      <c r="H57" s="430"/>
      <c r="I57" s="287"/>
      <c r="J57" s="266"/>
      <c r="K57" s="266"/>
    </row>
    <row r="58" spans="1:15">
      <c r="A58" s="263">
        <f t="shared" si="0"/>
        <v>47</v>
      </c>
      <c r="B58" s="254">
        <v>6880</v>
      </c>
      <c r="C58" s="242" t="s">
        <v>26</v>
      </c>
      <c r="D58" s="468">
        <v>5428.2199999999993</v>
      </c>
      <c r="F58" s="244">
        <f>'B 3'!H228</f>
        <v>150.17916666666665</v>
      </c>
      <c r="G58" s="326">
        <f>SUM(D58:F58)</f>
        <v>5578.3991666666661</v>
      </c>
      <c r="H58" s="430"/>
      <c r="I58" s="287"/>
      <c r="J58" s="266"/>
      <c r="K58" s="266"/>
    </row>
    <row r="59" spans="1:15">
      <c r="A59" s="263">
        <f t="shared" si="0"/>
        <v>48</v>
      </c>
      <c r="B59" s="254">
        <v>6755</v>
      </c>
      <c r="C59" s="242" t="s">
        <v>27</v>
      </c>
      <c r="D59" s="468">
        <v>2854.3500000000004</v>
      </c>
      <c r="F59" s="244">
        <f>'B 3'!H229</f>
        <v>455.76388888888886</v>
      </c>
      <c r="G59" s="326">
        <f>SUM(D59:F59)</f>
        <v>3310.1138888888891</v>
      </c>
      <c r="H59" s="430"/>
      <c r="I59" s="287"/>
      <c r="J59" s="266"/>
      <c r="K59" s="266"/>
    </row>
    <row r="60" spans="1:15">
      <c r="A60" s="263">
        <f t="shared" si="0"/>
        <v>49</v>
      </c>
      <c r="B60" s="254">
        <v>6890</v>
      </c>
      <c r="C60" s="242" t="s">
        <v>28</v>
      </c>
      <c r="D60" s="468">
        <v>346074.04</v>
      </c>
      <c r="F60" s="244">
        <f>'B 3'!H230</f>
        <v>1283.7519379844962</v>
      </c>
      <c r="G60" s="326">
        <f>SUM(D60:F60)</f>
        <v>347357.79193798447</v>
      </c>
      <c r="H60" s="430"/>
      <c r="I60" s="287"/>
      <c r="J60" s="266"/>
      <c r="K60" s="266"/>
    </row>
    <row r="61" spans="1:15">
      <c r="A61" s="263">
        <f t="shared" si="0"/>
        <v>50</v>
      </c>
      <c r="B61" s="254">
        <v>6815</v>
      </c>
      <c r="C61" s="242" t="s">
        <v>29</v>
      </c>
      <c r="D61" s="468">
        <v>1314.4799999999998</v>
      </c>
      <c r="E61" s="244"/>
      <c r="F61" s="244"/>
      <c r="G61" s="326">
        <f>SUM(D61:F61)</f>
        <v>1314.4799999999998</v>
      </c>
      <c r="H61" s="430"/>
      <c r="I61" s="287"/>
      <c r="L61" s="266"/>
      <c r="M61" s="266"/>
    </row>
    <row r="62" spans="1:15">
      <c r="A62" s="263">
        <f t="shared" si="0"/>
        <v>51</v>
      </c>
      <c r="B62" s="254"/>
      <c r="C62" s="246" t="s">
        <v>298</v>
      </c>
      <c r="D62" s="468"/>
      <c r="E62" s="244"/>
      <c r="F62" s="244"/>
      <c r="G62" s="326"/>
      <c r="H62" s="430"/>
      <c r="I62" s="287"/>
    </row>
    <row r="63" spans="1:15">
      <c r="A63" s="263">
        <f t="shared" si="0"/>
        <v>52</v>
      </c>
      <c r="B63" s="254" t="s">
        <v>256</v>
      </c>
      <c r="C63" s="278" t="s">
        <v>140</v>
      </c>
      <c r="D63" s="468"/>
      <c r="E63" s="244"/>
      <c r="F63" s="244"/>
      <c r="G63" s="326"/>
      <c r="H63" s="430"/>
      <c r="I63" s="287"/>
      <c r="M63" s="812" t="s">
        <v>714</v>
      </c>
      <c r="N63" s="243" t="s">
        <v>713</v>
      </c>
      <c r="O63" s="812"/>
    </row>
    <row r="64" spans="1:15">
      <c r="A64" s="263">
        <f t="shared" si="0"/>
        <v>53</v>
      </c>
      <c r="B64" s="293">
        <v>6680</v>
      </c>
      <c r="C64" s="278" t="s">
        <v>531</v>
      </c>
      <c r="D64" s="468">
        <v>145518.86000000002</v>
      </c>
      <c r="F64" s="244">
        <f>'B 3'!H231</f>
        <v>1668.8638333333333</v>
      </c>
      <c r="G64" s="326">
        <f t="shared" ref="G64:G74" si="4">SUM(D64:F64)</f>
        <v>147187.72383333335</v>
      </c>
      <c r="H64" s="430"/>
      <c r="I64" s="287"/>
      <c r="L64" s="468"/>
    </row>
    <row r="65" spans="1:15">
      <c r="A65" s="263">
        <f t="shared" si="0"/>
        <v>54</v>
      </c>
      <c r="B65" s="293" t="s">
        <v>54</v>
      </c>
      <c r="C65" s="278" t="s">
        <v>529</v>
      </c>
      <c r="D65" s="468">
        <v>193401.43985567463</v>
      </c>
      <c r="E65" s="244"/>
      <c r="F65" s="244"/>
      <c r="G65" s="326">
        <f t="shared" si="4"/>
        <v>193401.43985567463</v>
      </c>
      <c r="H65" s="430"/>
      <c r="I65" s="287"/>
      <c r="L65" s="468">
        <v>404105.81000000006</v>
      </c>
      <c r="M65" s="529">
        <f t="shared" ref="M65:N73" si="5">$L65*L$9</f>
        <v>210704.37014432545</v>
      </c>
      <c r="N65" s="529">
        <f t="shared" si="5"/>
        <v>193401.4398556746</v>
      </c>
      <c r="O65" s="302" t="e">
        <f>-#REF!-#REF!</f>
        <v>#REF!</v>
      </c>
    </row>
    <row r="66" spans="1:15">
      <c r="A66" s="263">
        <f t="shared" si="0"/>
        <v>55</v>
      </c>
      <c r="B66" s="293" t="s">
        <v>54</v>
      </c>
      <c r="C66" s="278" t="s">
        <v>142</v>
      </c>
      <c r="D66" s="468">
        <v>225435.88656802353</v>
      </c>
      <c r="E66" s="244"/>
      <c r="F66" s="244">
        <f>'B 3'!H232</f>
        <v>20415.766241111116</v>
      </c>
      <c r="G66" s="326">
        <f t="shared" si="4"/>
        <v>245851.65280913466</v>
      </c>
      <c r="H66" s="430"/>
      <c r="I66" s="287"/>
      <c r="L66" s="468">
        <v>471040.71000000008</v>
      </c>
      <c r="M66" s="529">
        <f t="shared" si="5"/>
        <v>245604.82343197655</v>
      </c>
      <c r="N66" s="529">
        <f t="shared" si="5"/>
        <v>225435.88656802353</v>
      </c>
      <c r="O66" s="302" t="e">
        <f>-#REF!-#REF!-#REF!</f>
        <v>#REF!</v>
      </c>
    </row>
    <row r="67" spans="1:15">
      <c r="A67" s="263">
        <f t="shared" si="0"/>
        <v>56</v>
      </c>
      <c r="B67" s="293" t="s">
        <v>54</v>
      </c>
      <c r="C67" s="278" t="s">
        <v>143</v>
      </c>
      <c r="D67" s="468">
        <v>155654.22360150976</v>
      </c>
      <c r="E67" s="244"/>
      <c r="F67" s="244" t="e">
        <f>'B 3'!H233+'B 3'!H249+'B 3'!H268</f>
        <v>#REF!</v>
      </c>
      <c r="G67" s="326" t="e">
        <f t="shared" si="4"/>
        <v>#REF!</v>
      </c>
      <c r="H67" s="430"/>
      <c r="I67" s="287"/>
      <c r="L67" s="468">
        <v>325234.26999999996</v>
      </c>
      <c r="M67" s="529">
        <f t="shared" si="5"/>
        <v>169580.0463984902</v>
      </c>
      <c r="N67" s="529">
        <f t="shared" si="5"/>
        <v>155654.22360150976</v>
      </c>
      <c r="O67" s="302" t="e">
        <f>-#REF!</f>
        <v>#REF!</v>
      </c>
    </row>
    <row r="68" spans="1:15">
      <c r="A68" s="263">
        <f t="shared" si="0"/>
        <v>57</v>
      </c>
      <c r="B68" s="293" t="s">
        <v>54</v>
      </c>
      <c r="C68" s="278" t="s">
        <v>144</v>
      </c>
      <c r="D68" s="468">
        <v>462.14669960383316</v>
      </c>
      <c r="E68" s="244"/>
      <c r="F68" s="244"/>
      <c r="G68" s="326">
        <f t="shared" si="4"/>
        <v>462.14669960383316</v>
      </c>
      <c r="H68" s="430"/>
      <c r="I68" s="287"/>
      <c r="L68" s="468">
        <v>965.64000000000033</v>
      </c>
      <c r="M68" s="529">
        <f t="shared" si="5"/>
        <v>503.49330039616717</v>
      </c>
      <c r="N68" s="529">
        <f t="shared" si="5"/>
        <v>462.14669960383316</v>
      </c>
      <c r="O68" s="302" t="e">
        <f>-#REF!-#REF!</f>
        <v>#REF!</v>
      </c>
    </row>
    <row r="69" spans="1:15">
      <c r="A69" s="263">
        <f t="shared" si="0"/>
        <v>58</v>
      </c>
      <c r="B69" s="293" t="s">
        <v>54</v>
      </c>
      <c r="C69" s="278" t="s">
        <v>145</v>
      </c>
      <c r="D69" s="468">
        <v>30789.75093649593</v>
      </c>
      <c r="E69" s="244"/>
      <c r="F69" s="244">
        <f>'B 3'!H234</f>
        <v>-56.036458333333329</v>
      </c>
      <c r="G69" s="326">
        <f t="shared" si="4"/>
        <v>30733.714478162598</v>
      </c>
      <c r="H69" s="430"/>
      <c r="I69" s="287"/>
      <c r="L69" s="468">
        <v>64334.149999999994</v>
      </c>
      <c r="M69" s="529">
        <f t="shared" si="5"/>
        <v>33544.399063504068</v>
      </c>
      <c r="N69" s="529">
        <f t="shared" si="5"/>
        <v>30789.75093649593</v>
      </c>
      <c r="O69" s="302" t="e">
        <f>-#REF!-#REF!</f>
        <v>#REF!</v>
      </c>
    </row>
    <row r="70" spans="1:15">
      <c r="A70" s="263">
        <f t="shared" si="0"/>
        <v>59</v>
      </c>
      <c r="B70" s="293" t="s">
        <v>54</v>
      </c>
      <c r="C70" s="278" t="s">
        <v>146</v>
      </c>
      <c r="D70" s="468">
        <v>4758.6934191125674</v>
      </c>
      <c r="E70" s="244"/>
      <c r="F70" s="244">
        <f>'B 3'!H235</f>
        <v>331.36666666666667</v>
      </c>
      <c r="G70" s="326">
        <f t="shared" si="4"/>
        <v>5090.0600857792342</v>
      </c>
      <c r="H70" s="430"/>
      <c r="I70" s="287"/>
      <c r="L70" s="468">
        <v>9943.1299999999992</v>
      </c>
      <c r="M70" s="529">
        <f t="shared" si="5"/>
        <v>5184.4365808874318</v>
      </c>
      <c r="N70" s="529">
        <f t="shared" si="5"/>
        <v>4758.6934191125674</v>
      </c>
      <c r="O70" s="302" t="e">
        <f>-#REF!-#REF!</f>
        <v>#REF!</v>
      </c>
    </row>
    <row r="71" spans="1:15">
      <c r="A71" s="263">
        <f t="shared" si="0"/>
        <v>60</v>
      </c>
      <c r="B71" s="293" t="s">
        <v>54</v>
      </c>
      <c r="C71" s="278" t="s">
        <v>147</v>
      </c>
      <c r="D71" s="468">
        <v>10135.807886262794</v>
      </c>
      <c r="E71" s="244"/>
      <c r="F71" s="244">
        <f>'B 3'!H236</f>
        <v>731.66666666666674</v>
      </c>
      <c r="G71" s="326">
        <f t="shared" si="4"/>
        <v>10867.47455292946</v>
      </c>
      <c r="H71" s="430"/>
      <c r="I71" s="287"/>
      <c r="L71" s="468">
        <v>21178.43</v>
      </c>
      <c r="M71" s="529">
        <f t="shared" si="5"/>
        <v>11042.622113737207</v>
      </c>
      <c r="N71" s="529">
        <f t="shared" si="5"/>
        <v>10135.807886262794</v>
      </c>
      <c r="O71" s="302" t="e">
        <f>-#REF!-#REF!</f>
        <v>#REF!</v>
      </c>
    </row>
    <row r="72" spans="1:15">
      <c r="A72" s="263">
        <f t="shared" si="0"/>
        <v>61</v>
      </c>
      <c r="B72" s="293" t="s">
        <v>54</v>
      </c>
      <c r="C72" s="278" t="s">
        <v>148</v>
      </c>
      <c r="D72" s="468">
        <v>12165.330831950634</v>
      </c>
      <c r="E72" s="244"/>
      <c r="F72" s="244">
        <f>'B 3'!H237</f>
        <v>4608.7416666666668</v>
      </c>
      <c r="G72" s="326">
        <f t="shared" si="4"/>
        <v>16774.072498617301</v>
      </c>
      <c r="H72" s="833"/>
      <c r="I72" s="287"/>
      <c r="L72" s="468">
        <v>25419.05</v>
      </c>
      <c r="M72" s="529">
        <f t="shared" si="5"/>
        <v>13253.719168049365</v>
      </c>
      <c r="N72" s="529">
        <f t="shared" si="5"/>
        <v>12165.330831950634</v>
      </c>
      <c r="O72" s="302" t="e">
        <f>-#REF!-#REF!</f>
        <v>#REF!</v>
      </c>
    </row>
    <row r="73" spans="1:15">
      <c r="A73" s="263">
        <f t="shared" si="0"/>
        <v>62</v>
      </c>
      <c r="B73" s="293">
        <v>6855</v>
      </c>
      <c r="C73" s="278" t="s">
        <v>149</v>
      </c>
      <c r="D73" s="468">
        <v>7349.7190064482975</v>
      </c>
      <c r="E73" s="244"/>
      <c r="F73" s="244">
        <f>'B 3'!H238</f>
        <v>-243.29444444444448</v>
      </c>
      <c r="G73" s="326">
        <f t="shared" si="4"/>
        <v>7106.4245620038528</v>
      </c>
      <c r="H73" s="833"/>
      <c r="I73" s="287"/>
      <c r="L73" s="468">
        <v>1548</v>
      </c>
      <c r="M73" s="529">
        <f t="shared" si="5"/>
        <v>807.1409935517031</v>
      </c>
      <c r="N73" s="529">
        <f t="shared" si="5"/>
        <v>740.8590064482969</v>
      </c>
      <c r="O73" s="302" t="e">
        <f>-#REF!</f>
        <v>#REF!</v>
      </c>
    </row>
    <row r="74" spans="1:15">
      <c r="A74" s="263">
        <f t="shared" si="0"/>
        <v>63</v>
      </c>
      <c r="B74" s="293">
        <v>6860</v>
      </c>
      <c r="C74" s="376" t="s">
        <v>197</v>
      </c>
      <c r="D74" s="468">
        <v>1514.6800000000003</v>
      </c>
      <c r="F74" s="244">
        <f>'B 3'!H239</f>
        <v>364.85833333333335</v>
      </c>
      <c r="G74" s="326">
        <f t="shared" si="4"/>
        <v>1879.5383333333336</v>
      </c>
      <c r="H74" s="833"/>
      <c r="I74" s="287"/>
      <c r="L74" s="468">
        <v>1323769.1899999997</v>
      </c>
      <c r="M74" s="468">
        <f>SUM(M65:M73)</f>
        <v>690225.05119491811</v>
      </c>
      <c r="N74" s="468">
        <f>SUM(N65:N73)</f>
        <v>633544.13880508207</v>
      </c>
    </row>
    <row r="75" spans="1:15">
      <c r="A75" s="263">
        <f t="shared" si="0"/>
        <v>64</v>
      </c>
      <c r="B75" s="254"/>
      <c r="D75" s="244"/>
      <c r="E75" s="244"/>
      <c r="F75" s="244"/>
      <c r="G75" s="305"/>
      <c r="H75" s="833"/>
      <c r="I75" s="287"/>
      <c r="J75" s="243" t="s">
        <v>465</v>
      </c>
      <c r="K75" s="266" t="s">
        <v>489</v>
      </c>
    </row>
    <row r="76" spans="1:15" s="242" customFormat="1">
      <c r="A76" s="275">
        <f t="shared" si="0"/>
        <v>65</v>
      </c>
      <c r="B76" s="274"/>
      <c r="C76" s="246" t="s">
        <v>294</v>
      </c>
      <c r="D76" s="300">
        <f>SUM(D13:D75)</f>
        <v>5090013.768805082</v>
      </c>
      <c r="E76" s="300">
        <f>SUM(E13:E75)</f>
        <v>-269123.92499999999</v>
      </c>
      <c r="F76" s="300" t="e">
        <f>SUM(F13:F75)</f>
        <v>#REF!</v>
      </c>
      <c r="G76" s="300" t="e">
        <f>SUM(G13:G75)</f>
        <v>#REF!</v>
      </c>
      <c r="H76" s="334"/>
      <c r="I76" s="300">
        <f>SUM(I13:I75)</f>
        <v>129753</v>
      </c>
      <c r="J76" s="300" t="e">
        <f>E76+F76-I76</f>
        <v>#REF!</v>
      </c>
      <c r="K76" s="300" t="e">
        <f>G76-I76</f>
        <v>#REF!</v>
      </c>
      <c r="L76" s="244">
        <f>E76-I76</f>
        <v>-398876.92499999999</v>
      </c>
    </row>
    <row r="77" spans="1:15" s="242" customFormat="1">
      <c r="A77" s="275">
        <f t="shared" si="0"/>
        <v>66</v>
      </c>
      <c r="B77" s="274"/>
      <c r="C77" s="246"/>
      <c r="D77" s="248"/>
      <c r="E77" s="248"/>
      <c r="F77" s="248"/>
      <c r="G77" s="248"/>
      <c r="H77" s="332"/>
      <c r="I77" s="248"/>
      <c r="J77" s="248"/>
      <c r="K77" s="248"/>
    </row>
    <row r="78" spans="1:15" s="242" customFormat="1">
      <c r="A78" s="275">
        <f t="shared" si="0"/>
        <v>67</v>
      </c>
      <c r="B78" s="274" t="s">
        <v>63</v>
      </c>
      <c r="C78" s="246" t="s">
        <v>405</v>
      </c>
      <c r="D78" s="301">
        <v>-1316639.8100000003</v>
      </c>
      <c r="E78" s="248">
        <f>'B 3'!H166</f>
        <v>350694</v>
      </c>
      <c r="F78" s="248">
        <f>'B 3'!H297</f>
        <v>42818.48</v>
      </c>
      <c r="G78" s="326">
        <f>SUM(D78:F78)</f>
        <v>-923127.33000000031</v>
      </c>
      <c r="H78" s="375" t="s">
        <v>784</v>
      </c>
      <c r="I78" s="244">
        <v>-46509</v>
      </c>
      <c r="J78" s="300">
        <f>E78+F78-I78</f>
        <v>440021.48</v>
      </c>
      <c r="K78" s="300">
        <f>G78-I78</f>
        <v>-876618.33000000031</v>
      </c>
      <c r="L78" s="244">
        <f>E78-I78</f>
        <v>397203</v>
      </c>
    </row>
    <row r="79" spans="1:15" s="242" customFormat="1">
      <c r="A79" s="275">
        <f t="shared" si="0"/>
        <v>68</v>
      </c>
      <c r="B79" s="274"/>
      <c r="D79" s="301"/>
      <c r="E79" s="301"/>
      <c r="F79" s="301"/>
      <c r="G79" s="301"/>
      <c r="H79" s="331"/>
      <c r="I79" s="301"/>
      <c r="J79" s="301"/>
      <c r="K79" s="301"/>
    </row>
    <row r="80" spans="1:15" s="242" customFormat="1" ht="12.75" thickBot="1">
      <c r="A80" s="275">
        <f t="shared" si="0"/>
        <v>69</v>
      </c>
      <c r="B80" s="274"/>
      <c r="C80" s="246" t="s">
        <v>328</v>
      </c>
      <c r="D80" s="303">
        <f>SUM(D76:D78)</f>
        <v>3773373.9588050814</v>
      </c>
      <c r="E80" s="303">
        <f>SUM(E76:E78)</f>
        <v>81570.075000000012</v>
      </c>
      <c r="F80" s="303" t="e">
        <f>SUM(F76:F78)</f>
        <v>#REF!</v>
      </c>
      <c r="G80" s="303" t="e">
        <f>SUM(G76:G78)</f>
        <v>#REF!</v>
      </c>
      <c r="H80" s="334"/>
      <c r="I80" s="303">
        <f>SUM(I76:I78)</f>
        <v>83244</v>
      </c>
      <c r="J80" s="300" t="e">
        <f>E80+F80-I80</f>
        <v>#REF!</v>
      </c>
      <c r="K80" s="300" t="e">
        <f>G80-I80</f>
        <v>#REF!</v>
      </c>
      <c r="L80" s="244">
        <f>E80-I80</f>
        <v>-1673.9249999999884</v>
      </c>
    </row>
    <row r="81" spans="1:12" s="242" customFormat="1" ht="12.75" thickTop="1">
      <c r="A81" s="275">
        <f t="shared" si="0"/>
        <v>70</v>
      </c>
      <c r="B81" s="274"/>
      <c r="C81" s="246"/>
      <c r="D81" s="244"/>
      <c r="E81" s="244"/>
      <c r="F81" s="244"/>
      <c r="G81" s="244"/>
      <c r="H81" s="332"/>
      <c r="I81" s="244"/>
      <c r="J81" s="248"/>
      <c r="K81" s="248"/>
    </row>
    <row r="82" spans="1:12" s="242" customFormat="1">
      <c r="A82" s="275">
        <f t="shared" si="0"/>
        <v>71</v>
      </c>
      <c r="B82" s="274" t="s">
        <v>63</v>
      </c>
      <c r="C82" s="246" t="s">
        <v>1050</v>
      </c>
      <c r="D82" s="301"/>
      <c r="E82" s="248">
        <f>-I80</f>
        <v>-83244</v>
      </c>
      <c r="F82" s="248"/>
      <c r="G82" s="326">
        <f>SUM(D82:F82)</f>
        <v>-83244</v>
      </c>
      <c r="H82" s="325"/>
    </row>
    <row r="83" spans="1:12" s="242" customFormat="1">
      <c r="A83" s="275">
        <f t="shared" si="0"/>
        <v>72</v>
      </c>
      <c r="D83" s="244"/>
      <c r="E83" s="244"/>
      <c r="F83" s="244"/>
      <c r="H83" s="325"/>
    </row>
    <row r="84" spans="1:12" ht="12.75" thickBot="1">
      <c r="A84" s="275">
        <f t="shared" si="0"/>
        <v>73</v>
      </c>
      <c r="B84" s="274"/>
      <c r="C84" s="246" t="s">
        <v>1049</v>
      </c>
      <c r="D84" s="303">
        <f>SUM(D80:D82)</f>
        <v>3773373.9588050814</v>
      </c>
      <c r="E84" s="303">
        <f>E80+E82</f>
        <v>-1673.9249999999884</v>
      </c>
      <c r="F84" s="303" t="e">
        <f>F80+F82</f>
        <v>#REF!</v>
      </c>
      <c r="G84" s="303" t="e">
        <f>G80+G82</f>
        <v>#REF!</v>
      </c>
      <c r="H84" s="430"/>
    </row>
    <row r="85" spans="1:12" ht="12.75" thickTop="1">
      <c r="H85" s="430"/>
      <c r="I85" s="244" t="e">
        <f>G80-I80</f>
        <v>#REF!</v>
      </c>
      <c r="J85" s="244" t="e">
        <f>'B 3'!H301</f>
        <v>#REF!</v>
      </c>
      <c r="K85" s="242"/>
      <c r="L85" s="244">
        <f>'B 3'!H169</f>
        <v>-1673.9249999999884</v>
      </c>
    </row>
    <row r="86" spans="1:12">
      <c r="C86" s="242" t="s">
        <v>480</v>
      </c>
      <c r="D86" s="385">
        <v>4456469.6300000008</v>
      </c>
      <c r="G86" s="244" t="e">
        <f>G80-I80</f>
        <v>#REF!</v>
      </c>
      <c r="I86" s="244"/>
      <c r="J86" s="244" t="e">
        <f>J80-J85</f>
        <v>#REF!</v>
      </c>
      <c r="K86" s="242"/>
      <c r="L86" s="244">
        <f>L80-L85</f>
        <v>0</v>
      </c>
    </row>
    <row r="87" spans="1:12">
      <c r="J87" s="287"/>
    </row>
    <row r="88" spans="1:12">
      <c r="C88" s="242" t="s">
        <v>455</v>
      </c>
      <c r="D88" s="244">
        <f>D76-D86</f>
        <v>633544.13880508114</v>
      </c>
    </row>
    <row r="89" spans="1:12">
      <c r="J89" s="287"/>
    </row>
    <row r="90" spans="1:12" ht="12.75">
      <c r="A90" s="263">
        <v>7225</v>
      </c>
      <c r="B90" s="241" t="s">
        <v>583</v>
      </c>
      <c r="C90" s="376" t="s">
        <v>583</v>
      </c>
      <c r="D90" s="244"/>
    </row>
    <row r="91" spans="1:12" ht="12.75">
      <c r="A91" s="263">
        <v>7230</v>
      </c>
      <c r="B91" s="241" t="s">
        <v>584</v>
      </c>
      <c r="C91" s="376" t="s">
        <v>584</v>
      </c>
      <c r="D91" s="244"/>
    </row>
    <row r="92" spans="1:12" ht="12.75">
      <c r="A92" s="263">
        <v>7275</v>
      </c>
      <c r="B92" s="241" t="s">
        <v>585</v>
      </c>
      <c r="C92" s="376" t="s">
        <v>585</v>
      </c>
      <c r="D92" s="244"/>
    </row>
    <row r="93" spans="1:12" ht="12.75">
      <c r="A93" s="263">
        <v>7280</v>
      </c>
      <c r="B93" s="241" t="s">
        <v>586</v>
      </c>
      <c r="C93" s="376" t="s">
        <v>586</v>
      </c>
      <c r="D93" s="244"/>
    </row>
    <row r="94" spans="1:12" ht="12.75">
      <c r="A94" s="263">
        <v>7283</v>
      </c>
      <c r="B94" s="241" t="s">
        <v>587</v>
      </c>
      <c r="C94" s="376" t="s">
        <v>587</v>
      </c>
      <c r="D94" s="244"/>
    </row>
    <row r="95" spans="1:12" ht="12.75">
      <c r="A95" s="263">
        <v>7290</v>
      </c>
      <c r="B95" s="241" t="s">
        <v>588</v>
      </c>
      <c r="C95" s="376" t="s">
        <v>588</v>
      </c>
      <c r="D95" s="244"/>
    </row>
    <row r="96" spans="1:12" ht="12.75">
      <c r="A96" s="263">
        <v>7315</v>
      </c>
      <c r="B96" s="241" t="s">
        <v>589</v>
      </c>
      <c r="C96" s="376" t="s">
        <v>589</v>
      </c>
      <c r="D96" s="244"/>
    </row>
    <row r="97" spans="1:4" ht="12.75">
      <c r="A97" s="263">
        <v>7325</v>
      </c>
      <c r="B97" s="241" t="s">
        <v>590</v>
      </c>
      <c r="C97" s="376" t="s">
        <v>590</v>
      </c>
      <c r="D97" s="244"/>
    </row>
    <row r="98" spans="1:4" ht="12.75">
      <c r="A98" s="263">
        <v>7330</v>
      </c>
      <c r="B98" s="241" t="s">
        <v>590</v>
      </c>
      <c r="C98" s="376" t="s">
        <v>590</v>
      </c>
      <c r="D98" s="244"/>
    </row>
    <row r="99" spans="1:4" ht="12.75">
      <c r="A99" s="263">
        <v>7350</v>
      </c>
      <c r="B99" s="241" t="s">
        <v>591</v>
      </c>
      <c r="C99" s="376" t="s">
        <v>591</v>
      </c>
      <c r="D99" s="244"/>
    </row>
    <row r="100" spans="1:4" ht="12.75">
      <c r="A100" s="263">
        <v>7430</v>
      </c>
      <c r="B100" s="241" t="s">
        <v>592</v>
      </c>
      <c r="C100" s="376" t="s">
        <v>592</v>
      </c>
      <c r="D100" s="244"/>
    </row>
    <row r="101" spans="1:4" ht="12.75">
      <c r="A101" s="263">
        <v>7437</v>
      </c>
      <c r="B101" s="241" t="s">
        <v>593</v>
      </c>
      <c r="C101" s="376" t="s">
        <v>593</v>
      </c>
      <c r="D101" s="244"/>
    </row>
    <row r="102" spans="1:4" ht="12.75">
      <c r="A102" s="263">
        <v>7440</v>
      </c>
      <c r="B102" s="241" t="s">
        <v>594</v>
      </c>
      <c r="C102" s="376" t="s">
        <v>594</v>
      </c>
      <c r="D102" s="244"/>
    </row>
    <row r="103" spans="1:4" ht="12.75">
      <c r="A103" s="263">
        <v>7445</v>
      </c>
      <c r="B103" s="241" t="s">
        <v>595</v>
      </c>
      <c r="C103" s="376" t="s">
        <v>595</v>
      </c>
      <c r="D103" s="244"/>
    </row>
    <row r="104" spans="1:4" ht="12.75">
      <c r="A104" s="263">
        <v>7450</v>
      </c>
      <c r="B104" s="241" t="s">
        <v>596</v>
      </c>
      <c r="C104" s="376" t="s">
        <v>596</v>
      </c>
      <c r="D104" s="244"/>
    </row>
  </sheetData>
  <phoneticPr fontId="41" type="noConversion"/>
  <printOptions horizontalCentered="1"/>
  <pageMargins left="0.5" right="0.25" top="0.5" bottom="0.25" header="0.05" footer="0.05"/>
  <pageSetup scale="78" fitToWidth="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ransitionEntry="1" codeName="Sheet103">
    <tabColor rgb="FF66FFFF"/>
    <pageSetUpPr fitToPage="1"/>
  </sheetPr>
  <dimension ref="A1:Q72"/>
  <sheetViews>
    <sheetView workbookViewId="0"/>
  </sheetViews>
  <sheetFormatPr defaultColWidth="10.7109375" defaultRowHeight="12"/>
  <cols>
    <col min="1" max="1" width="4.5703125" style="242" customWidth="1"/>
    <col min="2" max="2" width="4.5703125" style="408" customWidth="1"/>
    <col min="3" max="3" width="45.42578125" style="243" customWidth="1"/>
    <col min="4" max="5" width="12.7109375" style="242" customWidth="1"/>
    <col min="6" max="6" width="14.28515625" style="242" customWidth="1"/>
    <col min="7" max="8" width="12.7109375" style="242" customWidth="1"/>
    <col min="9" max="10" width="10.7109375" style="242"/>
    <col min="11" max="16384" width="10.7109375" style="243"/>
  </cols>
  <sheetData>
    <row r="1" spans="1:12">
      <c r="A1" s="246" t="s">
        <v>329</v>
      </c>
      <c r="B1" s="820"/>
      <c r="C1" s="250"/>
      <c r="D1" s="306"/>
      <c r="E1" s="246"/>
      <c r="F1" s="243"/>
      <c r="G1" s="246"/>
      <c r="H1" s="260" t="s">
        <v>84</v>
      </c>
      <c r="J1" s="793"/>
      <c r="K1" s="794" t="s">
        <v>290</v>
      </c>
      <c r="L1" s="795"/>
    </row>
    <row r="2" spans="1:12">
      <c r="A2" s="246"/>
      <c r="B2" s="820"/>
      <c r="C2" s="250"/>
      <c r="D2" s="306"/>
      <c r="E2" s="246"/>
      <c r="F2" s="243"/>
      <c r="G2" s="246"/>
      <c r="H2" s="260"/>
      <c r="J2" s="796" t="s">
        <v>438</v>
      </c>
      <c r="K2" s="797" t="s">
        <v>262</v>
      </c>
      <c r="L2" s="798" t="s">
        <v>155</v>
      </c>
    </row>
    <row r="3" spans="1:12">
      <c r="A3" s="246" t="s">
        <v>565</v>
      </c>
      <c r="B3" s="820"/>
      <c r="C3" s="250"/>
      <c r="D3" s="306"/>
      <c r="E3" s="246"/>
      <c r="F3" s="243"/>
      <c r="G3" s="246"/>
      <c r="H3" s="260" t="s">
        <v>330</v>
      </c>
      <c r="J3" s="799">
        <f>SUM(K3:L3)</f>
        <v>67320.100000000006</v>
      </c>
      <c r="K3" s="800">
        <v>35101.300000000003</v>
      </c>
      <c r="L3" s="801">
        <v>32218.799999999999</v>
      </c>
    </row>
    <row r="4" spans="1:12">
      <c r="A4" s="246" t="s">
        <v>705</v>
      </c>
      <c r="B4" s="820"/>
      <c r="C4" s="282"/>
      <c r="D4" s="819"/>
      <c r="E4" s="246"/>
      <c r="F4" s="243"/>
      <c r="G4" s="246"/>
      <c r="H4" s="260"/>
      <c r="J4" s="821">
        <f>SUM(K4:L4)</f>
        <v>1</v>
      </c>
      <c r="K4" s="822">
        <f>K3/J3</f>
        <v>0.52140891056311567</v>
      </c>
      <c r="L4" s="823">
        <f>L3/J3</f>
        <v>0.47859108943688433</v>
      </c>
    </row>
    <row r="5" spans="1:12">
      <c r="A5" s="246" t="s">
        <v>566</v>
      </c>
      <c r="B5" s="820"/>
      <c r="C5" s="250"/>
      <c r="D5" s="246"/>
      <c r="E5" s="246"/>
      <c r="F5" s="243"/>
      <c r="G5" s="246"/>
      <c r="H5" s="259" t="s">
        <v>558</v>
      </c>
    </row>
    <row r="6" spans="1:12">
      <c r="A6" s="272" t="s">
        <v>285</v>
      </c>
      <c r="B6" s="820"/>
      <c r="C6" s="250"/>
      <c r="D6" s="246"/>
      <c r="E6" s="246"/>
      <c r="F6" s="243"/>
      <c r="G6" s="246"/>
      <c r="H6" s="260" t="s">
        <v>331</v>
      </c>
    </row>
    <row r="7" spans="1:12">
      <c r="A7" s="246" t="s">
        <v>86</v>
      </c>
      <c r="B7" s="820"/>
      <c r="C7" s="250"/>
      <c r="D7" s="246"/>
      <c r="E7" s="246"/>
      <c r="F7" s="246"/>
      <c r="G7" s="246"/>
      <c r="H7" s="246"/>
    </row>
    <row r="8" spans="1:12">
      <c r="A8" s="246"/>
      <c r="B8" s="820"/>
      <c r="C8" s="250"/>
      <c r="D8" s="246"/>
      <c r="E8" s="246"/>
      <c r="F8" s="246"/>
      <c r="G8" s="246"/>
      <c r="H8" s="246"/>
    </row>
    <row r="9" spans="1:12" ht="23.25" customHeight="1">
      <c r="A9" s="1019" t="s">
        <v>139</v>
      </c>
      <c r="B9" s="1019"/>
      <c r="C9" s="1019"/>
      <c r="D9" s="1019"/>
      <c r="E9" s="1019"/>
      <c r="F9" s="1019"/>
      <c r="G9" s="1019"/>
      <c r="H9" s="1019"/>
      <c r="I9" s="1018" t="s">
        <v>213</v>
      </c>
      <c r="J9" s="1018"/>
      <c r="K9" s="1018"/>
      <c r="L9" s="1018"/>
    </row>
    <row r="10" spans="1:12" ht="12.75" thickBot="1">
      <c r="A10" s="273"/>
      <c r="B10" s="824"/>
      <c r="C10" s="261"/>
      <c r="D10" s="273"/>
      <c r="E10" s="273"/>
      <c r="F10" s="273"/>
      <c r="G10" s="273"/>
      <c r="H10" s="273"/>
    </row>
    <row r="11" spans="1:12">
      <c r="A11" s="246"/>
      <c r="B11" s="825" t="s">
        <v>202</v>
      </c>
      <c r="C11" s="258"/>
      <c r="D11" s="274" t="s">
        <v>203</v>
      </c>
      <c r="E11" s="274" t="s">
        <v>204</v>
      </c>
      <c r="F11" s="274" t="s">
        <v>205</v>
      </c>
      <c r="G11" s="274" t="s">
        <v>429</v>
      </c>
      <c r="H11" s="274" t="s">
        <v>435</v>
      </c>
    </row>
    <row r="12" spans="1:12">
      <c r="A12" s="246"/>
      <c r="B12" s="825"/>
      <c r="C12" s="258"/>
      <c r="D12" s="274" t="s">
        <v>332</v>
      </c>
      <c r="E12" s="246"/>
      <c r="F12" s="274" t="s">
        <v>333</v>
      </c>
      <c r="G12" s="246"/>
      <c r="H12" s="246"/>
    </row>
    <row r="13" spans="1:12">
      <c r="A13" s="434" t="s">
        <v>289</v>
      </c>
      <c r="B13" s="434"/>
      <c r="C13" s="434"/>
      <c r="D13" s="274" t="s">
        <v>334</v>
      </c>
      <c r="E13" s="274" t="s">
        <v>335</v>
      </c>
      <c r="F13" s="274" t="s">
        <v>336</v>
      </c>
      <c r="G13" s="246"/>
      <c r="H13" s="246"/>
    </row>
    <row r="14" spans="1:12" ht="14.25">
      <c r="A14" s="352" t="s">
        <v>351</v>
      </c>
      <c r="B14" s="826" t="s">
        <v>352</v>
      </c>
      <c r="C14" s="405"/>
      <c r="D14" s="353" t="s">
        <v>337</v>
      </c>
      <c r="E14" s="353" t="s">
        <v>338</v>
      </c>
      <c r="F14" s="353" t="s">
        <v>163</v>
      </c>
      <c r="G14" s="353" t="s">
        <v>291</v>
      </c>
      <c r="H14" s="353" t="s">
        <v>73</v>
      </c>
    </row>
    <row r="15" spans="1:12">
      <c r="A15" s="374"/>
    </row>
    <row r="16" spans="1:12">
      <c r="A16" s="275">
        <v>1</v>
      </c>
      <c r="B16" s="827" t="s">
        <v>262</v>
      </c>
      <c r="D16" s="244"/>
      <c r="E16" s="244"/>
      <c r="F16" s="244"/>
      <c r="G16" s="244"/>
      <c r="H16" s="244"/>
    </row>
    <row r="17" spans="1:10">
      <c r="A17" s="275">
        <f>A16+1</f>
        <v>2</v>
      </c>
      <c r="B17" s="827" t="s">
        <v>662</v>
      </c>
      <c r="D17" s="244">
        <f>'TAX EXPENSE'!R11</f>
        <v>746596.85247000004</v>
      </c>
      <c r="E17" s="244">
        <f>'TAX EXPENSE'!R17</f>
        <v>230985.75812399996</v>
      </c>
      <c r="F17" s="244">
        <f>'TAX EXPENSE'!R22</f>
        <v>675134.14063200005</v>
      </c>
      <c r="G17" s="244">
        <f>'TAX EXPENSE'!R28</f>
        <v>764.47146600004862</v>
      </c>
      <c r="H17" s="244">
        <f>SUM(D17:G17)</f>
        <v>1653481.222692</v>
      </c>
    </row>
    <row r="18" spans="1:10">
      <c r="A18" s="275">
        <f t="shared" ref="A18:A40" si="0">A17+1</f>
        <v>3</v>
      </c>
      <c r="B18" s="827"/>
      <c r="D18" s="244"/>
      <c r="E18" s="244"/>
      <c r="F18" s="244"/>
      <c r="G18" s="244"/>
      <c r="H18" s="244"/>
    </row>
    <row r="19" spans="1:10">
      <c r="A19" s="275">
        <f t="shared" si="0"/>
        <v>4</v>
      </c>
      <c r="B19" s="827" t="s">
        <v>34</v>
      </c>
      <c r="D19" s="244"/>
      <c r="E19" s="244"/>
      <c r="F19" s="244"/>
      <c r="G19" s="244"/>
      <c r="H19" s="244"/>
    </row>
    <row r="20" spans="1:10">
      <c r="A20" s="275">
        <f>A19+1</f>
        <v>5</v>
      </c>
      <c r="B20" s="406" t="s">
        <v>669</v>
      </c>
      <c r="D20" s="244"/>
      <c r="E20" s="244"/>
      <c r="F20" s="244"/>
      <c r="G20" s="244"/>
      <c r="H20" s="244"/>
    </row>
    <row r="21" spans="1:10" ht="11.25" customHeight="1">
      <c r="A21" s="275">
        <f t="shared" si="0"/>
        <v>6</v>
      </c>
      <c r="B21" s="828"/>
      <c r="C21" s="1020" t="s">
        <v>671</v>
      </c>
      <c r="D21" s="244"/>
      <c r="E21" s="244"/>
      <c r="F21" s="244"/>
      <c r="G21" s="244"/>
      <c r="H21" s="244"/>
    </row>
    <row r="22" spans="1:10">
      <c r="A22" s="275">
        <f t="shared" si="0"/>
        <v>7</v>
      </c>
      <c r="B22" s="243"/>
      <c r="C22" s="1020"/>
      <c r="D22" s="244">
        <f>'B 3'!G331</f>
        <v>67.147529999958351</v>
      </c>
      <c r="E22" s="244"/>
      <c r="F22" s="244"/>
      <c r="G22" s="244"/>
      <c r="H22" s="244">
        <f>SUM(D22:G22)</f>
        <v>67.147529999958351</v>
      </c>
    </row>
    <row r="23" spans="1:10">
      <c r="A23" s="275">
        <f>A22+1</f>
        <v>8</v>
      </c>
      <c r="B23" s="827"/>
      <c r="E23" s="244"/>
      <c r="F23" s="244"/>
      <c r="G23" s="244"/>
      <c r="H23" s="244"/>
      <c r="J23" s="242">
        <v>180766</v>
      </c>
    </row>
    <row r="24" spans="1:10">
      <c r="A24" s="275">
        <f t="shared" si="0"/>
        <v>9</v>
      </c>
      <c r="B24" s="827" t="s">
        <v>38</v>
      </c>
      <c r="D24" s="829">
        <f>SUM(D17:D23)</f>
        <v>746664</v>
      </c>
      <c r="E24" s="829">
        <f>SUM(E17:E23)</f>
        <v>230985.75812399996</v>
      </c>
      <c r="F24" s="829">
        <f>SUM(F17:F23)</f>
        <v>675134.14063200005</v>
      </c>
      <c r="G24" s="829">
        <f>SUM(G17:G23)</f>
        <v>764.47146600004862</v>
      </c>
      <c r="H24" s="829">
        <f>SUM(H17:H23)</f>
        <v>1653548.3702219999</v>
      </c>
      <c r="I24" s="244"/>
      <c r="J24" s="244">
        <f>SUM(D24:G24)</f>
        <v>1653548.3702219999</v>
      </c>
    </row>
    <row r="25" spans="1:10">
      <c r="A25" s="275">
        <f t="shared" si="0"/>
        <v>10</v>
      </c>
      <c r="B25" s="827"/>
      <c r="D25" s="244"/>
      <c r="E25" s="244"/>
      <c r="F25" s="244"/>
      <c r="G25" s="244"/>
      <c r="H25" s="244"/>
      <c r="J25" s="244">
        <f>J23-J24</f>
        <v>-1472782.3702219999</v>
      </c>
    </row>
    <row r="26" spans="1:10">
      <c r="A26" s="275">
        <f t="shared" si="0"/>
        <v>11</v>
      </c>
      <c r="B26" s="827" t="s">
        <v>35</v>
      </c>
      <c r="D26" s="244"/>
      <c r="E26" s="244"/>
      <c r="F26" s="244"/>
      <c r="G26" s="244"/>
      <c r="H26" s="244"/>
    </row>
    <row r="27" spans="1:10">
      <c r="A27" s="275">
        <f t="shared" si="0"/>
        <v>12</v>
      </c>
      <c r="B27" s="831" t="s">
        <v>33</v>
      </c>
      <c r="D27" s="244"/>
      <c r="E27" s="244"/>
      <c r="F27" s="244"/>
      <c r="G27" s="244"/>
      <c r="H27" s="244"/>
    </row>
    <row r="28" spans="1:10">
      <c r="A28" s="275">
        <f t="shared" si="0"/>
        <v>13</v>
      </c>
      <c r="B28" s="831"/>
      <c r="C28" s="243" t="s">
        <v>1114</v>
      </c>
      <c r="D28" s="244"/>
      <c r="E28" s="244">
        <f>'B 3'!G337</f>
        <v>14889.714556107598</v>
      </c>
      <c r="F28" s="244"/>
      <c r="G28" s="244"/>
      <c r="H28" s="244">
        <f>SUM(D28:G28)</f>
        <v>14889.714556107598</v>
      </c>
    </row>
    <row r="29" spans="1:10">
      <c r="A29" s="275">
        <f t="shared" si="0"/>
        <v>14</v>
      </c>
      <c r="B29" s="827"/>
      <c r="D29" s="244"/>
      <c r="E29" s="244"/>
      <c r="F29" s="244"/>
      <c r="G29" s="244"/>
      <c r="H29" s="244"/>
    </row>
    <row r="30" spans="1:10">
      <c r="A30" s="275">
        <f t="shared" si="0"/>
        <v>15</v>
      </c>
      <c r="B30" s="831" t="s">
        <v>791</v>
      </c>
      <c r="D30" s="244"/>
      <c r="E30" s="244"/>
      <c r="F30" s="244"/>
      <c r="G30" s="244"/>
      <c r="H30" s="244"/>
    </row>
    <row r="31" spans="1:10">
      <c r="A31" s="275">
        <f t="shared" si="0"/>
        <v>16</v>
      </c>
      <c r="B31" s="243"/>
      <c r="C31" s="830" t="s">
        <v>548</v>
      </c>
      <c r="D31" s="244"/>
      <c r="E31" s="244"/>
      <c r="F31" s="244" t="e">
        <f>'B 3'!G349</f>
        <v>#REF!</v>
      </c>
      <c r="G31" s="244"/>
      <c r="H31" s="244" t="e">
        <f>SUM(D31:G31)</f>
        <v>#REF!</v>
      </c>
    </row>
    <row r="32" spans="1:10">
      <c r="A32" s="275">
        <f t="shared" si="0"/>
        <v>17</v>
      </c>
      <c r="B32" s="243"/>
      <c r="C32" s="830"/>
      <c r="D32" s="244"/>
      <c r="E32" s="244"/>
      <c r="F32" s="244"/>
      <c r="G32" s="244"/>
      <c r="H32" s="244"/>
    </row>
    <row r="33" spans="1:10">
      <c r="A33" s="275">
        <f t="shared" si="0"/>
        <v>18</v>
      </c>
      <c r="B33" s="406" t="s">
        <v>557</v>
      </c>
      <c r="C33" s="242"/>
      <c r="D33" s="244"/>
      <c r="E33" s="244"/>
      <c r="F33" s="244"/>
      <c r="G33" s="244"/>
      <c r="H33" s="244"/>
    </row>
    <row r="34" spans="1:10">
      <c r="A34" s="275">
        <f t="shared" si="0"/>
        <v>19</v>
      </c>
      <c r="B34" s="827"/>
      <c r="C34" s="242" t="s">
        <v>673</v>
      </c>
      <c r="D34" s="244">
        <f>'B 3'!G364</f>
        <v>127073</v>
      </c>
      <c r="E34" s="244"/>
      <c r="F34" s="244"/>
      <c r="G34" s="244"/>
      <c r="H34" s="244">
        <f>SUM(D34:G34)</f>
        <v>127073</v>
      </c>
    </row>
    <row r="35" spans="1:10">
      <c r="A35" s="275">
        <f t="shared" si="0"/>
        <v>20</v>
      </c>
      <c r="B35" s="827"/>
      <c r="C35" s="242"/>
      <c r="D35" s="244"/>
      <c r="E35" s="244"/>
      <c r="F35" s="244"/>
      <c r="G35" s="244"/>
      <c r="H35" s="244"/>
    </row>
    <row r="36" spans="1:10" ht="12.75" thickBot="1">
      <c r="A36" s="275">
        <f t="shared" si="0"/>
        <v>21</v>
      </c>
      <c r="B36" s="827" t="s">
        <v>36</v>
      </c>
      <c r="C36" s="242"/>
      <c r="D36" s="791">
        <f>SUM(D24:D35)</f>
        <v>873737</v>
      </c>
      <c r="E36" s="791">
        <f>SUM(E24:E35)</f>
        <v>245875.47268010754</v>
      </c>
      <c r="F36" s="791" t="e">
        <f>SUM(F24:F35)</f>
        <v>#REF!</v>
      </c>
      <c r="G36" s="791">
        <f>SUM(G24:G35)</f>
        <v>764.47146600004862</v>
      </c>
      <c r="H36" s="791" t="e">
        <f>SUM(H24:H35)</f>
        <v>#REF!</v>
      </c>
      <c r="I36" s="244">
        <v>1856598.0000569574</v>
      </c>
    </row>
    <row r="37" spans="1:10" ht="12.75" thickTop="1">
      <c r="A37" s="275">
        <f t="shared" si="0"/>
        <v>22</v>
      </c>
      <c r="B37" s="827"/>
      <c r="C37" s="242"/>
      <c r="D37" s="248"/>
      <c r="E37" s="248"/>
      <c r="F37" s="248"/>
      <c r="G37" s="248"/>
      <c r="H37" s="248"/>
      <c r="I37" s="244">
        <v>0</v>
      </c>
    </row>
    <row r="38" spans="1:10">
      <c r="A38" s="275">
        <f t="shared" si="0"/>
        <v>23</v>
      </c>
      <c r="B38" s="827"/>
      <c r="D38" s="248"/>
      <c r="E38" s="248"/>
      <c r="F38" s="248"/>
      <c r="G38" s="248"/>
      <c r="H38" s="248"/>
      <c r="I38" s="244"/>
    </row>
    <row r="39" spans="1:10">
      <c r="A39" s="275">
        <f t="shared" si="0"/>
        <v>24</v>
      </c>
    </row>
    <row r="40" spans="1:10">
      <c r="A40" s="275">
        <f t="shared" si="0"/>
        <v>25</v>
      </c>
      <c r="B40" s="827" t="s">
        <v>267</v>
      </c>
      <c r="D40" s="244"/>
      <c r="E40" s="244"/>
      <c r="F40" s="244"/>
      <c r="G40" s="244"/>
      <c r="H40" s="244"/>
    </row>
    <row r="41" spans="1:10">
      <c r="A41" s="275">
        <f t="shared" ref="A41:A61" si="1">A40+1</f>
        <v>26</v>
      </c>
      <c r="B41" s="827" t="s">
        <v>662</v>
      </c>
      <c r="D41" s="244">
        <f>'TAX EXPENSE'!S11</f>
        <v>949058.04752999987</v>
      </c>
      <c r="E41" s="244">
        <f>'TAX EXPENSE'!S17</f>
        <v>212024.90187600002</v>
      </c>
      <c r="F41" s="244">
        <f>'TAX EXPENSE'!S22</f>
        <v>710609.169368</v>
      </c>
      <c r="G41" s="244">
        <f>'TAX EXPENSE'!S28</f>
        <v>701.71853400004466</v>
      </c>
      <c r="H41" s="244">
        <f>SUM(D41:G41)</f>
        <v>1872393.8373079998</v>
      </c>
    </row>
    <row r="42" spans="1:10">
      <c r="A42" s="275">
        <f t="shared" si="1"/>
        <v>27</v>
      </c>
      <c r="B42" s="827"/>
      <c r="D42" s="244"/>
      <c r="E42" s="244"/>
      <c r="F42" s="244"/>
      <c r="G42" s="244"/>
      <c r="H42" s="244"/>
    </row>
    <row r="43" spans="1:10">
      <c r="A43" s="275">
        <f t="shared" si="1"/>
        <v>28</v>
      </c>
      <c r="B43" s="827" t="s">
        <v>34</v>
      </c>
      <c r="D43" s="244"/>
      <c r="E43" s="244"/>
      <c r="F43" s="244"/>
      <c r="G43" s="244"/>
      <c r="H43" s="244"/>
    </row>
    <row r="44" spans="1:10">
      <c r="A44" s="275">
        <f t="shared" si="1"/>
        <v>29</v>
      </c>
      <c r="B44" s="406" t="s">
        <v>669</v>
      </c>
      <c r="D44" s="244"/>
      <c r="E44" s="244"/>
      <c r="F44" s="244"/>
      <c r="G44" s="244"/>
      <c r="H44" s="244"/>
    </row>
    <row r="45" spans="1:10" ht="11.25" customHeight="1">
      <c r="A45" s="275">
        <f t="shared" si="1"/>
        <v>30</v>
      </c>
      <c r="B45" s="828"/>
      <c r="C45" s="1020" t="s">
        <v>671</v>
      </c>
      <c r="D45" s="244">
        <f>'B 3'!H331</f>
        <v>-35640.047529999865</v>
      </c>
      <c r="E45" s="244"/>
      <c r="F45" s="244"/>
      <c r="G45" s="244"/>
      <c r="H45" s="244">
        <f>SUM(D45:G45)</f>
        <v>-35640.047529999865</v>
      </c>
    </row>
    <row r="46" spans="1:10" ht="11.25" customHeight="1">
      <c r="A46" s="275">
        <f t="shared" si="1"/>
        <v>31</v>
      </c>
      <c r="B46" s="828"/>
      <c r="C46" s="1020"/>
      <c r="D46" s="244"/>
      <c r="E46" s="244"/>
      <c r="F46" s="244"/>
      <c r="G46" s="244"/>
      <c r="H46" s="244"/>
    </row>
    <row r="47" spans="1:10">
      <c r="A47" s="275">
        <f>A46+1</f>
        <v>32</v>
      </c>
      <c r="B47" s="827"/>
      <c r="E47" s="244"/>
      <c r="F47" s="244"/>
      <c r="G47" s="244"/>
      <c r="H47" s="244"/>
      <c r="J47" s="242">
        <v>180766</v>
      </c>
    </row>
    <row r="48" spans="1:10">
      <c r="A48" s="275">
        <f t="shared" si="1"/>
        <v>33</v>
      </c>
      <c r="B48" s="827" t="s">
        <v>39</v>
      </c>
      <c r="D48" s="829">
        <f>SUM(D41:D47)</f>
        <v>913418</v>
      </c>
      <c r="E48" s="829">
        <f>SUM(E41:E47)</f>
        <v>212024.90187600002</v>
      </c>
      <c r="F48" s="829">
        <f>SUM(F41:F47)</f>
        <v>710609.169368</v>
      </c>
      <c r="G48" s="829">
        <f>SUM(G41:G47)</f>
        <v>701.71853400004466</v>
      </c>
      <c r="H48" s="829">
        <f>SUM(H41:H47)</f>
        <v>1836753.789778</v>
      </c>
    </row>
    <row r="49" spans="1:14">
      <c r="A49" s="275">
        <f t="shared" si="1"/>
        <v>34</v>
      </c>
      <c r="B49" s="827"/>
      <c r="D49" s="244"/>
      <c r="E49" s="244"/>
      <c r="F49" s="244"/>
      <c r="G49" s="244"/>
      <c r="H49" s="244"/>
    </row>
    <row r="50" spans="1:14">
      <c r="A50" s="275">
        <f t="shared" si="1"/>
        <v>35</v>
      </c>
      <c r="B50" s="827" t="s">
        <v>35</v>
      </c>
      <c r="D50" s="244"/>
      <c r="E50" s="244"/>
      <c r="F50" s="244"/>
      <c r="G50" s="244"/>
      <c r="H50" s="244"/>
    </row>
    <row r="51" spans="1:14">
      <c r="A51" s="275">
        <f t="shared" si="1"/>
        <v>36</v>
      </c>
      <c r="B51" s="831" t="s">
        <v>33</v>
      </c>
      <c r="D51" s="244"/>
      <c r="E51" s="244"/>
      <c r="F51" s="244"/>
      <c r="G51" s="244"/>
      <c r="H51" s="244"/>
    </row>
    <row r="52" spans="1:14">
      <c r="A52" s="275">
        <f t="shared" si="1"/>
        <v>37</v>
      </c>
      <c r="B52" s="831"/>
      <c r="C52" s="243" t="s">
        <v>1114</v>
      </c>
      <c r="D52" s="244"/>
      <c r="E52" s="244">
        <f>'B 3'!H337</f>
        <v>13667.467177892402</v>
      </c>
      <c r="F52" s="244"/>
      <c r="G52" s="244"/>
      <c r="H52" s="244">
        <f>SUM(D52:G52)</f>
        <v>13667.467177892402</v>
      </c>
    </row>
    <row r="53" spans="1:14">
      <c r="A53" s="275">
        <f t="shared" si="1"/>
        <v>38</v>
      </c>
      <c r="B53" s="827"/>
      <c r="D53" s="244"/>
      <c r="E53" s="244"/>
      <c r="F53" s="244"/>
      <c r="G53" s="244"/>
      <c r="H53" s="244"/>
    </row>
    <row r="54" spans="1:14">
      <c r="A54" s="275">
        <f t="shared" si="1"/>
        <v>39</v>
      </c>
      <c r="B54" s="831" t="s">
        <v>672</v>
      </c>
      <c r="D54" s="244"/>
      <c r="E54" s="244"/>
      <c r="F54" s="244"/>
      <c r="G54" s="244"/>
      <c r="H54" s="244"/>
    </row>
    <row r="55" spans="1:14">
      <c r="A55" s="275">
        <f t="shared" si="1"/>
        <v>40</v>
      </c>
      <c r="B55" s="243"/>
      <c r="C55" s="830" t="s">
        <v>548</v>
      </c>
      <c r="D55" s="244"/>
      <c r="E55" s="244"/>
      <c r="F55" s="244" t="e">
        <f>'B 3'!H349</f>
        <v>#REF!</v>
      </c>
      <c r="G55" s="244"/>
      <c r="H55" s="244" t="e">
        <f>SUM(D55:G55)</f>
        <v>#REF!</v>
      </c>
    </row>
    <row r="56" spans="1:14">
      <c r="A56" s="275">
        <f t="shared" si="1"/>
        <v>41</v>
      </c>
      <c r="B56" s="243"/>
      <c r="C56" s="830" t="s">
        <v>793</v>
      </c>
      <c r="D56" s="244"/>
      <c r="E56" s="244"/>
      <c r="F56" s="244" t="e">
        <f>'B 3'!H343</f>
        <v>#REF!</v>
      </c>
      <c r="G56" s="244"/>
      <c r="H56" s="244" t="e">
        <f>SUM(D56:G56)</f>
        <v>#REF!</v>
      </c>
    </row>
    <row r="57" spans="1:14">
      <c r="A57" s="275">
        <f t="shared" si="1"/>
        <v>42</v>
      </c>
      <c r="B57" s="243"/>
      <c r="C57" s="830"/>
      <c r="D57" s="244"/>
      <c r="E57" s="244"/>
      <c r="F57" s="244"/>
      <c r="G57" s="244"/>
      <c r="H57" s="244"/>
    </row>
    <row r="58" spans="1:14">
      <c r="A58" s="275">
        <f t="shared" si="1"/>
        <v>43</v>
      </c>
      <c r="B58" s="406" t="s">
        <v>557</v>
      </c>
      <c r="D58" s="244"/>
      <c r="E58" s="244"/>
      <c r="F58" s="244"/>
      <c r="G58" s="244"/>
      <c r="H58" s="244"/>
    </row>
    <row r="59" spans="1:14">
      <c r="A59" s="275">
        <f t="shared" si="1"/>
        <v>44</v>
      </c>
      <c r="B59" s="827"/>
      <c r="C59" s="243" t="s">
        <v>673</v>
      </c>
      <c r="D59" s="244">
        <f>'B 3'!H364</f>
        <v>293822</v>
      </c>
      <c r="E59" s="244"/>
      <c r="F59" s="244"/>
      <c r="G59" s="244"/>
      <c r="H59" s="244">
        <f>SUM(D59:G59)</f>
        <v>293822</v>
      </c>
    </row>
    <row r="60" spans="1:14">
      <c r="A60" s="275">
        <f t="shared" si="1"/>
        <v>45</v>
      </c>
      <c r="B60" s="827"/>
      <c r="D60" s="244"/>
      <c r="E60" s="244"/>
      <c r="F60" s="244"/>
      <c r="G60" s="244"/>
      <c r="H60" s="244"/>
    </row>
    <row r="61" spans="1:14" ht="12.75" thickBot="1">
      <c r="A61" s="275">
        <f t="shared" si="1"/>
        <v>46</v>
      </c>
      <c r="B61" s="827" t="s">
        <v>37</v>
      </c>
      <c r="D61" s="791">
        <f>SUM(D48:D60)</f>
        <v>1207240</v>
      </c>
      <c r="E61" s="791">
        <f>SUM(E48:E60)</f>
        <v>225692.36905389241</v>
      </c>
      <c r="F61" s="791" t="e">
        <f>SUM(F48:F60)</f>
        <v>#REF!</v>
      </c>
      <c r="G61" s="791">
        <f>SUM(G48:G60)</f>
        <v>701.71853400004466</v>
      </c>
      <c r="H61" s="791" t="e">
        <f>SUM(H48:H60)</f>
        <v>#REF!</v>
      </c>
      <c r="I61" s="244">
        <v>2490197.6901467186</v>
      </c>
    </row>
    <row r="62" spans="1:14" ht="12.75" thickTop="1">
      <c r="A62" s="275"/>
      <c r="B62" s="827"/>
      <c r="D62" s="244"/>
      <c r="E62" s="244"/>
      <c r="F62" s="244"/>
      <c r="G62" s="244"/>
      <c r="H62" s="244"/>
      <c r="I62" s="244">
        <v>0</v>
      </c>
    </row>
    <row r="63" spans="1:14" s="408" customFormat="1">
      <c r="A63" s="55"/>
      <c r="C63" s="243"/>
      <c r="D63" s="242"/>
      <c r="E63" s="242"/>
      <c r="F63" s="242"/>
      <c r="G63" s="242"/>
      <c r="H63" s="242"/>
      <c r="I63" s="242"/>
      <c r="J63" s="242"/>
      <c r="K63" s="243"/>
      <c r="L63" s="243"/>
      <c r="M63" s="243"/>
      <c r="N63" s="243"/>
    </row>
    <row r="64" spans="1:14" s="408" customFormat="1">
      <c r="A64" s="55"/>
      <c r="C64" s="243"/>
      <c r="D64" s="242"/>
      <c r="E64" s="242"/>
      <c r="F64" s="242"/>
      <c r="G64" s="242"/>
      <c r="H64" s="242"/>
      <c r="I64" s="242"/>
      <c r="J64" s="242"/>
      <c r="K64" s="243"/>
      <c r="L64" s="243"/>
      <c r="M64" s="243"/>
      <c r="N64" s="243"/>
    </row>
    <row r="65" spans="1:17" s="408" customFormat="1">
      <c r="A65" s="55"/>
      <c r="C65" s="243"/>
      <c r="D65" s="242"/>
      <c r="E65" s="242"/>
      <c r="F65" s="242"/>
      <c r="G65" s="242"/>
      <c r="H65" s="242"/>
      <c r="I65" s="242"/>
      <c r="J65" s="242"/>
      <c r="K65" s="243"/>
      <c r="L65" s="243"/>
      <c r="M65" s="243"/>
      <c r="N65" s="243"/>
    </row>
    <row r="66" spans="1:17" s="408" customFormat="1">
      <c r="A66" s="55"/>
      <c r="C66" s="243"/>
      <c r="D66" s="242"/>
      <c r="E66" s="242"/>
      <c r="F66" s="242"/>
      <c r="G66" s="242"/>
      <c r="H66" s="242"/>
      <c r="I66" s="242"/>
      <c r="J66" s="242"/>
      <c r="K66" s="243"/>
      <c r="L66" s="243"/>
      <c r="M66" s="243"/>
      <c r="N66" s="243"/>
    </row>
    <row r="67" spans="1:17" s="408" customFormat="1">
      <c r="A67" s="55"/>
      <c r="C67" s="243"/>
      <c r="D67" s="242"/>
      <c r="E67" s="242"/>
      <c r="F67" s="242"/>
      <c r="G67" s="242"/>
      <c r="H67" s="242"/>
      <c r="I67" s="242"/>
      <c r="J67" s="242"/>
      <c r="K67" s="243"/>
      <c r="L67" s="243"/>
      <c r="M67" s="243"/>
      <c r="N67" s="243"/>
    </row>
    <row r="68" spans="1:17" s="408" customFormat="1">
      <c r="A68" s="55"/>
      <c r="C68" s="243"/>
      <c r="D68" s="242"/>
      <c r="E68" s="242"/>
      <c r="F68" s="242"/>
      <c r="G68" s="242"/>
      <c r="H68" s="242"/>
      <c r="I68" s="242"/>
      <c r="J68" s="242"/>
      <c r="K68" s="243"/>
      <c r="L68" s="243"/>
      <c r="M68" s="243"/>
      <c r="N68" s="243"/>
    </row>
    <row r="69" spans="1:17" s="408" customFormat="1">
      <c r="A69" s="55"/>
      <c r="C69" s="243"/>
      <c r="D69" s="242"/>
      <c r="E69" s="242"/>
      <c r="F69" s="242"/>
      <c r="G69" s="242"/>
      <c r="H69" s="242"/>
      <c r="I69" s="242"/>
      <c r="J69" s="242"/>
      <c r="K69" s="243"/>
      <c r="L69" s="243"/>
      <c r="M69" s="243"/>
      <c r="N69" s="243"/>
    </row>
    <row r="70" spans="1:17" s="408" customFormat="1">
      <c r="A70" s="55"/>
      <c r="C70" s="243"/>
      <c r="D70" s="242"/>
      <c r="E70" s="242"/>
      <c r="F70" s="242"/>
      <c r="G70" s="242"/>
      <c r="H70" s="242"/>
      <c r="I70" s="242"/>
      <c r="J70" s="242"/>
      <c r="K70" s="243"/>
      <c r="L70" s="243"/>
      <c r="M70" s="243"/>
      <c r="N70" s="243"/>
    </row>
    <row r="71" spans="1:17" s="408" customFormat="1">
      <c r="A71" s="55"/>
      <c r="C71" s="243"/>
      <c r="D71" s="242"/>
      <c r="E71" s="242"/>
      <c r="F71" s="242"/>
      <c r="G71" s="242"/>
      <c r="H71" s="242"/>
      <c r="I71" s="242"/>
      <c r="J71" s="242"/>
      <c r="K71" s="243"/>
      <c r="L71" s="243"/>
      <c r="M71" s="243"/>
      <c r="N71" s="243"/>
    </row>
    <row r="72" spans="1:17" s="408" customFormat="1">
      <c r="A72" s="242"/>
      <c r="C72" s="243"/>
      <c r="D72" s="242"/>
      <c r="E72" s="242"/>
      <c r="F72" s="242"/>
      <c r="G72" s="242"/>
      <c r="H72" s="242"/>
      <c r="I72" s="242"/>
      <c r="J72" s="242"/>
      <c r="K72" s="243"/>
      <c r="L72" s="243"/>
      <c r="M72" s="243"/>
      <c r="N72" s="243"/>
      <c r="O72" s="243"/>
      <c r="P72" s="243"/>
      <c r="Q72" s="243"/>
    </row>
  </sheetData>
  <mergeCells count="4">
    <mergeCell ref="I9:L9"/>
    <mergeCell ref="A9:H9"/>
    <mergeCell ref="C21:C22"/>
    <mergeCell ref="C45:C46"/>
  </mergeCells>
  <phoneticPr fontId="41" type="noConversion"/>
  <printOptions horizontalCentered="1"/>
  <pageMargins left="0.5" right="0.25" top="0.5" bottom="0.25" header="0.05" footer="0.05"/>
  <pageSetup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FFFF"/>
  </sheetPr>
  <dimension ref="A1:S62"/>
  <sheetViews>
    <sheetView workbookViewId="0"/>
  </sheetViews>
  <sheetFormatPr defaultRowHeight="12.75"/>
  <cols>
    <col min="1" max="1" width="21.28515625" bestFit="1" customWidth="1"/>
    <col min="2" max="2" width="10.5703125" bestFit="1" customWidth="1"/>
    <col min="3" max="3" width="9.28515625" bestFit="1" customWidth="1"/>
    <col min="4" max="4" width="9.5703125" bestFit="1" customWidth="1"/>
    <col min="5" max="5" width="9.5703125" customWidth="1"/>
    <col min="6" max="6" width="9.5703125" bestFit="1" customWidth="1"/>
    <col min="8" max="8" width="9.5703125" bestFit="1" customWidth="1"/>
    <col min="9" max="9" width="9.5703125" customWidth="1"/>
    <col min="10" max="12" width="10.5703125" bestFit="1" customWidth="1"/>
    <col min="13" max="13" width="9.5703125" customWidth="1"/>
    <col min="17" max="17" width="10.7109375" bestFit="1" customWidth="1"/>
    <col min="19" max="19" width="12.28515625" bestFit="1" customWidth="1"/>
  </cols>
  <sheetData>
    <row r="1" spans="1:19">
      <c r="A1" t="s">
        <v>826</v>
      </c>
    </row>
    <row r="2" spans="1:19">
      <c r="R2" t="s">
        <v>827</v>
      </c>
    </row>
    <row r="3" spans="1:19" ht="15">
      <c r="B3" s="1021" t="s">
        <v>649</v>
      </c>
      <c r="C3" s="1021"/>
      <c r="D3" s="1021"/>
      <c r="E3" s="123"/>
      <c r="F3" s="1021" t="s">
        <v>828</v>
      </c>
      <c r="G3" s="1021"/>
      <c r="H3" s="1021"/>
      <c r="I3" s="123"/>
      <c r="J3" s="1021" t="s">
        <v>829</v>
      </c>
      <c r="K3" s="1021"/>
      <c r="L3" s="1021"/>
      <c r="M3" s="123"/>
      <c r="N3" s="124" t="s">
        <v>438</v>
      </c>
      <c r="O3" s="124" t="s">
        <v>54</v>
      </c>
      <c r="P3" s="124" t="s">
        <v>816</v>
      </c>
      <c r="Q3" s="124" t="s">
        <v>830</v>
      </c>
      <c r="R3" s="124" t="s">
        <v>54</v>
      </c>
      <c r="S3" s="124" t="s">
        <v>816</v>
      </c>
    </row>
    <row r="4" spans="1:19" ht="15">
      <c r="B4" s="125">
        <v>5480</v>
      </c>
      <c r="C4" s="125">
        <v>5485</v>
      </c>
      <c r="D4" s="125">
        <v>5490</v>
      </c>
      <c r="E4" s="123" t="s">
        <v>73</v>
      </c>
      <c r="F4" s="125">
        <v>5480</v>
      </c>
      <c r="G4" s="125">
        <v>5485</v>
      </c>
      <c r="H4" s="125">
        <v>5490</v>
      </c>
      <c r="I4" s="123" t="s">
        <v>73</v>
      </c>
      <c r="J4" s="125">
        <v>5480</v>
      </c>
      <c r="K4" s="125">
        <v>5485</v>
      </c>
      <c r="L4" s="125">
        <v>5490</v>
      </c>
      <c r="M4" s="123" t="s">
        <v>73</v>
      </c>
      <c r="N4" s="125"/>
      <c r="R4" s="60"/>
      <c r="S4" s="60"/>
    </row>
    <row r="5" spans="1:19" ht="15">
      <c r="B5" s="126" t="s">
        <v>831</v>
      </c>
      <c r="C5" s="126" t="s">
        <v>832</v>
      </c>
      <c r="D5" s="126" t="s">
        <v>291</v>
      </c>
      <c r="E5" s="77"/>
      <c r="F5" s="126" t="s">
        <v>831</v>
      </c>
      <c r="G5" s="126" t="s">
        <v>832</v>
      </c>
      <c r="H5" s="126" t="s">
        <v>291</v>
      </c>
      <c r="I5" s="77"/>
      <c r="J5" s="126" t="s">
        <v>831</v>
      </c>
      <c r="K5" s="126" t="s">
        <v>832</v>
      </c>
      <c r="L5" s="126" t="s">
        <v>291</v>
      </c>
      <c r="M5" s="77"/>
      <c r="R5" s="60"/>
      <c r="S5" s="60"/>
    </row>
    <row r="6" spans="1:19" ht="15">
      <c r="A6" t="s">
        <v>579</v>
      </c>
      <c r="B6" s="60">
        <v>15585</v>
      </c>
      <c r="C6" s="60">
        <v>330</v>
      </c>
      <c r="D6" s="60">
        <v>6151</v>
      </c>
      <c r="E6" s="127">
        <f>SUM(B6:D6)</f>
        <v>22066</v>
      </c>
      <c r="F6" s="60">
        <v>7282.6</v>
      </c>
      <c r="G6" s="60"/>
      <c r="H6" s="60">
        <v>2358</v>
      </c>
      <c r="I6" s="127">
        <f>SUM(F6:H6)</f>
        <v>9640.6</v>
      </c>
      <c r="J6" s="60">
        <v>8270.6</v>
      </c>
      <c r="K6" s="128">
        <v>1078.67</v>
      </c>
      <c r="L6" s="128">
        <v>2066.89</v>
      </c>
      <c r="M6" s="127">
        <f>SUM(J6:L6)</f>
        <v>11416.16</v>
      </c>
      <c r="N6" s="129">
        <f>+M6+I6</f>
        <v>21056.760000000002</v>
      </c>
      <c r="O6" s="68">
        <v>0.45783871782743407</v>
      </c>
      <c r="P6" s="68">
        <v>0.54216128217256587</v>
      </c>
      <c r="Q6" s="130">
        <f>+N6-E6</f>
        <v>-1009.239999999998</v>
      </c>
      <c r="R6" s="60"/>
      <c r="S6" s="128">
        <v>3145.46</v>
      </c>
    </row>
    <row r="7" spans="1:19" ht="15">
      <c r="B7" s="60"/>
      <c r="C7" s="60"/>
      <c r="D7" s="60"/>
      <c r="E7" s="127"/>
      <c r="F7" s="60"/>
      <c r="G7" s="60"/>
      <c r="H7" s="60"/>
      <c r="I7" s="127"/>
      <c r="J7" s="60"/>
      <c r="K7" s="60"/>
      <c r="L7" s="60"/>
      <c r="M7" s="127"/>
      <c r="N7" s="77"/>
      <c r="R7" s="60"/>
      <c r="S7" s="60"/>
    </row>
    <row r="8" spans="1:19" ht="15">
      <c r="A8" s="77" t="s">
        <v>577</v>
      </c>
      <c r="B8" s="113">
        <v>24157</v>
      </c>
      <c r="C8" s="113">
        <v>1043</v>
      </c>
      <c r="D8" s="113">
        <v>880</v>
      </c>
      <c r="E8" s="127">
        <f>SUM(B8:D8)</f>
        <v>26080</v>
      </c>
      <c r="F8" s="60"/>
      <c r="G8" s="60"/>
      <c r="H8" s="60"/>
      <c r="I8" s="127">
        <f>SUM(F8:H8)</f>
        <v>0</v>
      </c>
      <c r="J8" s="60">
        <v>27066</v>
      </c>
      <c r="K8" s="60"/>
      <c r="L8" s="60"/>
      <c r="M8" s="127">
        <f>SUM(J8:L8)</f>
        <v>27066</v>
      </c>
      <c r="N8" s="129">
        <f>+M8+I8</f>
        <v>27066</v>
      </c>
      <c r="O8" s="68"/>
      <c r="P8" s="68">
        <v>1</v>
      </c>
      <c r="Q8" s="130">
        <f>+N8-E8</f>
        <v>986</v>
      </c>
      <c r="R8" s="60"/>
      <c r="S8" s="60"/>
    </row>
    <row r="9" spans="1:19">
      <c r="R9" s="60"/>
      <c r="S9" s="60"/>
    </row>
    <row r="10" spans="1:19" ht="15">
      <c r="A10" t="s">
        <v>576</v>
      </c>
      <c r="B10" s="113">
        <v>9658</v>
      </c>
      <c r="C10" s="113">
        <v>693.52</v>
      </c>
      <c r="D10" s="113">
        <v>2732.28</v>
      </c>
      <c r="E10" s="127">
        <f>SUM(B10:D10)</f>
        <v>13083.800000000001</v>
      </c>
      <c r="F10" s="60">
        <v>1976</v>
      </c>
      <c r="G10" s="60"/>
      <c r="H10" s="60"/>
      <c r="I10" s="127">
        <f>SUM(F10:H10)</f>
        <v>1976</v>
      </c>
      <c r="J10" s="60">
        <v>8645</v>
      </c>
      <c r="K10" s="128">
        <v>1079</v>
      </c>
      <c r="L10" s="128">
        <v>2512</v>
      </c>
      <c r="M10" s="127">
        <f>SUM(J10:L10)</f>
        <v>12236</v>
      </c>
      <c r="N10" s="129">
        <f>+M10+I10</f>
        <v>14212</v>
      </c>
      <c r="O10" s="68">
        <v>0.13903684617149098</v>
      </c>
      <c r="P10" s="68">
        <v>0.86096315382850908</v>
      </c>
      <c r="Q10" s="130">
        <f>+N10-E10</f>
        <v>1128.1999999999989</v>
      </c>
      <c r="R10" s="60"/>
      <c r="S10" s="128">
        <v>3591</v>
      </c>
    </row>
    <row r="11" spans="1:19" ht="15">
      <c r="B11" s="60"/>
      <c r="C11" s="60"/>
      <c r="D11" s="60"/>
      <c r="E11" s="127"/>
      <c r="F11" s="60"/>
      <c r="G11" s="60"/>
      <c r="H11" s="60"/>
      <c r="I11" s="127"/>
      <c r="J11" s="60"/>
      <c r="K11" s="60"/>
      <c r="L11" s="60"/>
      <c r="M11" s="127"/>
      <c r="N11" s="77"/>
      <c r="R11" s="60"/>
      <c r="S11" s="60"/>
    </row>
    <row r="12" spans="1:19" ht="15">
      <c r="A12" t="s">
        <v>575</v>
      </c>
      <c r="B12" s="60">
        <v>3001</v>
      </c>
      <c r="C12" s="60"/>
      <c r="D12" s="60"/>
      <c r="E12" s="127">
        <f>SUM(B12:D12)</f>
        <v>3001</v>
      </c>
      <c r="F12" s="60">
        <v>611</v>
      </c>
      <c r="G12" s="60"/>
      <c r="H12" s="60"/>
      <c r="I12" s="127">
        <f>SUM(F12:H12)</f>
        <v>611</v>
      </c>
      <c r="J12" s="60">
        <v>2372.5</v>
      </c>
      <c r="K12" s="60"/>
      <c r="L12" s="60"/>
      <c r="M12" s="127">
        <f>SUM(J12:L12)</f>
        <v>2372.5</v>
      </c>
      <c r="N12" s="129">
        <f>+M12+I12</f>
        <v>2983.5</v>
      </c>
      <c r="O12" s="68">
        <f>+F12/N12</f>
        <v>0.20479302832244009</v>
      </c>
      <c r="P12" s="68">
        <f>+J12/N12</f>
        <v>0.79520697167755994</v>
      </c>
      <c r="Q12" s="130">
        <f>+N12-E12</f>
        <v>-17.5</v>
      </c>
      <c r="R12" s="60"/>
      <c r="S12" s="60"/>
    </row>
    <row r="13" spans="1:19" ht="15">
      <c r="B13" s="60"/>
      <c r="C13" s="60"/>
      <c r="D13" s="60"/>
      <c r="E13" s="127"/>
      <c r="F13" s="60"/>
      <c r="G13" s="60"/>
      <c r="H13" s="60"/>
      <c r="I13" s="127"/>
      <c r="J13" s="60"/>
      <c r="K13" s="60"/>
      <c r="L13" s="60"/>
      <c r="M13" s="127"/>
      <c r="N13" s="77"/>
      <c r="R13" s="60"/>
      <c r="S13" s="60"/>
    </row>
    <row r="14" spans="1:19" ht="15">
      <c r="A14" t="s">
        <v>571</v>
      </c>
      <c r="B14" s="60">
        <v>105651</v>
      </c>
      <c r="C14" s="60"/>
      <c r="D14" s="60">
        <v>43845</v>
      </c>
      <c r="E14" s="127">
        <f>SUM(B14:D14)</f>
        <v>149496</v>
      </c>
      <c r="F14" s="60">
        <v>35405</v>
      </c>
      <c r="G14" s="60"/>
      <c r="H14" s="128">
        <v>118301</v>
      </c>
      <c r="I14" s="127">
        <f>SUM(F14:H14)</f>
        <v>153706</v>
      </c>
      <c r="J14" s="60"/>
      <c r="K14" s="60"/>
      <c r="L14" s="128">
        <v>37078</v>
      </c>
      <c r="M14" s="127">
        <f>SUM(J14:L14)</f>
        <v>37078</v>
      </c>
      <c r="N14" s="129">
        <f>+M14+I14</f>
        <v>190784</v>
      </c>
      <c r="O14" s="68">
        <f>+F14/N14</f>
        <v>0.18557635860449515</v>
      </c>
      <c r="P14" s="68">
        <f>+J14/N14</f>
        <v>0</v>
      </c>
      <c r="Q14" s="131">
        <f>+N14-E14</f>
        <v>41288</v>
      </c>
      <c r="R14" s="128">
        <v>1400</v>
      </c>
      <c r="S14" s="128">
        <v>5421.25</v>
      </c>
    </row>
    <row r="15" spans="1:19" ht="15">
      <c r="B15" s="60"/>
      <c r="C15" s="60"/>
      <c r="D15" s="60"/>
      <c r="E15" s="127"/>
      <c r="F15" s="60"/>
      <c r="G15" s="60"/>
      <c r="H15" s="60"/>
      <c r="I15" s="127"/>
      <c r="J15" s="60"/>
      <c r="K15" s="60"/>
      <c r="L15" s="60"/>
      <c r="M15" s="127"/>
      <c r="N15" s="77"/>
      <c r="R15" s="60"/>
      <c r="S15" s="60"/>
    </row>
    <row r="16" spans="1:19" ht="15">
      <c r="A16" t="s">
        <v>573</v>
      </c>
      <c r="B16" s="113">
        <v>60375.11</v>
      </c>
      <c r="C16" s="113">
        <v>45015.51</v>
      </c>
      <c r="D16" s="113">
        <v>85527.5</v>
      </c>
      <c r="E16" s="127">
        <f>SUM(B16:D16)</f>
        <v>190918.12</v>
      </c>
      <c r="F16" s="60"/>
      <c r="G16" s="60"/>
      <c r="H16" s="60"/>
      <c r="I16" s="127">
        <f>SUM(F16:H16)</f>
        <v>0</v>
      </c>
      <c r="J16" s="58">
        <v>59446.400000000001</v>
      </c>
      <c r="K16" s="58">
        <v>38509.47</v>
      </c>
      <c r="L16" s="132">
        <f>78144.74+11525</f>
        <v>89669.74</v>
      </c>
      <c r="M16" s="127">
        <f>SUM(J16:L16)</f>
        <v>187625.61</v>
      </c>
      <c r="N16" s="129">
        <f>+M16+I16</f>
        <v>187625.61</v>
      </c>
      <c r="P16" s="68">
        <v>1</v>
      </c>
      <c r="Q16" s="130">
        <f>+N16-E16</f>
        <v>-3292.5100000000093</v>
      </c>
      <c r="R16" s="60"/>
      <c r="S16" s="128">
        <v>11525</v>
      </c>
    </row>
    <row r="17" spans="1:19" ht="15">
      <c r="B17" s="60"/>
      <c r="C17" s="60"/>
      <c r="D17" s="60"/>
      <c r="E17" s="127"/>
      <c r="F17" s="60"/>
      <c r="G17" s="60"/>
      <c r="H17" s="60"/>
      <c r="I17" s="127"/>
      <c r="J17" s="60"/>
      <c r="K17" s="60"/>
      <c r="L17" s="60"/>
      <c r="M17" s="127"/>
      <c r="N17" s="77"/>
      <c r="R17" s="60"/>
      <c r="S17" s="60"/>
    </row>
    <row r="18" spans="1:19" ht="15">
      <c r="A18" t="s">
        <v>572</v>
      </c>
      <c r="B18" s="113">
        <v>19821</v>
      </c>
      <c r="C18" s="113"/>
      <c r="D18" s="113">
        <v>17361</v>
      </c>
      <c r="E18" s="127">
        <f>SUM(B18:D18)</f>
        <v>37182</v>
      </c>
      <c r="F18" s="60">
        <v>8746.4</v>
      </c>
      <c r="G18" s="60"/>
      <c r="H18" s="60">
        <v>15078.84</v>
      </c>
      <c r="I18" s="127">
        <f>SUM(F18:H18)</f>
        <v>23825.239999999998</v>
      </c>
      <c r="J18" s="60">
        <v>10980</v>
      </c>
      <c r="K18" s="60"/>
      <c r="L18" s="128">
        <v>1842</v>
      </c>
      <c r="M18" s="127">
        <f>SUM(J18:L18)</f>
        <v>12822</v>
      </c>
      <c r="N18" s="129">
        <f>+M18+I18</f>
        <v>36647.24</v>
      </c>
      <c r="O18" s="68">
        <v>0.68453026038607978</v>
      </c>
      <c r="P18" s="68">
        <v>0.31546973961392027</v>
      </c>
      <c r="Q18" s="130">
        <f>+N18-E18</f>
        <v>-534.76000000000204</v>
      </c>
      <c r="R18" s="60"/>
      <c r="S18" s="128">
        <v>1842</v>
      </c>
    </row>
    <row r="19" spans="1:19" ht="15">
      <c r="B19" s="60"/>
      <c r="C19" s="60"/>
      <c r="D19" s="60"/>
      <c r="E19" s="127"/>
      <c r="F19" s="60"/>
      <c r="G19" s="60"/>
      <c r="H19" s="60"/>
      <c r="I19" s="127"/>
      <c r="J19" s="60"/>
      <c r="K19" s="60"/>
      <c r="L19" s="60"/>
      <c r="M19" s="127"/>
      <c r="N19" s="77"/>
      <c r="R19" s="60"/>
      <c r="S19" s="60"/>
    </row>
    <row r="20" spans="1:19" ht="15">
      <c r="A20" t="s">
        <v>581</v>
      </c>
      <c r="B20" s="60">
        <v>207</v>
      </c>
      <c r="C20" s="60">
        <v>756</v>
      </c>
      <c r="D20" s="60"/>
      <c r="E20" s="127">
        <f>SUM(B20:D20)</f>
        <v>963</v>
      </c>
      <c r="F20" s="60"/>
      <c r="G20" s="60"/>
      <c r="H20" s="60"/>
      <c r="I20" s="127">
        <f>SUM(F20:H20)</f>
        <v>0</v>
      </c>
      <c r="J20" s="60"/>
      <c r="K20" s="128">
        <v>963</v>
      </c>
      <c r="L20" s="60"/>
      <c r="M20" s="127">
        <f>SUM(J20:L20)</f>
        <v>963</v>
      </c>
      <c r="N20" s="129">
        <f>+M20+I20</f>
        <v>963</v>
      </c>
      <c r="P20" s="68">
        <v>1</v>
      </c>
      <c r="Q20" s="130">
        <f>+N20-E20</f>
        <v>0</v>
      </c>
      <c r="R20" s="60"/>
      <c r="S20" s="128">
        <v>963</v>
      </c>
    </row>
    <row r="21" spans="1:19" ht="15">
      <c r="B21" s="60"/>
      <c r="C21" s="60"/>
      <c r="D21" s="60"/>
      <c r="E21" s="127"/>
      <c r="F21" s="60"/>
      <c r="G21" s="60"/>
      <c r="H21" s="60"/>
      <c r="I21" s="127"/>
      <c r="J21" s="60"/>
      <c r="K21" s="60"/>
      <c r="L21" s="60"/>
      <c r="M21" s="127"/>
      <c r="N21" s="77"/>
      <c r="R21" s="60"/>
      <c r="S21" s="60"/>
    </row>
    <row r="22" spans="1:19" ht="15">
      <c r="A22" t="s">
        <v>580</v>
      </c>
      <c r="B22" s="113">
        <v>286694.3</v>
      </c>
      <c r="C22" s="113">
        <v>933.96</v>
      </c>
      <c r="D22" s="113">
        <v>98858.19</v>
      </c>
      <c r="E22" s="127">
        <f>SUM(B22:D22)</f>
        <v>386486.45</v>
      </c>
      <c r="F22" s="60">
        <v>145186.4</v>
      </c>
      <c r="G22" s="60"/>
      <c r="H22" s="60">
        <f>44001.12+81.49</f>
        <v>44082.61</v>
      </c>
      <c r="I22" s="127">
        <f>SUM(F22:H22)</f>
        <v>189269.01</v>
      </c>
      <c r="J22" s="60">
        <v>155351.1</v>
      </c>
      <c r="K22" s="60">
        <f>19619+20162.94</f>
        <v>39781.94</v>
      </c>
      <c r="L22" s="128">
        <v>32107</v>
      </c>
      <c r="M22" s="127">
        <f>SUM(J22:L22)</f>
        <v>227240.04</v>
      </c>
      <c r="N22" s="129">
        <f>+M22+I22</f>
        <v>416509.05000000005</v>
      </c>
      <c r="O22" s="68">
        <v>0.49226489290822512</v>
      </c>
      <c r="P22" s="68">
        <v>0.50773510709177483</v>
      </c>
      <c r="Q22" s="130">
        <f>+N22-E22</f>
        <v>30022.600000000035</v>
      </c>
      <c r="R22" s="69">
        <v>81.489999999999995</v>
      </c>
      <c r="S22" s="133">
        <v>32106.77</v>
      </c>
    </row>
    <row r="23" spans="1:19" ht="15">
      <c r="B23" s="60"/>
      <c r="C23" s="60"/>
      <c r="D23" s="60"/>
      <c r="E23" s="127"/>
      <c r="F23" s="60"/>
      <c r="G23" s="60"/>
      <c r="H23" s="60"/>
      <c r="I23" s="127"/>
      <c r="J23" s="60"/>
      <c r="K23" s="60"/>
      <c r="L23" s="60"/>
      <c r="M23" s="127"/>
      <c r="N23" s="77"/>
      <c r="R23" s="60"/>
      <c r="S23" s="60"/>
    </row>
    <row r="24" spans="1:19" ht="15">
      <c r="A24" s="77" t="s">
        <v>833</v>
      </c>
      <c r="B24" s="60"/>
      <c r="C24" s="60"/>
      <c r="D24" s="60"/>
      <c r="E24" s="127"/>
      <c r="F24" s="60"/>
      <c r="G24" s="60"/>
      <c r="H24" s="60"/>
      <c r="I24" s="127"/>
      <c r="J24" s="60"/>
      <c r="K24" s="60"/>
      <c r="L24" s="60"/>
      <c r="M24" s="127"/>
      <c r="N24" s="77"/>
      <c r="R24" s="60"/>
      <c r="S24" s="60"/>
    </row>
    <row r="25" spans="1:19" ht="15">
      <c r="A25" t="s">
        <v>834</v>
      </c>
      <c r="B25" s="60">
        <v>1510</v>
      </c>
      <c r="C25" s="60"/>
      <c r="D25" s="60"/>
      <c r="E25" s="127"/>
      <c r="F25" s="60">
        <v>1508</v>
      </c>
      <c r="G25" s="60"/>
      <c r="H25" s="60"/>
      <c r="I25" s="127"/>
      <c r="J25" s="60"/>
      <c r="K25" s="60"/>
      <c r="L25" s="60"/>
      <c r="M25" s="127"/>
      <c r="N25" s="77"/>
      <c r="R25" s="60"/>
      <c r="S25" s="60"/>
    </row>
    <row r="26" spans="1:19" ht="15">
      <c r="A26" t="s">
        <v>835</v>
      </c>
      <c r="B26" s="60">
        <v>3194</v>
      </c>
      <c r="C26" s="60"/>
      <c r="D26" s="60">
        <v>160</v>
      </c>
      <c r="E26" s="127"/>
      <c r="F26" s="60"/>
      <c r="G26" s="60"/>
      <c r="H26" s="60"/>
      <c r="I26" s="127"/>
      <c r="J26" s="60">
        <v>3198</v>
      </c>
      <c r="K26" s="60"/>
      <c r="L26" s="128">
        <v>160</v>
      </c>
      <c r="M26" s="127"/>
      <c r="N26" s="77"/>
      <c r="R26" s="60"/>
      <c r="S26" s="60"/>
    </row>
    <row r="27" spans="1:19" ht="15">
      <c r="B27" s="60"/>
      <c r="C27" s="60"/>
      <c r="D27" s="60"/>
      <c r="E27" s="129">
        <f>SUM(B25:D26)</f>
        <v>4864</v>
      </c>
      <c r="F27" s="60"/>
      <c r="G27" s="60"/>
      <c r="H27" s="60"/>
      <c r="I27" s="129">
        <f>SUM(F25:H26)</f>
        <v>1508</v>
      </c>
      <c r="J27" s="60"/>
      <c r="K27" s="60"/>
      <c r="L27" s="60"/>
      <c r="M27" s="129">
        <f>SUM(J25:L26)</f>
        <v>3358</v>
      </c>
      <c r="N27" s="129">
        <f>+M27+I27</f>
        <v>4866</v>
      </c>
      <c r="O27" s="68">
        <f>+I27/M27</f>
        <v>0.44907683144729005</v>
      </c>
      <c r="P27" s="68">
        <f>+M27/N27</f>
        <v>0.69009453349773942</v>
      </c>
      <c r="Q27" s="130">
        <f>+N27-E27</f>
        <v>2</v>
      </c>
      <c r="R27" s="60"/>
      <c r="S27" s="128">
        <v>160</v>
      </c>
    </row>
    <row r="28" spans="1:19" ht="15">
      <c r="B28" s="60"/>
      <c r="C28" s="60"/>
      <c r="D28" s="60"/>
      <c r="F28" s="60"/>
      <c r="G28" s="60"/>
      <c r="H28" s="60"/>
      <c r="J28" s="60"/>
      <c r="K28" s="60"/>
      <c r="L28" s="60"/>
      <c r="N28" s="77"/>
      <c r="R28" s="60"/>
      <c r="S28" s="60"/>
    </row>
    <row r="29" spans="1:19" ht="15">
      <c r="A29" s="77" t="s">
        <v>836</v>
      </c>
      <c r="B29" s="60"/>
      <c r="C29" s="60"/>
      <c r="D29" s="60"/>
      <c r="F29" s="60"/>
      <c r="G29" s="60"/>
      <c r="H29" s="60"/>
      <c r="J29" s="60"/>
      <c r="K29" s="60"/>
      <c r="L29" s="60"/>
      <c r="R29" s="60"/>
      <c r="S29" s="60"/>
    </row>
    <row r="30" spans="1:19" ht="15">
      <c r="A30" t="s">
        <v>837</v>
      </c>
      <c r="B30" s="134"/>
      <c r="C30" s="134"/>
      <c r="D30" s="134"/>
      <c r="E30" s="127">
        <f>SUM(B30:D30)</f>
        <v>0</v>
      </c>
      <c r="F30" s="60">
        <v>2362.1</v>
      </c>
      <c r="G30" s="60"/>
      <c r="H30" s="60"/>
      <c r="I30" s="127">
        <f>SUM(F30:H30)</f>
        <v>2362.1</v>
      </c>
      <c r="J30" s="60"/>
      <c r="K30" s="60"/>
      <c r="L30" s="60"/>
      <c r="M30" s="127">
        <f>SUM(J30:L30)</f>
        <v>0</v>
      </c>
      <c r="N30" s="129">
        <f t="shared" ref="N30:N38" si="0">+M30+I30</f>
        <v>2362.1</v>
      </c>
      <c r="O30" s="68">
        <v>1</v>
      </c>
      <c r="P30" s="68"/>
      <c r="Q30" s="135">
        <f t="shared" ref="Q30:Q38" si="1">+N30-E30</f>
        <v>2362.1</v>
      </c>
      <c r="R30" s="60"/>
      <c r="S30" s="60"/>
    </row>
    <row r="31" spans="1:19" ht="15">
      <c r="A31" t="s">
        <v>838</v>
      </c>
      <c r="B31" s="134"/>
      <c r="C31" s="134"/>
      <c r="D31" s="134"/>
      <c r="E31" s="127">
        <f>SUM(B31:D31)</f>
        <v>0</v>
      </c>
      <c r="F31" s="60">
        <v>3927.3</v>
      </c>
      <c r="G31" s="60"/>
      <c r="H31" s="60">
        <v>405.84</v>
      </c>
      <c r="I31" s="127">
        <f>SUM(F31:H31)</f>
        <v>4333.1400000000003</v>
      </c>
      <c r="J31" s="60"/>
      <c r="K31" s="60"/>
      <c r="L31" s="60"/>
      <c r="M31" s="127">
        <f>SUM(J31:L31)</f>
        <v>0</v>
      </c>
      <c r="N31" s="129">
        <f t="shared" si="0"/>
        <v>4333.1400000000003</v>
      </c>
      <c r="O31" s="68">
        <v>1</v>
      </c>
      <c r="Q31" s="135">
        <f t="shared" si="1"/>
        <v>4333.1400000000003</v>
      </c>
      <c r="R31" s="60"/>
      <c r="S31" s="60"/>
    </row>
    <row r="32" spans="1:19" ht="15">
      <c r="A32" t="s">
        <v>839</v>
      </c>
      <c r="B32" s="60">
        <v>397.5</v>
      </c>
      <c r="C32" s="60"/>
      <c r="D32" s="60"/>
      <c r="E32" s="127">
        <f>SUM(B32:D32)</f>
        <v>397.5</v>
      </c>
      <c r="F32" s="60">
        <v>396.5</v>
      </c>
      <c r="G32" s="60"/>
      <c r="H32" s="60"/>
      <c r="I32" s="127">
        <f>SUM(F32:H32)</f>
        <v>396.5</v>
      </c>
      <c r="J32" s="60"/>
      <c r="K32" s="60"/>
      <c r="L32" s="60"/>
      <c r="M32" s="127">
        <f>SUM(J32:L32)</f>
        <v>0</v>
      </c>
      <c r="N32" s="129">
        <f t="shared" si="0"/>
        <v>396.5</v>
      </c>
      <c r="O32" s="68">
        <v>1</v>
      </c>
      <c r="Q32" s="130">
        <f t="shared" si="1"/>
        <v>-1</v>
      </c>
      <c r="R32" s="60"/>
      <c r="S32" s="60"/>
    </row>
    <row r="33" spans="1:19" ht="15">
      <c r="A33" t="s">
        <v>840</v>
      </c>
      <c r="B33" s="60">
        <v>7450.3</v>
      </c>
      <c r="C33" s="60"/>
      <c r="D33" s="60"/>
      <c r="E33" s="127">
        <f t="shared" ref="E33:E38" si="2">SUM(B33:D33)</f>
        <v>7450.3</v>
      </c>
      <c r="F33" s="60">
        <v>7463.3</v>
      </c>
      <c r="G33" s="60"/>
      <c r="H33" s="60"/>
      <c r="I33" s="127">
        <f t="shared" ref="I33:I38" si="3">SUM(F33:H33)</f>
        <v>7463.3</v>
      </c>
      <c r="J33" s="60"/>
      <c r="K33" s="60"/>
      <c r="L33" s="60"/>
      <c r="M33" s="127">
        <f t="shared" ref="M33:M38" si="4">SUM(J33:L33)</f>
        <v>0</v>
      </c>
      <c r="N33" s="129">
        <f t="shared" si="0"/>
        <v>7463.3</v>
      </c>
      <c r="O33" s="68">
        <v>1</v>
      </c>
      <c r="Q33" s="130">
        <f t="shared" si="1"/>
        <v>13</v>
      </c>
      <c r="R33" s="60"/>
      <c r="S33" s="60"/>
    </row>
    <row r="34" spans="1:19" ht="15">
      <c r="A34" t="s">
        <v>841</v>
      </c>
      <c r="B34" s="134"/>
      <c r="C34" s="134"/>
      <c r="D34" s="134"/>
      <c r="E34" s="127">
        <f t="shared" si="2"/>
        <v>0</v>
      </c>
      <c r="F34" s="60">
        <v>1418.3</v>
      </c>
      <c r="G34" s="60"/>
      <c r="H34" s="60">
        <v>202.92</v>
      </c>
      <c r="I34" s="127">
        <f t="shared" si="3"/>
        <v>1621.22</v>
      </c>
      <c r="J34" s="60"/>
      <c r="K34" s="60"/>
      <c r="L34" s="60"/>
      <c r="M34" s="127">
        <f t="shared" si="4"/>
        <v>0</v>
      </c>
      <c r="N34" s="129">
        <f t="shared" si="0"/>
        <v>1621.22</v>
      </c>
      <c r="O34" s="68">
        <v>1</v>
      </c>
      <c r="Q34" s="135">
        <f t="shared" si="1"/>
        <v>1621.22</v>
      </c>
      <c r="R34" s="60"/>
      <c r="S34" s="60"/>
    </row>
    <row r="35" spans="1:19" ht="15">
      <c r="A35" t="s">
        <v>746</v>
      </c>
      <c r="B35" s="60">
        <v>11974.5</v>
      </c>
      <c r="C35" s="60"/>
      <c r="D35" s="60"/>
      <c r="E35" s="127">
        <f t="shared" si="2"/>
        <v>11974.5</v>
      </c>
      <c r="F35" s="60">
        <v>12031.5</v>
      </c>
      <c r="G35" s="60"/>
      <c r="H35" s="60"/>
      <c r="I35" s="127">
        <f t="shared" si="3"/>
        <v>12031.5</v>
      </c>
      <c r="J35" s="60"/>
      <c r="K35" s="60"/>
      <c r="L35" s="60"/>
      <c r="M35" s="127">
        <f t="shared" si="4"/>
        <v>0</v>
      </c>
      <c r="N35" s="129">
        <f t="shared" si="0"/>
        <v>12031.5</v>
      </c>
      <c r="O35" s="68">
        <v>1</v>
      </c>
      <c r="Q35" s="130">
        <f t="shared" si="1"/>
        <v>57</v>
      </c>
      <c r="R35" s="60"/>
      <c r="S35" s="60"/>
    </row>
    <row r="36" spans="1:19" ht="15">
      <c r="A36" t="s">
        <v>842</v>
      </c>
      <c r="B36" s="60">
        <v>143.80000000000001</v>
      </c>
      <c r="C36" s="60"/>
      <c r="D36" s="60"/>
      <c r="E36" s="127">
        <f t="shared" si="2"/>
        <v>143.80000000000001</v>
      </c>
      <c r="F36" s="60">
        <v>111.8</v>
      </c>
      <c r="G36" s="60"/>
      <c r="H36" s="60">
        <v>407.68</v>
      </c>
      <c r="I36" s="127">
        <f t="shared" si="3"/>
        <v>519.48</v>
      </c>
      <c r="J36" s="60"/>
      <c r="K36" s="60"/>
      <c r="L36" s="60"/>
      <c r="M36" s="127">
        <f t="shared" si="4"/>
        <v>0</v>
      </c>
      <c r="N36" s="129">
        <f t="shared" si="0"/>
        <v>519.48</v>
      </c>
      <c r="O36" s="136">
        <v>1</v>
      </c>
      <c r="Q36" s="130">
        <f t="shared" si="1"/>
        <v>375.68</v>
      </c>
      <c r="R36" s="60"/>
      <c r="S36" s="60"/>
    </row>
    <row r="37" spans="1:19" ht="15">
      <c r="A37" t="s">
        <v>843</v>
      </c>
      <c r="B37" s="60"/>
      <c r="C37" s="60"/>
      <c r="D37" s="60"/>
      <c r="E37" s="127">
        <f t="shared" si="2"/>
        <v>0</v>
      </c>
      <c r="F37" s="60"/>
      <c r="G37" s="60"/>
      <c r="H37" s="60"/>
      <c r="I37" s="127">
        <f t="shared" si="3"/>
        <v>0</v>
      </c>
      <c r="J37" s="60"/>
      <c r="K37" s="60"/>
      <c r="L37" s="60"/>
      <c r="M37" s="127">
        <f t="shared" si="4"/>
        <v>0</v>
      </c>
      <c r="N37" s="129">
        <f t="shared" si="0"/>
        <v>0</v>
      </c>
      <c r="Q37" s="130">
        <f t="shared" si="1"/>
        <v>0</v>
      </c>
      <c r="R37" s="60"/>
      <c r="S37" s="60"/>
    </row>
    <row r="38" spans="1:19" ht="15">
      <c r="A38" t="s">
        <v>768</v>
      </c>
      <c r="B38" s="60">
        <v>5415</v>
      </c>
      <c r="C38" s="60"/>
      <c r="D38" s="60"/>
      <c r="E38" s="127">
        <f t="shared" si="2"/>
        <v>5415</v>
      </c>
      <c r="F38" s="60">
        <v>5406.7</v>
      </c>
      <c r="G38" s="60"/>
      <c r="H38" s="60">
        <v>407.68</v>
      </c>
      <c r="I38" s="127">
        <f t="shared" si="3"/>
        <v>5814.38</v>
      </c>
      <c r="J38" s="60"/>
      <c r="K38" s="60"/>
      <c r="L38" s="60"/>
      <c r="M38" s="127">
        <f t="shared" si="4"/>
        <v>0</v>
      </c>
      <c r="N38" s="129">
        <f t="shared" si="0"/>
        <v>5814.38</v>
      </c>
      <c r="O38" s="68">
        <v>1</v>
      </c>
      <c r="Q38" s="130">
        <f t="shared" si="1"/>
        <v>399.38000000000011</v>
      </c>
      <c r="R38" s="60"/>
      <c r="S38" s="60"/>
    </row>
    <row r="39" spans="1:19">
      <c r="B39" s="60"/>
      <c r="C39" s="60"/>
      <c r="D39" s="60"/>
      <c r="F39" s="60"/>
      <c r="G39" s="60"/>
      <c r="H39" s="60"/>
      <c r="J39" s="60"/>
      <c r="K39" s="60"/>
      <c r="L39" s="60"/>
      <c r="R39" s="60"/>
      <c r="S39" s="60"/>
    </row>
    <row r="40" spans="1:19" ht="15">
      <c r="A40" s="77" t="s">
        <v>844</v>
      </c>
      <c r="B40" s="60"/>
      <c r="C40" s="60"/>
      <c r="D40" s="60"/>
      <c r="F40" s="60"/>
      <c r="G40" s="60"/>
      <c r="H40" s="60"/>
      <c r="J40" s="60"/>
      <c r="K40" s="60"/>
      <c r="L40" s="60"/>
      <c r="R40" s="60"/>
      <c r="S40" s="60"/>
    </row>
    <row r="41" spans="1:19" ht="15">
      <c r="A41" t="s">
        <v>845</v>
      </c>
      <c r="B41" s="60">
        <v>1026.75</v>
      </c>
      <c r="C41" s="60"/>
      <c r="D41" s="60">
        <v>225</v>
      </c>
      <c r="E41" s="127">
        <f>SUM(B41:D41)</f>
        <v>1251.75</v>
      </c>
      <c r="F41" s="60">
        <v>897</v>
      </c>
      <c r="G41" s="60"/>
      <c r="H41" s="60">
        <v>393.75</v>
      </c>
      <c r="I41" s="127">
        <f>SUM(F41:H41)</f>
        <v>1290.75</v>
      </c>
      <c r="J41" s="60"/>
      <c r="K41" s="60"/>
      <c r="L41" s="60"/>
      <c r="M41" s="127">
        <f>SUM(J41:L41)</f>
        <v>0</v>
      </c>
      <c r="N41" s="129">
        <f>+M41+I41</f>
        <v>1290.75</v>
      </c>
      <c r="O41" s="68">
        <v>1</v>
      </c>
      <c r="Q41" s="130">
        <f>+N41-E41</f>
        <v>39</v>
      </c>
      <c r="R41" s="60"/>
      <c r="S41" s="60"/>
    </row>
    <row r="42" spans="1:19">
      <c r="B42" s="60"/>
      <c r="C42" s="60"/>
      <c r="D42" s="60"/>
      <c r="F42" s="60"/>
      <c r="G42" s="60"/>
      <c r="H42" s="60"/>
      <c r="J42" s="60"/>
      <c r="K42" s="60"/>
      <c r="L42" s="60"/>
    </row>
    <row r="43" spans="1:19" ht="15">
      <c r="A43" s="77" t="s">
        <v>846</v>
      </c>
      <c r="B43" s="60"/>
      <c r="C43" s="60"/>
      <c r="D43" s="60"/>
      <c r="F43" s="60"/>
      <c r="G43" s="60"/>
      <c r="H43" s="60"/>
      <c r="J43" s="60"/>
      <c r="K43" s="60"/>
      <c r="L43" s="60"/>
    </row>
    <row r="44" spans="1:19" ht="15">
      <c r="A44" t="s">
        <v>747</v>
      </c>
      <c r="B44" s="60">
        <v>4955</v>
      </c>
      <c r="C44" s="60"/>
      <c r="D44" s="60"/>
      <c r="E44" s="127">
        <f>SUM(B44:D44)</f>
        <v>4955</v>
      </c>
      <c r="F44" s="60">
        <v>3731</v>
      </c>
      <c r="G44" s="60"/>
      <c r="H44" s="60"/>
      <c r="I44" s="127">
        <f>SUM(F44:H44)</f>
        <v>3731</v>
      </c>
      <c r="J44" s="60"/>
      <c r="K44" s="60"/>
      <c r="L44" s="60"/>
      <c r="M44" s="127">
        <f>SUM(J44:L44)</f>
        <v>0</v>
      </c>
      <c r="N44" s="129">
        <f>+M44+I44</f>
        <v>3731</v>
      </c>
      <c r="O44" s="68">
        <v>1</v>
      </c>
      <c r="Q44" s="130">
        <f>+N44-E44</f>
        <v>-1224</v>
      </c>
    </row>
    <row r="45" spans="1:19" ht="15">
      <c r="A45" t="s">
        <v>651</v>
      </c>
      <c r="B45" s="60"/>
      <c r="C45" s="60"/>
      <c r="D45" s="60"/>
      <c r="E45" s="127">
        <f>SUM(B45:D45)</f>
        <v>0</v>
      </c>
      <c r="F45" s="60">
        <v>741</v>
      </c>
      <c r="G45" s="60"/>
      <c r="H45" s="60"/>
      <c r="I45" s="127">
        <f>SUM(F45:H45)</f>
        <v>741</v>
      </c>
      <c r="J45" s="60"/>
      <c r="K45" s="60"/>
      <c r="L45" s="60"/>
      <c r="M45" s="127">
        <f>SUM(J45:L45)</f>
        <v>0</v>
      </c>
      <c r="N45" s="129">
        <f>+M45+I45</f>
        <v>741</v>
      </c>
      <c r="O45" s="68">
        <v>1</v>
      </c>
      <c r="Q45" s="130">
        <f>+N45-E45</f>
        <v>741</v>
      </c>
    </row>
    <row r="46" spans="1:19">
      <c r="B46" s="60"/>
      <c r="C46" s="60"/>
      <c r="D46" s="60"/>
      <c r="F46" s="60"/>
      <c r="G46" s="60"/>
      <c r="H46" s="60"/>
      <c r="J46" s="60"/>
      <c r="K46" s="60"/>
      <c r="L46" s="60"/>
    </row>
    <row r="47" spans="1:19" ht="15">
      <c r="A47" s="77" t="s">
        <v>847</v>
      </c>
      <c r="B47" s="60"/>
      <c r="C47" s="60"/>
      <c r="D47" s="60"/>
      <c r="F47" s="60"/>
      <c r="G47" s="60"/>
      <c r="H47" s="60"/>
      <c r="J47" s="60"/>
      <c r="K47" s="60"/>
      <c r="L47" s="60"/>
    </row>
    <row r="48" spans="1:19" ht="14.25">
      <c r="A48" s="137" t="s">
        <v>748</v>
      </c>
      <c r="B48" s="60" t="s">
        <v>848</v>
      </c>
      <c r="C48" s="60"/>
      <c r="D48" s="60"/>
      <c r="F48" s="60"/>
      <c r="G48" s="60"/>
      <c r="H48" s="60"/>
      <c r="J48" s="60"/>
      <c r="K48" s="60"/>
      <c r="L48" s="60"/>
    </row>
    <row r="49" spans="1:19" ht="14.25">
      <c r="A49" s="137" t="s">
        <v>749</v>
      </c>
      <c r="B49" s="60" t="s">
        <v>848</v>
      </c>
      <c r="C49" s="60"/>
      <c r="D49" s="60"/>
      <c r="F49" s="60"/>
      <c r="G49" s="60"/>
      <c r="H49" s="60"/>
      <c r="J49" s="60"/>
      <c r="K49" s="60"/>
      <c r="L49" s="60"/>
    </row>
    <row r="50" spans="1:19">
      <c r="B50" s="60"/>
      <c r="C50" s="60"/>
      <c r="D50" s="60"/>
      <c r="F50" s="60"/>
      <c r="G50" s="60"/>
      <c r="H50" s="60"/>
      <c r="J50" s="60"/>
      <c r="K50" s="60"/>
      <c r="L50" s="60"/>
    </row>
    <row r="53" spans="1:19" ht="15">
      <c r="A53" s="77" t="s">
        <v>438</v>
      </c>
      <c r="B53" s="113">
        <f>SUM(B6:B49)</f>
        <v>561216.26</v>
      </c>
      <c r="C53" s="113">
        <f t="shared" ref="C53:N53" si="5">SUM(C6:C49)</f>
        <v>48771.99</v>
      </c>
      <c r="D53" s="113">
        <f t="shared" si="5"/>
        <v>255739.97</v>
      </c>
      <c r="E53" s="129">
        <f t="shared" si="5"/>
        <v>865728.22000000009</v>
      </c>
      <c r="F53" s="113">
        <f t="shared" si="5"/>
        <v>239201.89999999997</v>
      </c>
      <c r="G53" s="113">
        <f t="shared" si="5"/>
        <v>0</v>
      </c>
      <c r="H53" s="113">
        <f t="shared" si="5"/>
        <v>181638.32</v>
      </c>
      <c r="I53" s="138">
        <f t="shared" si="5"/>
        <v>420840.21999999991</v>
      </c>
      <c r="J53" s="113">
        <f t="shared" si="5"/>
        <v>275329.59999999998</v>
      </c>
      <c r="K53" s="113">
        <f t="shared" si="5"/>
        <v>81412.08</v>
      </c>
      <c r="L53" s="113">
        <f t="shared" si="5"/>
        <v>165435.63</v>
      </c>
      <c r="M53" s="139">
        <f t="shared" si="5"/>
        <v>522177.31000000006</v>
      </c>
      <c r="N53" s="140">
        <f t="shared" si="5"/>
        <v>943017.53</v>
      </c>
      <c r="O53" s="68">
        <f>+I53/N53</f>
        <v>0.44626977400939716</v>
      </c>
      <c r="P53" s="68">
        <f>+M53/N53</f>
        <v>0.55373022599060273</v>
      </c>
      <c r="Q53" s="140">
        <f>SUM(Q6:Q49)</f>
        <v>77289.310000000027</v>
      </c>
      <c r="R53" s="68"/>
      <c r="S53" s="68"/>
    </row>
    <row r="55" spans="1:19" ht="13.5" thickBot="1"/>
    <row r="56" spans="1:19" ht="15">
      <c r="A56" s="142" t="s">
        <v>849</v>
      </c>
      <c r="B56" s="143" t="s">
        <v>251</v>
      </c>
      <c r="C56" s="143" t="s">
        <v>7</v>
      </c>
      <c r="D56" s="144" t="s">
        <v>73</v>
      </c>
    </row>
    <row r="57" spans="1:19">
      <c r="A57" s="145" t="s">
        <v>850</v>
      </c>
      <c r="B57" s="146">
        <f>+I53</f>
        <v>420840.21999999991</v>
      </c>
      <c r="C57" s="146">
        <f>+M53</f>
        <v>522177.31000000006</v>
      </c>
      <c r="D57" s="147">
        <f>+N53</f>
        <v>943017.53</v>
      </c>
    </row>
    <row r="58" spans="1:19">
      <c r="A58" s="145"/>
      <c r="B58" s="146"/>
      <c r="C58" s="146"/>
      <c r="D58" s="147"/>
    </row>
    <row r="59" spans="1:19">
      <c r="A59" s="145" t="s">
        <v>261</v>
      </c>
      <c r="B59" s="146">
        <v>457621</v>
      </c>
      <c r="C59" s="146">
        <v>420056</v>
      </c>
      <c r="D59" s="147">
        <f>SUM(B59:C59)</f>
        <v>877677</v>
      </c>
    </row>
    <row r="60" spans="1:19">
      <c r="A60" s="145"/>
      <c r="B60" s="59"/>
      <c r="C60" s="59"/>
      <c r="D60" s="148"/>
    </row>
    <row r="61" spans="1:19" ht="15.75" thickBot="1">
      <c r="A61" s="149" t="s">
        <v>277</v>
      </c>
      <c r="B61" s="141">
        <f>+B57-B59</f>
        <v>-36780.780000000086</v>
      </c>
      <c r="C61" s="141">
        <f>+C57-C59</f>
        <v>102121.31000000006</v>
      </c>
      <c r="D61" s="150">
        <f>+D57-D59</f>
        <v>65340.530000000028</v>
      </c>
    </row>
    <row r="62" spans="1:19" ht="14.25" thickTop="1" thickBot="1">
      <c r="A62" s="151"/>
      <c r="B62" s="152"/>
      <c r="C62" s="152"/>
      <c r="D62" s="153"/>
    </row>
  </sheetData>
  <mergeCells count="3">
    <mergeCell ref="B3:D3"/>
    <mergeCell ref="F3:H3"/>
    <mergeCell ref="J3:L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66FFFF"/>
  </sheetPr>
  <dimension ref="A1:O85"/>
  <sheetViews>
    <sheetView workbookViewId="0"/>
  </sheetViews>
  <sheetFormatPr defaultRowHeight="12.75"/>
  <cols>
    <col min="1" max="1" width="16" bestFit="1" customWidth="1"/>
    <col min="2" max="2" width="13.28515625" bestFit="1" customWidth="1"/>
    <col min="3" max="3" width="14.28515625" bestFit="1" customWidth="1"/>
    <col min="4" max="4" width="13.28515625" bestFit="1" customWidth="1"/>
    <col min="5" max="5" width="12.28515625" bestFit="1" customWidth="1"/>
    <col min="6" max="7" width="11.28515625" bestFit="1" customWidth="1"/>
    <col min="8" max="10" width="13.28515625" bestFit="1" customWidth="1"/>
    <col min="11" max="14" width="10.7109375" bestFit="1" customWidth="1"/>
    <col min="15" max="15" width="11.5703125" bestFit="1" customWidth="1"/>
    <col min="16" max="18" width="10.28515625" bestFit="1" customWidth="1"/>
    <col min="19" max="19" width="11.28515625" bestFit="1" customWidth="1"/>
  </cols>
  <sheetData>
    <row r="1" spans="1:10" ht="13.5" thickBot="1">
      <c r="A1" s="81" t="s">
        <v>726</v>
      </c>
      <c r="B1" s="81"/>
      <c r="C1" s="81"/>
      <c r="D1" s="81"/>
      <c r="E1" s="81"/>
      <c r="F1" s="81"/>
      <c r="G1" s="81"/>
    </row>
    <row r="2" spans="1:10">
      <c r="A2" s="81"/>
      <c r="B2" s="81"/>
      <c r="C2" s="81"/>
      <c r="D2" s="81"/>
      <c r="E2" s="81"/>
      <c r="F2" s="81"/>
      <c r="G2" s="81"/>
      <c r="J2" s="82">
        <v>2015</v>
      </c>
    </row>
    <row r="3" spans="1:10">
      <c r="A3" s="81"/>
      <c r="B3" s="81"/>
      <c r="C3" s="81"/>
      <c r="D3" s="81"/>
      <c r="E3" s="81"/>
      <c r="F3" s="81"/>
      <c r="G3" s="81"/>
      <c r="H3" s="76">
        <v>42004</v>
      </c>
      <c r="I3" s="76">
        <v>42369</v>
      </c>
      <c r="J3" s="83" t="s">
        <v>686</v>
      </c>
    </row>
    <row r="4" spans="1:10">
      <c r="A4" s="81" t="s">
        <v>478</v>
      </c>
      <c r="B4" s="84">
        <v>38896</v>
      </c>
      <c r="C4" s="84">
        <v>39079</v>
      </c>
      <c r="D4" s="81"/>
      <c r="E4" s="84">
        <f>+B4</f>
        <v>38896</v>
      </c>
      <c r="F4" s="84">
        <f>+C4</f>
        <v>39079</v>
      </c>
      <c r="G4" s="81"/>
      <c r="J4" s="83"/>
    </row>
    <row r="5" spans="1:10" ht="13.5" thickBot="1">
      <c r="A5" s="81" t="s">
        <v>97</v>
      </c>
      <c r="B5" s="85">
        <v>753374</v>
      </c>
      <c r="C5" s="85">
        <v>1504745</v>
      </c>
      <c r="D5" s="81"/>
      <c r="E5" s="86">
        <f>+B5</f>
        <v>753374</v>
      </c>
      <c r="F5" s="86">
        <f>+C5</f>
        <v>1504745</v>
      </c>
      <c r="G5" s="81"/>
      <c r="H5" s="87">
        <f>SUM(E5:F5)</f>
        <v>2258119</v>
      </c>
      <c r="I5" s="87">
        <f>+H5</f>
        <v>2258119</v>
      </c>
      <c r="J5" s="88">
        <f>+I5</f>
        <v>2258119</v>
      </c>
    </row>
    <row r="6" spans="1:10" ht="13.5" thickTop="1">
      <c r="A6" s="89" t="s">
        <v>727</v>
      </c>
      <c r="B6" s="81"/>
      <c r="C6" s="81"/>
      <c r="D6" s="81"/>
      <c r="E6" s="81"/>
      <c r="F6" s="81"/>
      <c r="G6" s="81"/>
      <c r="J6" s="83"/>
    </row>
    <row r="7" spans="1:10">
      <c r="A7" s="81">
        <v>2006</v>
      </c>
      <c r="B7" s="90">
        <f t="shared" ref="B7:C14" si="0">ROUND(+B$5/18,0)</f>
        <v>41854</v>
      </c>
      <c r="C7" s="90">
        <f t="shared" si="0"/>
        <v>83597</v>
      </c>
      <c r="D7" s="81"/>
      <c r="E7" s="81"/>
      <c r="F7" s="81"/>
      <c r="G7" s="81"/>
      <c r="J7" s="83"/>
    </row>
    <row r="8" spans="1:10">
      <c r="A8" s="81">
        <v>2007</v>
      </c>
      <c r="B8" s="90">
        <f t="shared" si="0"/>
        <v>41854</v>
      </c>
      <c r="C8" s="90">
        <f t="shared" si="0"/>
        <v>83597</v>
      </c>
      <c r="D8" s="81"/>
      <c r="E8" s="81"/>
      <c r="F8" s="81"/>
      <c r="G8" s="81"/>
      <c r="J8" s="83"/>
    </row>
    <row r="9" spans="1:10">
      <c r="A9" s="81">
        <v>2008</v>
      </c>
      <c r="B9" s="90">
        <f t="shared" si="0"/>
        <v>41854</v>
      </c>
      <c r="C9" s="90">
        <f t="shared" si="0"/>
        <v>83597</v>
      </c>
      <c r="D9" s="81"/>
      <c r="E9" s="81"/>
      <c r="F9" s="81"/>
      <c r="G9" s="81"/>
      <c r="J9" s="83"/>
    </row>
    <row r="10" spans="1:10">
      <c r="A10" s="81">
        <v>2009</v>
      </c>
      <c r="B10" s="90">
        <f t="shared" si="0"/>
        <v>41854</v>
      </c>
      <c r="C10" s="90">
        <f t="shared" si="0"/>
        <v>83597</v>
      </c>
      <c r="D10" s="81"/>
      <c r="E10" s="81"/>
      <c r="F10" s="81"/>
      <c r="G10" s="81"/>
      <c r="J10" s="83"/>
    </row>
    <row r="11" spans="1:10">
      <c r="A11" s="81">
        <v>2010</v>
      </c>
      <c r="B11" s="90">
        <f t="shared" si="0"/>
        <v>41854</v>
      </c>
      <c r="C11" s="90">
        <f t="shared" si="0"/>
        <v>83597</v>
      </c>
      <c r="D11" s="81"/>
      <c r="E11" s="81"/>
      <c r="F11" s="81"/>
      <c r="G11" s="81"/>
      <c r="J11" s="83"/>
    </row>
    <row r="12" spans="1:10">
      <c r="A12" s="81">
        <v>2011</v>
      </c>
      <c r="B12" s="90">
        <f t="shared" si="0"/>
        <v>41854</v>
      </c>
      <c r="C12" s="90">
        <f t="shared" si="0"/>
        <v>83597</v>
      </c>
      <c r="D12" s="81"/>
      <c r="E12" s="81"/>
      <c r="F12" s="81"/>
      <c r="G12" s="81"/>
      <c r="J12" s="83"/>
    </row>
    <row r="13" spans="1:10">
      <c r="A13" s="81">
        <v>2012</v>
      </c>
      <c r="B13" s="90">
        <f t="shared" si="0"/>
        <v>41854</v>
      </c>
      <c r="C13" s="90">
        <f t="shared" si="0"/>
        <v>83597</v>
      </c>
      <c r="D13" s="81"/>
      <c r="E13" s="81"/>
      <c r="F13" s="81"/>
      <c r="G13" s="81"/>
      <c r="J13" s="83"/>
    </row>
    <row r="14" spans="1:10">
      <c r="A14" s="81">
        <v>2013</v>
      </c>
      <c r="B14" s="90">
        <f t="shared" si="0"/>
        <v>41854</v>
      </c>
      <c r="C14" s="90">
        <f t="shared" si="0"/>
        <v>83597</v>
      </c>
      <c r="D14" s="81"/>
      <c r="E14" s="81"/>
      <c r="F14" s="81"/>
      <c r="G14" s="81"/>
      <c r="J14" s="83"/>
    </row>
    <row r="15" spans="1:10">
      <c r="A15" s="81"/>
      <c r="B15" s="91">
        <f>SUM(B7:B14)</f>
        <v>334832</v>
      </c>
      <c r="C15" s="91">
        <f>SUM(C7:C14)</f>
        <v>668776</v>
      </c>
      <c r="D15" s="81"/>
      <c r="E15" s="81"/>
      <c r="F15" s="81"/>
      <c r="G15" s="81"/>
      <c r="J15" s="83"/>
    </row>
    <row r="16" spans="1:10">
      <c r="A16" s="81"/>
      <c r="B16" s="90"/>
      <c r="C16" s="90"/>
      <c r="D16" s="81"/>
      <c r="E16" s="81"/>
      <c r="F16" s="81"/>
      <c r="G16" s="81"/>
      <c r="J16" s="83"/>
    </row>
    <row r="17" spans="1:11">
      <c r="A17" s="81"/>
      <c r="B17" s="90"/>
      <c r="C17" s="90"/>
      <c r="D17" s="81"/>
      <c r="E17" s="81"/>
      <c r="F17" s="81"/>
      <c r="G17" s="81"/>
      <c r="J17" s="83"/>
    </row>
    <row r="18" spans="1:11">
      <c r="A18" s="81">
        <v>2014</v>
      </c>
      <c r="B18" s="90">
        <f>ROUND(+B$5/18,0)</f>
        <v>41854</v>
      </c>
      <c r="C18" s="90">
        <f>ROUND(+C$5/18,0)</f>
        <v>83597</v>
      </c>
      <c r="D18" s="81"/>
      <c r="E18" s="92">
        <f>+B18</f>
        <v>41854</v>
      </c>
      <c r="F18" s="92">
        <f>+C18</f>
        <v>83597</v>
      </c>
      <c r="G18" s="92">
        <f>+E18+F18</f>
        <v>125451</v>
      </c>
      <c r="H18" s="78">
        <f>+G18</f>
        <v>125451</v>
      </c>
      <c r="I18" s="78">
        <f>+H18</f>
        <v>125451</v>
      </c>
      <c r="J18" s="83"/>
    </row>
    <row r="19" spans="1:11" ht="13.5" thickBot="1">
      <c r="A19" s="81" t="s">
        <v>73</v>
      </c>
      <c r="B19" s="90">
        <f>SUM(B7:B18)-B15</f>
        <v>376686</v>
      </c>
      <c r="C19" s="90">
        <f>SUM(C7:C18)-C15</f>
        <v>752373</v>
      </c>
      <c r="D19" s="81"/>
      <c r="E19" s="92"/>
      <c r="F19" s="92"/>
      <c r="G19" s="92"/>
      <c r="H19" s="93">
        <f>SUM(B19:C19)</f>
        <v>1129059</v>
      </c>
      <c r="I19" s="93">
        <f>+H19+B17+C17</f>
        <v>1129059</v>
      </c>
      <c r="J19" s="94"/>
      <c r="K19" s="76">
        <v>42004</v>
      </c>
    </row>
    <row r="20" spans="1:11" ht="14.25" thickTop="1" thickBot="1">
      <c r="A20" s="95" t="s">
        <v>728</v>
      </c>
      <c r="B20" s="96">
        <f>(+B15+B19)/2</f>
        <v>355759</v>
      </c>
      <c r="C20" s="96">
        <f>(+C15+C19)/2</f>
        <v>710574.5</v>
      </c>
      <c r="D20" s="81"/>
      <c r="E20" s="92"/>
      <c r="F20" s="92"/>
      <c r="G20" s="92"/>
      <c r="H20" s="93">
        <f>SUM(B20:C20)</f>
        <v>1066333.5</v>
      </c>
      <c r="I20" s="93">
        <f>+H20+B18+C18</f>
        <v>1191784.5</v>
      </c>
      <c r="J20" s="94">
        <f>+O56</f>
        <v>1240549</v>
      </c>
      <c r="K20" t="s">
        <v>729</v>
      </c>
    </row>
    <row r="21" spans="1:11" ht="13.5" thickTop="1">
      <c r="A21" s="81"/>
      <c r="B21" s="90"/>
      <c r="C21" s="90"/>
      <c r="D21" s="81"/>
      <c r="E21" s="92"/>
      <c r="F21" s="92"/>
      <c r="G21" s="92"/>
      <c r="J21" s="83"/>
    </row>
    <row r="22" spans="1:11">
      <c r="A22" s="81"/>
      <c r="B22" s="90"/>
      <c r="C22" s="90"/>
      <c r="D22" s="81"/>
      <c r="E22" s="92"/>
      <c r="F22" s="92"/>
      <c r="G22" s="92"/>
      <c r="J22" s="83"/>
    </row>
    <row r="23" spans="1:11">
      <c r="A23" s="81" t="s">
        <v>730</v>
      </c>
      <c r="B23" s="81"/>
      <c r="C23" s="81"/>
      <c r="D23" s="81"/>
      <c r="E23" s="81"/>
      <c r="F23" s="81"/>
      <c r="G23" s="81"/>
      <c r="J23" s="83"/>
    </row>
    <row r="24" spans="1:11">
      <c r="A24" s="81">
        <v>2006</v>
      </c>
      <c r="B24" s="90">
        <f t="shared" ref="B24:C31" si="1">ROUND((+B$5/40),0)</f>
        <v>18834</v>
      </c>
      <c r="C24" s="90">
        <f t="shared" si="1"/>
        <v>37619</v>
      </c>
      <c r="D24" s="81"/>
      <c r="E24" s="81"/>
      <c r="F24" s="81"/>
      <c r="G24" s="81"/>
      <c r="J24" s="83"/>
    </row>
    <row r="25" spans="1:11">
      <c r="A25" s="81">
        <v>2007</v>
      </c>
      <c r="B25" s="90">
        <f t="shared" si="1"/>
        <v>18834</v>
      </c>
      <c r="C25" s="90">
        <f t="shared" si="1"/>
        <v>37619</v>
      </c>
      <c r="D25" s="81"/>
      <c r="E25" s="81"/>
      <c r="F25" s="81"/>
      <c r="G25" s="81"/>
      <c r="J25" s="83"/>
    </row>
    <row r="26" spans="1:11">
      <c r="A26" s="81">
        <v>2008</v>
      </c>
      <c r="B26" s="90">
        <f t="shared" si="1"/>
        <v>18834</v>
      </c>
      <c r="C26" s="90">
        <f t="shared" si="1"/>
        <v>37619</v>
      </c>
      <c r="D26" s="81"/>
      <c r="E26" s="81"/>
      <c r="F26" s="81"/>
      <c r="G26" s="81"/>
      <c r="J26" s="83"/>
    </row>
    <row r="27" spans="1:11">
      <c r="A27" s="81">
        <v>2009</v>
      </c>
      <c r="B27" s="90">
        <f t="shared" si="1"/>
        <v>18834</v>
      </c>
      <c r="C27" s="90">
        <f t="shared" si="1"/>
        <v>37619</v>
      </c>
      <c r="D27" s="81"/>
      <c r="E27" s="81"/>
      <c r="F27" s="81"/>
      <c r="G27" s="81"/>
      <c r="J27" s="83"/>
    </row>
    <row r="28" spans="1:11">
      <c r="A28" s="81">
        <v>2010</v>
      </c>
      <c r="B28" s="90">
        <f t="shared" si="1"/>
        <v>18834</v>
      </c>
      <c r="C28" s="90">
        <f t="shared" si="1"/>
        <v>37619</v>
      </c>
      <c r="D28" s="81"/>
      <c r="E28" s="81"/>
      <c r="F28" s="81"/>
      <c r="G28" s="81"/>
      <c r="J28" s="83"/>
    </row>
    <row r="29" spans="1:11">
      <c r="A29" s="81">
        <v>2011</v>
      </c>
      <c r="B29" s="90">
        <f t="shared" si="1"/>
        <v>18834</v>
      </c>
      <c r="C29" s="90">
        <f t="shared" si="1"/>
        <v>37619</v>
      </c>
      <c r="D29" s="81"/>
      <c r="E29" s="81"/>
      <c r="F29" s="81"/>
      <c r="G29" s="81"/>
      <c r="J29" s="83"/>
    </row>
    <row r="30" spans="1:11">
      <c r="A30" s="81">
        <v>2012</v>
      </c>
      <c r="B30" s="90">
        <f t="shared" si="1"/>
        <v>18834</v>
      </c>
      <c r="C30" s="90">
        <f t="shared" si="1"/>
        <v>37619</v>
      </c>
      <c r="D30" s="81"/>
      <c r="E30" s="92">
        <f>SUM(B24:C30)</f>
        <v>395171</v>
      </c>
      <c r="F30" s="81"/>
      <c r="G30" s="81"/>
      <c r="J30" s="83"/>
    </row>
    <row r="31" spans="1:11">
      <c r="A31" s="81">
        <v>2013</v>
      </c>
      <c r="B31" s="90">
        <f t="shared" si="1"/>
        <v>18834</v>
      </c>
      <c r="C31" s="90">
        <f t="shared" si="1"/>
        <v>37619</v>
      </c>
      <c r="D31" s="81"/>
      <c r="E31" s="81"/>
      <c r="F31" s="81"/>
      <c r="G31" s="81"/>
      <c r="J31" s="83"/>
    </row>
    <row r="32" spans="1:11">
      <c r="A32" s="81"/>
      <c r="B32" s="91">
        <f>SUM(B24:B31)</f>
        <v>150672</v>
      </c>
      <c r="C32" s="91">
        <f>SUM(C24:C31)</f>
        <v>300952</v>
      </c>
      <c r="D32" s="81"/>
      <c r="E32" s="81"/>
      <c r="F32" s="81"/>
      <c r="G32" s="81"/>
      <c r="J32" s="83"/>
    </row>
    <row r="33" spans="1:11">
      <c r="A33" s="81"/>
      <c r="B33" s="90"/>
      <c r="C33" s="90"/>
      <c r="D33" s="81"/>
      <c r="E33" s="81"/>
      <c r="F33" s="81"/>
      <c r="G33" s="81"/>
      <c r="J33" s="83"/>
    </row>
    <row r="34" spans="1:11">
      <c r="A34" s="81">
        <v>2014</v>
      </c>
      <c r="B34" s="90">
        <f>ROUND((+B$5/40),0)</f>
        <v>18834</v>
      </c>
      <c r="C34" s="90">
        <f>ROUND((+C$5/40),0)</f>
        <v>37619</v>
      </c>
      <c r="D34" s="81"/>
      <c r="E34" s="92">
        <f>+B34</f>
        <v>18834</v>
      </c>
      <c r="F34" s="92">
        <f>+C34</f>
        <v>37619</v>
      </c>
      <c r="G34" s="92">
        <f>+E34+F34</f>
        <v>56453</v>
      </c>
      <c r="H34" s="78">
        <f>+G34</f>
        <v>56453</v>
      </c>
      <c r="I34" s="78">
        <f>+H34</f>
        <v>56453</v>
      </c>
      <c r="J34" s="83"/>
    </row>
    <row r="35" spans="1:11" ht="13.5" thickBot="1">
      <c r="A35" s="81" t="s">
        <v>73</v>
      </c>
      <c r="B35" s="90">
        <f>SUM(B24:B34)-B32</f>
        <v>169506</v>
      </c>
      <c r="C35" s="90">
        <f>SUM(C24:C34)-C32</f>
        <v>338571</v>
      </c>
      <c r="D35" s="81"/>
      <c r="E35" s="92"/>
      <c r="F35" s="81"/>
      <c r="G35" s="92"/>
      <c r="H35" s="93">
        <f>SUM(B35:C35)</f>
        <v>508077</v>
      </c>
      <c r="I35" s="93">
        <f>+H35+B33+C33</f>
        <v>508077</v>
      </c>
      <c r="J35" s="94">
        <f>+O56</f>
        <v>1240549</v>
      </c>
      <c r="K35" s="76">
        <v>42004</v>
      </c>
    </row>
    <row r="36" spans="1:11" ht="14.25" thickTop="1" thickBot="1">
      <c r="A36" s="95" t="s">
        <v>728</v>
      </c>
      <c r="B36" s="96">
        <f>(+B32+B35)/2</f>
        <v>160089</v>
      </c>
      <c r="C36" s="96">
        <f>(+C32+C35)/2</f>
        <v>319761.5</v>
      </c>
      <c r="D36" s="81"/>
      <c r="E36" s="97" t="s">
        <v>731</v>
      </c>
      <c r="F36" s="97"/>
      <c r="G36" s="81"/>
      <c r="H36" s="93">
        <f>SUM(B36:C36)</f>
        <v>479850.5</v>
      </c>
      <c r="I36" s="93">
        <f>+H36+B34+C34</f>
        <v>536303.5</v>
      </c>
      <c r="J36" s="94">
        <f>+O57</f>
        <v>536304</v>
      </c>
      <c r="K36" t="s">
        <v>729</v>
      </c>
    </row>
    <row r="37" spans="1:11" ht="14.25" thickTop="1" thickBot="1">
      <c r="A37" s="95"/>
      <c r="B37" s="98"/>
      <c r="C37" s="98"/>
      <c r="D37" s="81"/>
      <c r="E37" s="97"/>
      <c r="F37" s="97"/>
      <c r="G37" s="81"/>
      <c r="H37" s="93">
        <f>+H35-H19</f>
        <v>-620982</v>
      </c>
      <c r="I37" s="93">
        <f>+I35-I19</f>
        <v>-620982</v>
      </c>
      <c r="J37" s="99"/>
    </row>
    <row r="38" spans="1:11" ht="39.75" thickTop="1" thickBot="1">
      <c r="A38" s="100" t="s">
        <v>732</v>
      </c>
      <c r="B38" s="101">
        <f>+B36-B20</f>
        <v>-195670</v>
      </c>
      <c r="C38" s="101">
        <f>+C36-C20</f>
        <v>-390813</v>
      </c>
      <c r="D38" s="102"/>
      <c r="E38" s="103">
        <f>+E34-E18</f>
        <v>-23020</v>
      </c>
      <c r="F38" s="103">
        <f>+F34-F18</f>
        <v>-45978</v>
      </c>
      <c r="G38" s="92"/>
      <c r="H38" s="93">
        <f>+H36-H20</f>
        <v>-586483</v>
      </c>
      <c r="I38" s="93">
        <f>+I36-I20</f>
        <v>-655481</v>
      </c>
      <c r="J38" s="99">
        <f>+J36-J20</f>
        <v>-704245</v>
      </c>
    </row>
    <row r="39" spans="1:11" ht="13.5" thickTop="1">
      <c r="A39" s="100"/>
      <c r="B39" s="90"/>
      <c r="C39" s="90"/>
      <c r="D39" s="81"/>
      <c r="E39" s="92"/>
      <c r="F39" s="92"/>
      <c r="G39" s="92"/>
    </row>
    <row r="40" spans="1:11" ht="25.5">
      <c r="A40" s="100" t="s">
        <v>733</v>
      </c>
      <c r="B40" s="90">
        <f>(+B19+B15)/2</f>
        <v>355759</v>
      </c>
      <c r="C40" s="90">
        <f>(+C19+C15)/2</f>
        <v>710574.5</v>
      </c>
      <c r="D40" s="81"/>
      <c r="E40" s="92">
        <f>+B40+C40</f>
        <v>1066333.5</v>
      </c>
      <c r="F40" s="92"/>
      <c r="G40" s="92"/>
    </row>
    <row r="41" spans="1:11" ht="25.5">
      <c r="A41" s="100" t="s">
        <v>734</v>
      </c>
      <c r="B41" s="90">
        <f>(+B32+B35)/2</f>
        <v>160089</v>
      </c>
      <c r="C41" s="90">
        <f>+C36</f>
        <v>319761.5</v>
      </c>
      <c r="D41" s="81"/>
      <c r="E41" s="92">
        <f>+B41+C41</f>
        <v>479850.5</v>
      </c>
      <c r="F41" s="92"/>
      <c r="G41" s="92"/>
      <c r="H41" s="78">
        <f>+B35+C35</f>
        <v>508077</v>
      </c>
      <c r="I41" s="78">
        <f>+H41+B34+C34</f>
        <v>564530</v>
      </c>
      <c r="J41" s="58">
        <f>+H41+(B34+C34)/2</f>
        <v>536303.5</v>
      </c>
    </row>
    <row r="42" spans="1:11" ht="38.25">
      <c r="A42" s="100" t="s">
        <v>735</v>
      </c>
      <c r="B42" s="90">
        <f>+B41-B40</f>
        <v>-195670</v>
      </c>
      <c r="C42" s="90">
        <f>+C41-C40</f>
        <v>-390813</v>
      </c>
      <c r="D42" s="81"/>
      <c r="E42" s="90">
        <f>+E41-E40</f>
        <v>-586483</v>
      </c>
      <c r="F42" s="92"/>
      <c r="G42" s="92"/>
    </row>
    <row r="44" spans="1:11">
      <c r="A44" s="104"/>
      <c r="B44" s="105"/>
      <c r="C44" s="106" t="s">
        <v>481</v>
      </c>
      <c r="D44" s="105" t="s">
        <v>737</v>
      </c>
      <c r="E44" s="105"/>
      <c r="F44" s="105"/>
      <c r="G44" s="105"/>
    </row>
    <row r="45" spans="1:11">
      <c r="A45" s="104"/>
      <c r="B45" s="105"/>
      <c r="C45" s="106"/>
      <c r="D45" s="105"/>
      <c r="E45" s="105"/>
      <c r="F45" s="105" t="s">
        <v>277</v>
      </c>
      <c r="G45" s="105"/>
    </row>
    <row r="46" spans="1:11">
      <c r="A46" s="104" t="s">
        <v>738</v>
      </c>
      <c r="B46" s="105"/>
      <c r="C46" s="835">
        <v>2229799</v>
      </c>
      <c r="D46" s="108">
        <f>+N57</f>
        <v>564529.99999999977</v>
      </c>
      <c r="E46" s="108">
        <f>+N57</f>
        <v>564529.99999999977</v>
      </c>
      <c r="F46" s="105"/>
      <c r="G46" s="108">
        <f>+E46-D46</f>
        <v>0</v>
      </c>
      <c r="H46" s="106">
        <v>2229799</v>
      </c>
      <c r="I46" s="58">
        <f>+H46-C46</f>
        <v>0</v>
      </c>
    </row>
    <row r="47" spans="1:11">
      <c r="A47" s="105">
        <v>2016</v>
      </c>
      <c r="B47" s="105"/>
      <c r="C47" s="108"/>
      <c r="D47" s="107">
        <f>+C$46/10</f>
        <v>222979.9</v>
      </c>
      <c r="E47" s="107">
        <f>+C$46/40</f>
        <v>55744.974999999999</v>
      </c>
      <c r="F47" s="105"/>
      <c r="G47" s="108">
        <f>+E47-D47</f>
        <v>-167234.92499999999</v>
      </c>
    </row>
    <row r="48" spans="1:11">
      <c r="A48" s="105">
        <v>2017</v>
      </c>
      <c r="B48" s="105"/>
      <c r="C48" s="105"/>
      <c r="D48" s="107">
        <f>+C$46/10</f>
        <v>222979.9</v>
      </c>
      <c r="E48" s="107">
        <f>+C$46/40</f>
        <v>55744.974999999999</v>
      </c>
      <c r="F48" s="105"/>
      <c r="G48" s="108">
        <f>+E48-D48</f>
        <v>-167234.92499999999</v>
      </c>
    </row>
    <row r="49" spans="1:15">
      <c r="A49" s="105">
        <v>2018</v>
      </c>
      <c r="B49" s="105"/>
      <c r="C49" s="105"/>
      <c r="D49" s="107">
        <f>+C$46/10</f>
        <v>222979.9</v>
      </c>
      <c r="E49" s="107">
        <f>+C$46/40</f>
        <v>55744.974999999999</v>
      </c>
      <c r="F49" s="105"/>
      <c r="G49" s="108">
        <f>+E49-D49</f>
        <v>-167234.92499999999</v>
      </c>
    </row>
    <row r="50" spans="1:15" ht="17.25">
      <c r="A50" s="105">
        <v>2019</v>
      </c>
      <c r="B50" s="105"/>
      <c r="C50" s="105"/>
      <c r="D50" s="107">
        <f>+C$46/10</f>
        <v>222979.9</v>
      </c>
      <c r="E50" s="107">
        <f>+C$46/40</f>
        <v>55744.974999999999</v>
      </c>
      <c r="F50" s="109">
        <f>+E50-D50</f>
        <v>-167234.92499999999</v>
      </c>
      <c r="G50" s="109">
        <f>+F50</f>
        <v>-167234.92499999999</v>
      </c>
      <c r="H50">
        <v>222780</v>
      </c>
    </row>
    <row r="51" spans="1:15">
      <c r="A51" s="105" t="s">
        <v>739</v>
      </c>
      <c r="B51" s="105"/>
      <c r="C51" s="105"/>
      <c r="D51" s="108">
        <f>SUM(D46:D50)</f>
        <v>1456449.5999999996</v>
      </c>
      <c r="E51" s="108">
        <f>SUM(E46:E50)</f>
        <v>787509.89999999967</v>
      </c>
      <c r="F51" s="108">
        <f>+E51-D51</f>
        <v>-668939.69999999995</v>
      </c>
      <c r="G51" s="108">
        <f>+F51</f>
        <v>-668939.69999999995</v>
      </c>
    </row>
    <row r="52" spans="1:15" ht="15">
      <c r="A52" s="105" t="s">
        <v>740</v>
      </c>
      <c r="B52" s="105"/>
      <c r="C52" s="105"/>
      <c r="D52" s="110">
        <v>1546828</v>
      </c>
      <c r="E52" s="108">
        <f>+E51</f>
        <v>787509.89999999967</v>
      </c>
      <c r="F52" s="108">
        <f>+E52-D52</f>
        <v>-759318.10000000033</v>
      </c>
      <c r="G52" s="108">
        <f>+F52</f>
        <v>-759318.10000000033</v>
      </c>
    </row>
    <row r="53" spans="1:15" ht="17.25">
      <c r="A53" s="111" t="s">
        <v>741</v>
      </c>
      <c r="B53" s="105"/>
      <c r="C53" s="105"/>
      <c r="D53" s="112">
        <f>SUM(D46:D49)+(D50*0.5)</f>
        <v>1344959.6499999997</v>
      </c>
      <c r="E53" s="112">
        <f>SUM(E46:E49)+(E50*0.5)</f>
        <v>759637.41249999974</v>
      </c>
      <c r="F53" s="109">
        <f>+E53-D53</f>
        <v>-585322.23749999993</v>
      </c>
      <c r="G53" s="109">
        <f>SUM(G46:G49)+(G50*0.5)</f>
        <v>-585322.23749999993</v>
      </c>
    </row>
    <row r="54" spans="1:15" ht="15">
      <c r="A54" s="77" t="s">
        <v>742</v>
      </c>
    </row>
    <row r="55" spans="1:15">
      <c r="A55" t="s">
        <v>724</v>
      </c>
      <c r="B55" t="s">
        <v>687</v>
      </c>
      <c r="C55" t="s">
        <v>688</v>
      </c>
      <c r="D55" t="s">
        <v>689</v>
      </c>
      <c r="E55" t="s">
        <v>690</v>
      </c>
      <c r="F55" t="s">
        <v>691</v>
      </c>
      <c r="G55" t="s">
        <v>276</v>
      </c>
      <c r="H55" t="s">
        <v>692</v>
      </c>
      <c r="I55" t="s">
        <v>693</v>
      </c>
      <c r="J55" t="s">
        <v>694</v>
      </c>
      <c r="K55" t="s">
        <v>695</v>
      </c>
      <c r="L55" t="s">
        <v>696</v>
      </c>
      <c r="M55" t="s">
        <v>697</v>
      </c>
      <c r="N55" t="s">
        <v>687</v>
      </c>
      <c r="O55" t="s">
        <v>725</v>
      </c>
    </row>
    <row r="56" spans="1:15">
      <c r="A56" s="60">
        <f>+D83/12</f>
        <v>18581.658333333336</v>
      </c>
      <c r="B56" s="80">
        <f>+H19</f>
        <v>1129059</v>
      </c>
      <c r="C56" s="60">
        <f t="shared" ref="C56:N56" si="2">+B56+$A56</f>
        <v>1147640.6583333334</v>
      </c>
      <c r="D56" s="60">
        <f t="shared" si="2"/>
        <v>1166222.3166666669</v>
      </c>
      <c r="E56" s="60">
        <f t="shared" si="2"/>
        <v>1184803.9750000003</v>
      </c>
      <c r="F56" s="60">
        <f t="shared" si="2"/>
        <v>1203385.6333333338</v>
      </c>
      <c r="G56" s="60">
        <f t="shared" si="2"/>
        <v>1221967.2916666672</v>
      </c>
      <c r="H56" s="60">
        <f t="shared" si="2"/>
        <v>1240548.9500000007</v>
      </c>
      <c r="I56" s="60">
        <f t="shared" si="2"/>
        <v>1259130.6083333341</v>
      </c>
      <c r="J56" s="60">
        <f t="shared" si="2"/>
        <v>1277712.2666666675</v>
      </c>
      <c r="K56" s="60">
        <f t="shared" si="2"/>
        <v>1296293.925000001</v>
      </c>
      <c r="L56" s="60">
        <f t="shared" si="2"/>
        <v>1314875.5833333344</v>
      </c>
      <c r="M56" s="60">
        <f t="shared" si="2"/>
        <v>1333457.2416666679</v>
      </c>
      <c r="N56" s="60">
        <f t="shared" si="2"/>
        <v>1352038.9000000013</v>
      </c>
      <c r="O56" s="80">
        <f>ROUND(SUM(B56:N56)/13,0)</f>
        <v>1240549</v>
      </c>
    </row>
    <row r="57" spans="1:15">
      <c r="A57" s="60">
        <f>+G34/12</f>
        <v>4704.416666666667</v>
      </c>
      <c r="B57" s="80">
        <f>+H35</f>
        <v>508077</v>
      </c>
      <c r="C57" s="60">
        <f t="shared" ref="C57:N57" si="3">+B57+$A57</f>
        <v>512781.41666666669</v>
      </c>
      <c r="D57" s="60">
        <f t="shared" si="3"/>
        <v>517485.83333333337</v>
      </c>
      <c r="E57" s="60">
        <f t="shared" si="3"/>
        <v>522190.25000000006</v>
      </c>
      <c r="F57" s="60">
        <f t="shared" si="3"/>
        <v>526894.66666666674</v>
      </c>
      <c r="G57" s="60">
        <f t="shared" si="3"/>
        <v>531599.08333333337</v>
      </c>
      <c r="H57" s="60">
        <f t="shared" si="3"/>
        <v>536303.5</v>
      </c>
      <c r="I57" s="60">
        <f t="shared" si="3"/>
        <v>541007.91666666663</v>
      </c>
      <c r="J57" s="60">
        <f t="shared" si="3"/>
        <v>545712.33333333326</v>
      </c>
      <c r="K57" s="60">
        <f t="shared" si="3"/>
        <v>550416.74999999988</v>
      </c>
      <c r="L57" s="60">
        <f t="shared" si="3"/>
        <v>555121.16666666651</v>
      </c>
      <c r="M57" s="60">
        <f t="shared" si="3"/>
        <v>559825.58333333314</v>
      </c>
      <c r="N57" s="60">
        <f t="shared" si="3"/>
        <v>564529.99999999977</v>
      </c>
      <c r="O57" s="80">
        <f>ROUND(SUM(B57:N57)/13,0)</f>
        <v>536304</v>
      </c>
    </row>
    <row r="58" spans="1:15">
      <c r="A58" s="60">
        <f>+(E38+F38)/12</f>
        <v>-5749.833333333333</v>
      </c>
      <c r="B58" s="78">
        <f>+H37</f>
        <v>-620982</v>
      </c>
      <c r="C58" s="60">
        <f t="shared" ref="C58:N58" si="4">+B58+$A58</f>
        <v>-626731.83333333337</v>
      </c>
      <c r="D58" s="60">
        <f t="shared" si="4"/>
        <v>-632481.66666666674</v>
      </c>
      <c r="E58" s="60">
        <f t="shared" si="4"/>
        <v>-638231.50000000012</v>
      </c>
      <c r="F58" s="60">
        <f t="shared" si="4"/>
        <v>-643981.33333333349</v>
      </c>
      <c r="G58" s="60">
        <f t="shared" si="4"/>
        <v>-649731.16666666686</v>
      </c>
      <c r="H58" s="60">
        <f t="shared" si="4"/>
        <v>-655481.00000000023</v>
      </c>
      <c r="I58" s="60">
        <f t="shared" si="4"/>
        <v>-661230.8333333336</v>
      </c>
      <c r="J58" s="60">
        <f t="shared" si="4"/>
        <v>-666980.66666666698</v>
      </c>
      <c r="K58" s="60">
        <f t="shared" si="4"/>
        <v>-672730.50000000035</v>
      </c>
      <c r="L58" s="60">
        <f t="shared" si="4"/>
        <v>-678480.33333333372</v>
      </c>
      <c r="M58" s="60">
        <f t="shared" si="4"/>
        <v>-684230.16666666709</v>
      </c>
      <c r="N58" s="60">
        <f t="shared" si="4"/>
        <v>-689980.00000000047</v>
      </c>
      <c r="O58" s="80">
        <f>ROUND(SUM(B58:N58)/13,0)</f>
        <v>-655481</v>
      </c>
    </row>
    <row r="59" spans="1:15">
      <c r="A59" s="60"/>
      <c r="B59" s="80">
        <f t="shared" ref="B59:N59" si="5">+B57-B56</f>
        <v>-620982</v>
      </c>
      <c r="C59" s="80">
        <f t="shared" si="5"/>
        <v>-634859.2416666667</v>
      </c>
      <c r="D59" s="80">
        <f t="shared" si="5"/>
        <v>-648736.48333333351</v>
      </c>
      <c r="E59" s="80">
        <f t="shared" si="5"/>
        <v>-662613.72500000033</v>
      </c>
      <c r="F59" s="80">
        <f t="shared" si="5"/>
        <v>-676490.96666666702</v>
      </c>
      <c r="G59" s="80">
        <f t="shared" si="5"/>
        <v>-690368.20833333384</v>
      </c>
      <c r="H59" s="80">
        <f t="shared" si="5"/>
        <v>-704245.45000000065</v>
      </c>
      <c r="I59" s="80">
        <f t="shared" si="5"/>
        <v>-718122.69166666747</v>
      </c>
      <c r="J59" s="80">
        <f t="shared" si="5"/>
        <v>-731999.93333333428</v>
      </c>
      <c r="K59" s="80">
        <f t="shared" si="5"/>
        <v>-745877.17500000109</v>
      </c>
      <c r="L59" s="80">
        <f t="shared" si="5"/>
        <v>-759754.41666666791</v>
      </c>
      <c r="M59" s="80">
        <f t="shared" si="5"/>
        <v>-773631.65833333472</v>
      </c>
      <c r="N59" s="80">
        <f t="shared" si="5"/>
        <v>-787508.90000000154</v>
      </c>
      <c r="O59" s="80">
        <f>ROUND(SUM(B59:N59)/13,0)</f>
        <v>-704245</v>
      </c>
    </row>
    <row r="61" spans="1:15">
      <c r="A61" s="79">
        <f>+B61/A57</f>
        <v>6.0001062831027578</v>
      </c>
      <c r="B61" s="80">
        <f>+O57-B57</f>
        <v>28227</v>
      </c>
    </row>
    <row r="63" spans="1:15" ht="15">
      <c r="A63" s="114" t="s">
        <v>743</v>
      </c>
      <c r="B63" s="115"/>
      <c r="C63" s="115"/>
      <c r="D63" s="115"/>
      <c r="E63" s="115"/>
      <c r="F63" s="115"/>
      <c r="G63" s="115"/>
      <c r="H63" s="115"/>
      <c r="I63" s="115"/>
      <c r="J63" s="115"/>
      <c r="K63" s="115"/>
      <c r="L63" s="115"/>
      <c r="M63" s="115"/>
      <c r="N63" s="115"/>
      <c r="O63" s="115"/>
    </row>
    <row r="64" spans="1:15">
      <c r="A64" s="115" t="s">
        <v>724</v>
      </c>
      <c r="B64" s="115" t="s">
        <v>687</v>
      </c>
      <c r="C64" s="115" t="s">
        <v>688</v>
      </c>
      <c r="D64" s="115" t="s">
        <v>689</v>
      </c>
      <c r="E64" s="115" t="s">
        <v>690</v>
      </c>
      <c r="F64" s="115" t="s">
        <v>691</v>
      </c>
      <c r="G64" s="115" t="s">
        <v>276</v>
      </c>
      <c r="H64" s="115" t="s">
        <v>692</v>
      </c>
      <c r="I64" s="115" t="s">
        <v>693</v>
      </c>
      <c r="J64" s="115" t="s">
        <v>694</v>
      </c>
      <c r="K64" s="115" t="s">
        <v>695</v>
      </c>
      <c r="L64" s="115" t="s">
        <v>696</v>
      </c>
      <c r="M64" s="115" t="s">
        <v>697</v>
      </c>
      <c r="N64" s="115" t="s">
        <v>687</v>
      </c>
      <c r="O64" s="115" t="s">
        <v>725</v>
      </c>
    </row>
    <row r="65" spans="1:15">
      <c r="A65" s="116">
        <f>+G27/12</f>
        <v>0</v>
      </c>
      <c r="B65" s="117">
        <f>+H28</f>
        <v>0</v>
      </c>
      <c r="C65" s="116">
        <f t="shared" ref="C65:N65" si="6">+B65+$A65</f>
        <v>0</v>
      </c>
      <c r="D65" s="116">
        <f t="shared" si="6"/>
        <v>0</v>
      </c>
      <c r="E65" s="116">
        <f t="shared" si="6"/>
        <v>0</v>
      </c>
      <c r="F65" s="116">
        <f t="shared" si="6"/>
        <v>0</v>
      </c>
      <c r="G65" s="116">
        <f t="shared" si="6"/>
        <v>0</v>
      </c>
      <c r="H65" s="116">
        <f t="shared" si="6"/>
        <v>0</v>
      </c>
      <c r="I65" s="116">
        <f t="shared" si="6"/>
        <v>0</v>
      </c>
      <c r="J65" s="116">
        <f t="shared" si="6"/>
        <v>0</v>
      </c>
      <c r="K65" s="116">
        <f t="shared" si="6"/>
        <v>0</v>
      </c>
      <c r="L65" s="116">
        <f t="shared" si="6"/>
        <v>0</v>
      </c>
      <c r="M65" s="116">
        <f t="shared" si="6"/>
        <v>0</v>
      </c>
      <c r="N65" s="116">
        <f t="shared" si="6"/>
        <v>0</v>
      </c>
      <c r="O65" s="117">
        <f>ROUND(SUM(B65:N65)/13,0)</f>
        <v>0</v>
      </c>
    </row>
    <row r="66" spans="1:15">
      <c r="A66" s="116">
        <f>+G43/12</f>
        <v>0</v>
      </c>
      <c r="B66" s="117">
        <f>+H44</f>
        <v>0</v>
      </c>
      <c r="C66" s="116">
        <f t="shared" ref="C66:N66" si="7">+B66+$A66</f>
        <v>0</v>
      </c>
      <c r="D66" s="116">
        <f t="shared" si="7"/>
        <v>0</v>
      </c>
      <c r="E66" s="116">
        <f t="shared" si="7"/>
        <v>0</v>
      </c>
      <c r="F66" s="116">
        <f t="shared" si="7"/>
        <v>0</v>
      </c>
      <c r="G66" s="116">
        <f t="shared" si="7"/>
        <v>0</v>
      </c>
      <c r="H66" s="116">
        <f t="shared" si="7"/>
        <v>0</v>
      </c>
      <c r="I66" s="116">
        <f t="shared" si="7"/>
        <v>0</v>
      </c>
      <c r="J66" s="116">
        <f t="shared" si="7"/>
        <v>0</v>
      </c>
      <c r="K66" s="116">
        <f t="shared" si="7"/>
        <v>0</v>
      </c>
      <c r="L66" s="116">
        <f t="shared" si="7"/>
        <v>0</v>
      </c>
      <c r="M66" s="116">
        <f t="shared" si="7"/>
        <v>0</v>
      </c>
      <c r="N66" s="116">
        <f t="shared" si="7"/>
        <v>0</v>
      </c>
      <c r="O66" s="117">
        <f>ROUND(SUM(B66:N66)/13,0)</f>
        <v>0</v>
      </c>
    </row>
    <row r="67" spans="1:15">
      <c r="A67" s="116">
        <f>+(E48+F48)/12</f>
        <v>4645.4145833333332</v>
      </c>
      <c r="B67" s="118">
        <f>+D52</f>
        <v>1546828</v>
      </c>
      <c r="C67" s="116">
        <f t="shared" ref="C67:N67" si="8">+B67+$A67</f>
        <v>1551473.4145833333</v>
      </c>
      <c r="D67" s="116">
        <f t="shared" si="8"/>
        <v>1556118.8291666666</v>
      </c>
      <c r="E67" s="116">
        <f t="shared" si="8"/>
        <v>1560764.2437499999</v>
      </c>
      <c r="F67" s="116">
        <f t="shared" si="8"/>
        <v>1565409.6583333332</v>
      </c>
      <c r="G67" s="116">
        <f t="shared" si="8"/>
        <v>1570055.0729166665</v>
      </c>
      <c r="H67" s="116">
        <f t="shared" si="8"/>
        <v>1574700.4874999998</v>
      </c>
      <c r="I67" s="116">
        <f t="shared" si="8"/>
        <v>1579345.9020833331</v>
      </c>
      <c r="J67" s="116">
        <f t="shared" si="8"/>
        <v>1583991.3166666664</v>
      </c>
      <c r="K67" s="116">
        <f t="shared" si="8"/>
        <v>1588636.7312499997</v>
      </c>
      <c r="L67" s="116">
        <f t="shared" si="8"/>
        <v>1593282.145833333</v>
      </c>
      <c r="M67" s="116">
        <f t="shared" si="8"/>
        <v>1597927.5604166663</v>
      </c>
      <c r="N67" s="116">
        <f t="shared" si="8"/>
        <v>1602572.9749999996</v>
      </c>
      <c r="O67" s="117">
        <f>ROUND(SUM(B67:N67)/13,0)</f>
        <v>1574700</v>
      </c>
    </row>
    <row r="68" spans="1:15">
      <c r="A68" s="116"/>
      <c r="B68" s="117">
        <f t="shared" ref="B68:N68" si="9">+B66-B65</f>
        <v>0</v>
      </c>
      <c r="C68" s="117">
        <f t="shared" si="9"/>
        <v>0</v>
      </c>
      <c r="D68" s="117">
        <f t="shared" si="9"/>
        <v>0</v>
      </c>
      <c r="E68" s="117">
        <f t="shared" si="9"/>
        <v>0</v>
      </c>
      <c r="F68" s="117">
        <f t="shared" si="9"/>
        <v>0</v>
      </c>
      <c r="G68" s="117">
        <f t="shared" si="9"/>
        <v>0</v>
      </c>
      <c r="H68" s="117">
        <f t="shared" si="9"/>
        <v>0</v>
      </c>
      <c r="I68" s="117">
        <f t="shared" si="9"/>
        <v>0</v>
      </c>
      <c r="J68" s="117">
        <f t="shared" si="9"/>
        <v>0</v>
      </c>
      <c r="K68" s="117">
        <f t="shared" si="9"/>
        <v>0</v>
      </c>
      <c r="L68" s="117">
        <f t="shared" si="9"/>
        <v>0</v>
      </c>
      <c r="M68" s="117">
        <f t="shared" si="9"/>
        <v>0</v>
      </c>
      <c r="N68" s="117">
        <f t="shared" si="9"/>
        <v>0</v>
      </c>
      <c r="O68" s="117">
        <f>ROUND(SUM(B68:N68)/13,0)</f>
        <v>0</v>
      </c>
    </row>
    <row r="69" spans="1:15">
      <c r="A69" s="115"/>
      <c r="B69" s="115"/>
      <c r="C69" s="115"/>
      <c r="D69" s="115"/>
      <c r="E69" s="115"/>
      <c r="F69" s="115"/>
      <c r="G69" s="115"/>
      <c r="H69" s="115"/>
      <c r="I69" s="115"/>
      <c r="J69" s="115"/>
      <c r="K69" s="115"/>
      <c r="L69" s="115"/>
      <c r="M69" s="115"/>
      <c r="N69" s="115"/>
      <c r="O69" s="115"/>
    </row>
    <row r="70" spans="1:15">
      <c r="A70" s="119" t="e">
        <f>+B70/A66</f>
        <v>#DIV/0!</v>
      </c>
      <c r="B70" s="117">
        <f>+O66-B66</f>
        <v>0</v>
      </c>
      <c r="C70" s="115"/>
      <c r="D70" s="115"/>
      <c r="E70" s="115"/>
      <c r="F70" s="115"/>
      <c r="G70" s="115"/>
      <c r="H70" s="115"/>
      <c r="I70" s="115"/>
      <c r="J70" s="115"/>
      <c r="K70" s="115"/>
      <c r="L70" s="115"/>
      <c r="M70" s="115"/>
      <c r="N70" s="115"/>
      <c r="O70" s="115"/>
    </row>
    <row r="71" spans="1:15">
      <c r="A71" s="115"/>
      <c r="B71" s="115"/>
      <c r="C71" s="115"/>
      <c r="D71" s="115"/>
      <c r="E71" s="115"/>
      <c r="F71" s="115"/>
      <c r="G71" s="115"/>
      <c r="H71" s="115"/>
      <c r="I71" s="115"/>
      <c r="J71" s="115"/>
      <c r="K71" s="115"/>
      <c r="L71" s="115"/>
      <c r="M71" s="115"/>
      <c r="N71" s="115"/>
      <c r="O71" s="115"/>
    </row>
    <row r="72" spans="1:15">
      <c r="A72" s="115"/>
      <c r="B72" s="115" t="s">
        <v>722</v>
      </c>
      <c r="C72" s="115" t="s">
        <v>723</v>
      </c>
      <c r="D72" s="115"/>
      <c r="E72" s="115"/>
      <c r="F72" s="115"/>
      <c r="G72" s="115"/>
      <c r="H72" s="115"/>
      <c r="I72" s="115"/>
      <c r="J72" s="115"/>
      <c r="K72" s="115"/>
      <c r="L72" s="115"/>
      <c r="M72" s="115"/>
      <c r="N72" s="115"/>
      <c r="O72" s="115"/>
    </row>
    <row r="73" spans="1:15">
      <c r="A73" s="115"/>
      <c r="B73" s="115">
        <v>2015</v>
      </c>
      <c r="C73" s="115">
        <v>2015</v>
      </c>
      <c r="D73" s="115">
        <v>2019</v>
      </c>
      <c r="E73" s="115"/>
      <c r="F73" s="115"/>
      <c r="G73" s="115"/>
      <c r="H73" s="115"/>
      <c r="I73" s="115"/>
      <c r="J73" s="115"/>
      <c r="K73" s="115"/>
      <c r="L73" s="115"/>
      <c r="M73" s="115"/>
      <c r="N73" s="115"/>
      <c r="O73" s="115"/>
    </row>
    <row r="74" spans="1:15">
      <c r="A74" s="115" t="s">
        <v>716</v>
      </c>
      <c r="B74" s="120">
        <v>2227820</v>
      </c>
      <c r="C74" s="120">
        <v>2227820</v>
      </c>
      <c r="D74" s="120">
        <v>2229799</v>
      </c>
      <c r="E74" s="115"/>
      <c r="F74" s="115"/>
      <c r="G74" s="115"/>
      <c r="H74" s="115"/>
      <c r="I74" s="115"/>
      <c r="J74" s="115"/>
      <c r="K74" s="115"/>
      <c r="L74" s="115"/>
      <c r="M74" s="115"/>
      <c r="N74" s="115"/>
      <c r="O74" s="115"/>
    </row>
    <row r="75" spans="1:15">
      <c r="A75" s="115" t="s">
        <v>718</v>
      </c>
      <c r="B75" s="115">
        <v>40</v>
      </c>
      <c r="C75" s="115">
        <v>40</v>
      </c>
      <c r="D75" s="115">
        <v>40</v>
      </c>
      <c r="E75" s="115"/>
      <c r="F75" s="115"/>
      <c r="G75" s="115"/>
      <c r="H75" s="115"/>
      <c r="I75" s="115"/>
      <c r="J75" s="115"/>
      <c r="K75" s="115"/>
      <c r="L75" s="115"/>
      <c r="M75" s="115"/>
      <c r="N75" s="115"/>
      <c r="O75" s="115"/>
    </row>
    <row r="76" spans="1:15">
      <c r="A76" s="115" t="s">
        <v>717</v>
      </c>
      <c r="B76" s="121">
        <f>1/B75</f>
        <v>2.5000000000000001E-2</v>
      </c>
      <c r="C76" s="121">
        <f>1/C75</f>
        <v>2.5000000000000001E-2</v>
      </c>
      <c r="D76" s="121">
        <f>1/40</f>
        <v>2.5000000000000001E-2</v>
      </c>
      <c r="E76" s="115"/>
      <c r="F76" s="115"/>
      <c r="G76" s="115"/>
      <c r="H76" s="115"/>
      <c r="I76" s="115"/>
      <c r="J76" s="115"/>
      <c r="K76" s="115"/>
      <c r="L76" s="115"/>
      <c r="M76" s="115"/>
      <c r="N76" s="115"/>
      <c r="O76" s="115"/>
    </row>
    <row r="77" spans="1:15">
      <c r="A77" s="115" t="s">
        <v>719</v>
      </c>
      <c r="B77" s="120">
        <v>56453</v>
      </c>
      <c r="C77" s="120">
        <f>+C74*C76</f>
        <v>55695.5</v>
      </c>
      <c r="D77" s="120">
        <f>+D74*D76</f>
        <v>55744.975000000006</v>
      </c>
      <c r="E77" s="115"/>
      <c r="F77" s="115"/>
      <c r="G77" s="122">
        <f>+B77/B74</f>
        <v>2.5340018493415089E-2</v>
      </c>
      <c r="H77" s="115"/>
      <c r="I77" s="115"/>
      <c r="J77" s="115"/>
      <c r="K77" s="115"/>
      <c r="L77" s="115"/>
      <c r="M77" s="115"/>
      <c r="N77" s="115"/>
      <c r="O77" s="115"/>
    </row>
    <row r="78" spans="1:15">
      <c r="A78" s="115" t="s">
        <v>720</v>
      </c>
      <c r="B78" s="120">
        <v>536304</v>
      </c>
      <c r="C78" s="120">
        <v>564530</v>
      </c>
      <c r="D78" s="120">
        <f>(+D77*4)+C78</f>
        <v>787509.9</v>
      </c>
      <c r="E78" s="115"/>
      <c r="F78" s="115"/>
      <c r="G78" s="115"/>
      <c r="H78" s="115"/>
      <c r="I78" s="115"/>
      <c r="J78" s="115"/>
      <c r="K78" s="115"/>
      <c r="L78" s="115"/>
      <c r="M78" s="115"/>
      <c r="N78" s="115"/>
      <c r="O78" s="115"/>
    </row>
    <row r="79" spans="1:15">
      <c r="A79" s="115"/>
      <c r="B79" s="115"/>
      <c r="C79" s="115"/>
      <c r="D79" s="115"/>
      <c r="E79" s="115"/>
      <c r="F79" s="115"/>
      <c r="G79" s="115"/>
      <c r="H79" s="115"/>
      <c r="I79" s="115"/>
      <c r="J79" s="115"/>
      <c r="K79" s="115"/>
      <c r="L79" s="115"/>
      <c r="M79" s="115"/>
      <c r="N79" s="115"/>
      <c r="O79" s="115"/>
    </row>
    <row r="80" spans="1:15">
      <c r="A80" s="115" t="s">
        <v>353</v>
      </c>
      <c r="B80" s="115"/>
      <c r="C80" s="115"/>
      <c r="D80" s="115"/>
      <c r="E80" s="115"/>
      <c r="F80" s="115"/>
      <c r="G80" s="115"/>
      <c r="H80" s="115"/>
      <c r="I80" s="115"/>
      <c r="J80" s="115"/>
      <c r="K80" s="115"/>
      <c r="L80" s="115"/>
      <c r="M80" s="115"/>
      <c r="N80" s="115"/>
      <c r="O80" s="115"/>
    </row>
    <row r="81" spans="1:15">
      <c r="A81" s="115" t="s">
        <v>718</v>
      </c>
      <c r="B81" s="115">
        <v>10</v>
      </c>
      <c r="C81" s="115">
        <v>10</v>
      </c>
      <c r="D81" s="115">
        <v>10</v>
      </c>
      <c r="E81" s="115"/>
      <c r="F81" s="115"/>
      <c r="G81" s="115"/>
      <c r="H81" s="115"/>
      <c r="I81" s="115"/>
      <c r="J81" s="115"/>
      <c r="K81" s="115"/>
      <c r="L81" s="115"/>
      <c r="M81" s="115"/>
      <c r="N81" s="115"/>
      <c r="O81" s="115"/>
    </row>
    <row r="82" spans="1:15">
      <c r="A82" s="115" t="s">
        <v>717</v>
      </c>
      <c r="B82" s="121">
        <f>1/B81</f>
        <v>0.1</v>
      </c>
      <c r="C82" s="121">
        <f>1/C81</f>
        <v>0.1</v>
      </c>
      <c r="D82" s="121">
        <f>1/D81</f>
        <v>0.1</v>
      </c>
      <c r="E82" s="115"/>
      <c r="F82" s="115"/>
      <c r="G82" s="115"/>
      <c r="H82" s="115"/>
      <c r="I82" s="115"/>
      <c r="J82" s="115"/>
      <c r="K82" s="115"/>
      <c r="L82" s="115"/>
      <c r="M82" s="115"/>
      <c r="N82" s="115"/>
      <c r="O82" s="115"/>
    </row>
    <row r="83" spans="1:15">
      <c r="A83" s="115" t="s">
        <v>719</v>
      </c>
      <c r="B83" s="120">
        <f>+B74*B82</f>
        <v>222782</v>
      </c>
      <c r="C83" s="120">
        <f>+C74*C82</f>
        <v>222782</v>
      </c>
      <c r="D83" s="120">
        <f>+D74*D82</f>
        <v>222979.90000000002</v>
      </c>
      <c r="E83" s="115" t="s">
        <v>721</v>
      </c>
      <c r="F83" s="115"/>
      <c r="G83" s="115"/>
      <c r="H83" s="115"/>
      <c r="I83" s="115"/>
      <c r="J83" s="115"/>
      <c r="K83" s="115"/>
      <c r="L83" s="115"/>
      <c r="M83" s="115"/>
      <c r="N83" s="115"/>
      <c r="O83" s="115"/>
    </row>
    <row r="84" spans="1:15">
      <c r="A84" s="115" t="s">
        <v>720</v>
      </c>
      <c r="B84" s="120">
        <f>+B78</f>
        <v>536304</v>
      </c>
      <c r="C84" s="120">
        <f>+C78</f>
        <v>564530</v>
      </c>
      <c r="D84" s="120">
        <f>(+D83*4)+C84</f>
        <v>1456449.6</v>
      </c>
      <c r="E84" s="115"/>
      <c r="F84" s="115"/>
      <c r="G84" s="115"/>
      <c r="H84" s="115"/>
      <c r="I84" s="115"/>
      <c r="J84" s="115"/>
      <c r="K84" s="115"/>
      <c r="L84" s="115"/>
      <c r="M84" s="115"/>
      <c r="N84" s="115"/>
      <c r="O84" s="115"/>
    </row>
    <row r="85" spans="1:15">
      <c r="A85" s="115" t="s">
        <v>657</v>
      </c>
      <c r="B85" s="115"/>
      <c r="C85" s="115"/>
      <c r="D85" s="120">
        <v>1546828</v>
      </c>
      <c r="E85" s="115"/>
      <c r="F85" s="115"/>
      <c r="G85" s="115"/>
      <c r="H85" s="115"/>
      <c r="I85" s="115"/>
      <c r="J85" s="115"/>
      <c r="K85" s="115"/>
      <c r="L85" s="115"/>
      <c r="M85" s="115"/>
      <c r="N85" s="115"/>
      <c r="O85" s="115"/>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tabColor rgb="FF66FFFF"/>
    <pageSetUpPr fitToPage="1"/>
  </sheetPr>
  <dimension ref="A1:W75"/>
  <sheetViews>
    <sheetView workbookViewId="0"/>
  </sheetViews>
  <sheetFormatPr defaultColWidth="9.28515625" defaultRowHeight="11.25"/>
  <cols>
    <col min="1" max="1" width="5.28515625" style="16" customWidth="1"/>
    <col min="2" max="2" width="10.28515625" style="16" customWidth="1"/>
    <col min="3" max="3" width="28.7109375" style="16" customWidth="1"/>
    <col min="4" max="15" width="11.7109375" style="16" customWidth="1"/>
    <col min="16" max="16" width="11.7109375" style="16" bestFit="1" customWidth="1"/>
    <col min="17" max="17" width="6.7109375" style="16" bestFit="1" customWidth="1"/>
    <col min="18" max="18" width="10.7109375" style="16" bestFit="1" customWidth="1"/>
    <col min="19" max="19" width="11.7109375" style="16" customWidth="1"/>
    <col min="20" max="20" width="5" style="16" customWidth="1"/>
    <col min="21" max="21" width="14" style="16" bestFit="1" customWidth="1"/>
    <col min="22" max="16384" width="9.28515625" style="16"/>
  </cols>
  <sheetData>
    <row r="1" spans="1:22">
      <c r="A1" s="15" t="s">
        <v>627</v>
      </c>
      <c r="D1" s="17"/>
      <c r="E1" s="17"/>
      <c r="F1" s="17"/>
      <c r="H1" s="17"/>
      <c r="I1" s="17"/>
      <c r="J1" s="17"/>
      <c r="K1" s="17"/>
      <c r="L1" s="17"/>
      <c r="N1" s="18" t="s">
        <v>215</v>
      </c>
      <c r="O1" s="19" t="s">
        <v>216</v>
      </c>
      <c r="P1" s="20" t="s">
        <v>217</v>
      </c>
      <c r="Q1" s="6"/>
      <c r="R1" s="7"/>
      <c r="S1" s="8"/>
    </row>
    <row r="2" spans="1:22">
      <c r="A2" s="15" t="s">
        <v>214</v>
      </c>
      <c r="D2" s="17"/>
      <c r="E2" s="17"/>
      <c r="F2" s="17"/>
      <c r="H2" s="17"/>
      <c r="I2" s="17"/>
      <c r="J2" s="17"/>
      <c r="K2" s="17"/>
      <c r="L2" s="17"/>
      <c r="N2" s="21">
        <f>SUM(O2:P2)</f>
        <v>67320.100000000006</v>
      </c>
      <c r="O2" s="22">
        <v>35101.300000000003</v>
      </c>
      <c r="P2" s="44">
        <v>32218.799999999999</v>
      </c>
      <c r="Q2" s="9"/>
      <c r="R2" s="4"/>
      <c r="S2" s="8"/>
    </row>
    <row r="3" spans="1:22">
      <c r="A3" s="23"/>
      <c r="D3" s="3"/>
      <c r="E3" s="17"/>
      <c r="F3" s="17"/>
      <c r="H3" s="17"/>
      <c r="I3" s="17"/>
      <c r="J3" s="17"/>
      <c r="K3" s="17"/>
      <c r="L3" s="17"/>
      <c r="N3" s="24">
        <v>1</v>
      </c>
      <c r="O3" s="25">
        <f>ROUND(+O2/N2,4)</f>
        <v>0.52139999999999997</v>
      </c>
      <c r="P3" s="26">
        <f>ROUND(+P2/N2,4)</f>
        <v>0.47860000000000003</v>
      </c>
      <c r="Q3" s="10"/>
      <c r="R3" s="4"/>
      <c r="S3" s="4"/>
    </row>
    <row r="4" spans="1:22" ht="11.25" customHeight="1">
      <c r="A4" s="23"/>
      <c r="D4" s="61">
        <v>4</v>
      </c>
      <c r="E4" s="61">
        <v>5</v>
      </c>
      <c r="F4" s="61">
        <v>6</v>
      </c>
      <c r="G4" s="61">
        <v>7</v>
      </c>
      <c r="H4" s="61">
        <v>8</v>
      </c>
      <c r="I4" s="61">
        <v>9</v>
      </c>
      <c r="J4" s="61">
        <v>10</v>
      </c>
      <c r="K4" s="61">
        <v>11</v>
      </c>
      <c r="L4" s="61">
        <v>12</v>
      </c>
      <c r="M4" s="61">
        <v>13</v>
      </c>
      <c r="N4" s="61">
        <v>14</v>
      </c>
      <c r="O4" s="61">
        <v>15</v>
      </c>
      <c r="P4" s="27"/>
      <c r="Q4" s="11"/>
      <c r="R4" s="1022" t="s">
        <v>218</v>
      </c>
      <c r="S4" s="1022"/>
      <c r="T4" s="40"/>
    </row>
    <row r="5" spans="1:22">
      <c r="A5" s="28"/>
      <c r="B5" s="28"/>
      <c r="D5" s="17"/>
      <c r="E5" s="17"/>
      <c r="F5" s="17"/>
      <c r="H5" s="17"/>
      <c r="I5" s="17"/>
      <c r="J5" s="17"/>
      <c r="K5" s="17"/>
      <c r="L5" s="17"/>
      <c r="N5" s="17"/>
      <c r="O5" s="17"/>
      <c r="Q5" s="4"/>
      <c r="R5" s="4"/>
      <c r="S5" s="4"/>
    </row>
    <row r="6" spans="1:22" ht="22.5">
      <c r="A6" s="28" t="s">
        <v>219</v>
      </c>
      <c r="B6" s="28" t="s">
        <v>220</v>
      </c>
      <c r="C6" s="29" t="s">
        <v>352</v>
      </c>
      <c r="D6" s="2">
        <v>43466</v>
      </c>
      <c r="E6" s="2">
        <v>43497</v>
      </c>
      <c r="F6" s="2">
        <v>43525</v>
      </c>
      <c r="G6" s="2">
        <v>43556</v>
      </c>
      <c r="H6" s="2">
        <v>43586</v>
      </c>
      <c r="I6" s="2">
        <v>43617</v>
      </c>
      <c r="J6" s="2">
        <v>43647</v>
      </c>
      <c r="K6" s="2">
        <v>43678</v>
      </c>
      <c r="L6" s="2">
        <v>43709</v>
      </c>
      <c r="M6" s="2">
        <v>43739</v>
      </c>
      <c r="N6" s="2">
        <v>43770</v>
      </c>
      <c r="O6" s="2">
        <v>43800</v>
      </c>
      <c r="P6" s="30" t="s">
        <v>438</v>
      </c>
      <c r="Q6" s="49" t="s">
        <v>257</v>
      </c>
      <c r="R6" s="12" t="s">
        <v>517</v>
      </c>
      <c r="S6" s="12" t="s">
        <v>792</v>
      </c>
      <c r="T6" s="41"/>
      <c r="U6" s="71" t="s">
        <v>81</v>
      </c>
      <c r="V6" s="29"/>
    </row>
    <row r="7" spans="1:22">
      <c r="Q7" s="45"/>
      <c r="R7" s="4"/>
      <c r="S7" s="4"/>
      <c r="U7" s="43"/>
    </row>
    <row r="8" spans="1:22">
      <c r="Q8" s="45"/>
      <c r="R8" s="4"/>
      <c r="S8" s="4"/>
      <c r="U8" s="43"/>
    </row>
    <row r="9" spans="1:22">
      <c r="C9" s="16" t="s">
        <v>221</v>
      </c>
      <c r="D9" s="17"/>
      <c r="E9" s="17"/>
      <c r="F9" s="17"/>
      <c r="G9" s="17"/>
      <c r="H9" s="17"/>
      <c r="I9" s="17"/>
      <c r="J9" s="17"/>
      <c r="K9" s="17"/>
      <c r="L9" s="17"/>
      <c r="M9" s="17"/>
      <c r="N9" s="17"/>
      <c r="O9" s="17"/>
      <c r="P9" s="17">
        <f>SUM(D9:O9)</f>
        <v>0</v>
      </c>
      <c r="Q9" s="46"/>
      <c r="R9" s="5">
        <f>+P9</f>
        <v>0</v>
      </c>
      <c r="S9" s="5"/>
      <c r="U9" s="43"/>
    </row>
    <row r="10" spans="1:22">
      <c r="C10" s="16" t="s">
        <v>222</v>
      </c>
      <c r="D10" s="17"/>
      <c r="E10" s="17"/>
      <c r="F10" s="17"/>
      <c r="G10" s="17"/>
      <c r="H10" s="17"/>
      <c r="I10" s="17"/>
      <c r="J10" s="17"/>
      <c r="K10" s="17"/>
      <c r="L10" s="17"/>
      <c r="M10" s="17"/>
      <c r="N10" s="17"/>
      <c r="O10" s="17"/>
      <c r="P10" s="17">
        <f>SUM(D10:O10)</f>
        <v>0</v>
      </c>
      <c r="Q10" s="46"/>
      <c r="R10" s="5"/>
      <c r="S10" s="5">
        <f>+P10</f>
        <v>0</v>
      </c>
      <c r="U10" s="43"/>
    </row>
    <row r="11" spans="1:22" s="33" customFormat="1">
      <c r="A11" s="31">
        <v>7540</v>
      </c>
      <c r="B11" s="35" t="s">
        <v>278</v>
      </c>
      <c r="C11" s="33" t="s">
        <v>223</v>
      </c>
      <c r="D11" s="66">
        <v>800493.7</v>
      </c>
      <c r="E11" s="66">
        <v>0</v>
      </c>
      <c r="F11" s="66">
        <v>14638.28</v>
      </c>
      <c r="G11" s="66">
        <v>0</v>
      </c>
      <c r="H11" s="66">
        <v>0</v>
      </c>
      <c r="I11" s="66">
        <v>0</v>
      </c>
      <c r="J11" s="66">
        <v>840022.57</v>
      </c>
      <c r="K11" s="66">
        <v>0</v>
      </c>
      <c r="L11" s="66">
        <v>0</v>
      </c>
      <c r="M11" s="66">
        <v>0</v>
      </c>
      <c r="N11" s="66">
        <v>0</v>
      </c>
      <c r="O11" s="66">
        <v>40500.35</v>
      </c>
      <c r="P11" s="67">
        <f>SUM(D11:O11)</f>
        <v>1695654.9</v>
      </c>
      <c r="Q11" s="47" t="s">
        <v>40</v>
      </c>
      <c r="R11" s="70">
        <f>+P11*E61</f>
        <v>746596.85247000004</v>
      </c>
      <c r="S11" s="70">
        <f>+P11*E62</f>
        <v>949058.04752999987</v>
      </c>
      <c r="U11" s="70">
        <f>SUM(R11:S11)</f>
        <v>1695654.9</v>
      </c>
    </row>
    <row r="12" spans="1:22">
      <c r="A12" s="23"/>
      <c r="B12" s="35"/>
      <c r="D12" s="36">
        <f>+D9+D10</f>
        <v>0</v>
      </c>
      <c r="E12" s="36">
        <f t="shared" ref="E12:O12" si="0">+E9+E10</f>
        <v>0</v>
      </c>
      <c r="F12" s="36">
        <f t="shared" si="0"/>
        <v>0</v>
      </c>
      <c r="G12" s="36">
        <f t="shared" si="0"/>
        <v>0</v>
      </c>
      <c r="H12" s="36">
        <f t="shared" si="0"/>
        <v>0</v>
      </c>
      <c r="I12" s="36">
        <f t="shared" si="0"/>
        <v>0</v>
      </c>
      <c r="J12" s="36">
        <f t="shared" si="0"/>
        <v>0</v>
      </c>
      <c r="K12" s="36">
        <f t="shared" si="0"/>
        <v>0</v>
      </c>
      <c r="L12" s="36">
        <f t="shared" si="0"/>
        <v>0</v>
      </c>
      <c r="M12" s="36">
        <f t="shared" si="0"/>
        <v>0</v>
      </c>
      <c r="N12" s="36">
        <f t="shared" si="0"/>
        <v>0</v>
      </c>
      <c r="O12" s="36">
        <f t="shared" si="0"/>
        <v>0</v>
      </c>
      <c r="P12" s="36"/>
      <c r="Q12" s="48"/>
      <c r="R12" s="11"/>
      <c r="S12" s="14"/>
      <c r="U12" s="43"/>
    </row>
    <row r="13" spans="1:22">
      <c r="Q13" s="45"/>
      <c r="R13" s="4"/>
      <c r="S13" s="4"/>
      <c r="U13" s="43"/>
    </row>
    <row r="14" spans="1:22">
      <c r="A14" s="23">
        <v>7510</v>
      </c>
      <c r="B14" s="35" t="s">
        <v>224</v>
      </c>
      <c r="C14" s="16" t="s">
        <v>225</v>
      </c>
      <c r="D14" s="62">
        <v>37832.89</v>
      </c>
      <c r="E14" s="62">
        <v>34589.94</v>
      </c>
      <c r="F14" s="62">
        <v>35172.019999999997</v>
      </c>
      <c r="G14" s="62">
        <v>51116.69</v>
      </c>
      <c r="H14" s="62">
        <v>35560.720000000001</v>
      </c>
      <c r="I14" s="62">
        <v>32908.839999999997</v>
      </c>
      <c r="J14" s="62">
        <v>36507.51</v>
      </c>
      <c r="K14" s="62">
        <v>35364.97</v>
      </c>
      <c r="L14" s="62">
        <v>33314.57</v>
      </c>
      <c r="M14" s="62">
        <v>35067.699999999997</v>
      </c>
      <c r="N14" s="62">
        <v>32059.99</v>
      </c>
      <c r="O14" s="62">
        <v>34854.57</v>
      </c>
      <c r="P14" s="17">
        <f>SUM(D14:O14)</f>
        <v>434350.41</v>
      </c>
      <c r="Q14" s="46"/>
      <c r="R14" s="70">
        <f>+P14*E$67</f>
        <v>226470.30377399997</v>
      </c>
      <c r="S14" s="70">
        <f>+P14*E$68</f>
        <v>207880.106226</v>
      </c>
      <c r="T14" s="17"/>
      <c r="U14" s="43">
        <f>SUM(R14:S14)</f>
        <v>434350.41</v>
      </c>
    </row>
    <row r="15" spans="1:22">
      <c r="A15" s="23">
        <v>7515</v>
      </c>
      <c r="B15" s="35" t="s">
        <v>224</v>
      </c>
      <c r="C15" s="16" t="s">
        <v>226</v>
      </c>
      <c r="D15" s="62">
        <v>3063.32</v>
      </c>
      <c r="E15" s="62">
        <v>928.18</v>
      </c>
      <c r="F15" s="62">
        <v>227.34</v>
      </c>
      <c r="G15" s="62">
        <v>40.85</v>
      </c>
      <c r="H15" s="62">
        <v>28.79</v>
      </c>
      <c r="I15" s="62">
        <v>34.869999999999997</v>
      </c>
      <c r="J15" s="62">
        <v>122.49</v>
      </c>
      <c r="K15" s="62">
        <v>61.53</v>
      </c>
      <c r="L15" s="62">
        <v>58.44</v>
      </c>
      <c r="M15" s="62">
        <v>25.42</v>
      </c>
      <c r="N15" s="62">
        <v>-50.61</v>
      </c>
      <c r="O15" s="62">
        <v>776.76</v>
      </c>
      <c r="P15" s="17">
        <f>SUM(D15:O15)</f>
        <v>5317.38</v>
      </c>
      <c r="Q15" s="46"/>
      <c r="R15" s="70">
        <f>+P15*E$67</f>
        <v>2772.4819320000001</v>
      </c>
      <c r="S15" s="70">
        <f>+P15*E$68</f>
        <v>2544.898068</v>
      </c>
      <c r="T15" s="17"/>
      <c r="U15" s="43">
        <f>SUM(R15:S15)</f>
        <v>5317.38</v>
      </c>
    </row>
    <row r="16" spans="1:22">
      <c r="A16" s="23">
        <v>7520</v>
      </c>
      <c r="B16" s="35" t="s">
        <v>224</v>
      </c>
      <c r="C16" s="16" t="s">
        <v>227</v>
      </c>
      <c r="D16" s="62">
        <v>3089.87</v>
      </c>
      <c r="E16" s="62">
        <v>1195.58</v>
      </c>
      <c r="F16" s="62">
        <v>453.95</v>
      </c>
      <c r="G16" s="62">
        <v>183.32</v>
      </c>
      <c r="H16" s="62">
        <v>-31.07</v>
      </c>
      <c r="I16" s="62">
        <v>36.17</v>
      </c>
      <c r="J16" s="62">
        <v>-78.16</v>
      </c>
      <c r="K16" s="62">
        <v>149.88</v>
      </c>
      <c r="L16" s="62">
        <v>17.600000000000001</v>
      </c>
      <c r="M16" s="62">
        <v>-1567.86</v>
      </c>
      <c r="N16" s="62">
        <v>-293.18</v>
      </c>
      <c r="O16" s="62">
        <v>186.77</v>
      </c>
      <c r="P16" s="17">
        <f>SUM(D16:O16)</f>
        <v>3342.8700000000008</v>
      </c>
      <c r="Q16" s="46"/>
      <c r="R16" s="70">
        <f>+P16*E$67</f>
        <v>1742.9724180000003</v>
      </c>
      <c r="S16" s="70">
        <f>+P16*E$68</f>
        <v>1599.8975820000005</v>
      </c>
      <c r="T16" s="17"/>
      <c r="U16" s="43">
        <f>SUM(R16:S16)</f>
        <v>3342.8700000000008</v>
      </c>
    </row>
    <row r="17" spans="1:23" s="33" customFormat="1">
      <c r="A17" s="31"/>
      <c r="B17" s="32"/>
      <c r="C17" s="33" t="s">
        <v>228</v>
      </c>
      <c r="D17" s="34">
        <f>SUM(D14:D16)</f>
        <v>43986.080000000002</v>
      </c>
      <c r="E17" s="34">
        <f t="shared" ref="E17:O17" si="1">SUM(E14:E16)</f>
        <v>36713.700000000004</v>
      </c>
      <c r="F17" s="34">
        <f t="shared" si="1"/>
        <v>35853.30999999999</v>
      </c>
      <c r="G17" s="34">
        <f t="shared" si="1"/>
        <v>51340.86</v>
      </c>
      <c r="H17" s="34">
        <f t="shared" si="1"/>
        <v>35558.44</v>
      </c>
      <c r="I17" s="34">
        <f t="shared" si="1"/>
        <v>32979.879999999997</v>
      </c>
      <c r="J17" s="34">
        <f t="shared" si="1"/>
        <v>36551.839999999997</v>
      </c>
      <c r="K17" s="34">
        <f t="shared" si="1"/>
        <v>35576.379999999997</v>
      </c>
      <c r="L17" s="34">
        <f t="shared" si="1"/>
        <v>33390.61</v>
      </c>
      <c r="M17" s="34">
        <f t="shared" si="1"/>
        <v>33525.259999999995</v>
      </c>
      <c r="N17" s="34">
        <f t="shared" si="1"/>
        <v>31716.2</v>
      </c>
      <c r="O17" s="34">
        <f t="shared" si="1"/>
        <v>35818.1</v>
      </c>
      <c r="P17" s="34">
        <f>SUM(P14:P16)</f>
        <v>443010.66</v>
      </c>
      <c r="Q17" s="47" t="s">
        <v>42</v>
      </c>
      <c r="R17" s="13">
        <f>SUM(R14:R16)</f>
        <v>230985.75812399996</v>
      </c>
      <c r="S17" s="13">
        <f>SUM(S14:S16)</f>
        <v>212024.90187600002</v>
      </c>
      <c r="U17" s="70">
        <f>SUM(R17:S17)</f>
        <v>443010.66</v>
      </c>
    </row>
    <row r="18" spans="1:23">
      <c r="A18" s="23"/>
      <c r="B18" s="35"/>
      <c r="D18" s="17"/>
      <c r="E18" s="17"/>
      <c r="F18" s="17"/>
      <c r="G18" s="17"/>
      <c r="H18" s="17"/>
      <c r="I18" s="17"/>
      <c r="J18" s="17"/>
      <c r="K18" s="17"/>
      <c r="L18" s="17"/>
      <c r="M18" s="17"/>
      <c r="N18" s="17"/>
      <c r="O18" s="17"/>
      <c r="P18" s="17"/>
      <c r="Q18" s="46"/>
      <c r="R18" s="4"/>
      <c r="S18" s="8"/>
      <c r="U18" s="43"/>
    </row>
    <row r="19" spans="1:23">
      <c r="A19" s="23"/>
      <c r="B19" s="35"/>
      <c r="D19" s="17"/>
      <c r="E19" s="17"/>
      <c r="F19" s="17"/>
      <c r="G19" s="17"/>
      <c r="H19" s="17"/>
      <c r="I19" s="17"/>
      <c r="J19" s="17"/>
      <c r="K19" s="17"/>
      <c r="L19" s="17"/>
      <c r="M19" s="17"/>
      <c r="N19" s="17"/>
      <c r="O19" s="17"/>
      <c r="P19" s="17"/>
      <c r="Q19" s="46"/>
      <c r="R19" s="4"/>
      <c r="S19" s="8"/>
      <c r="U19" s="43"/>
    </row>
    <row r="20" spans="1:23">
      <c r="A20" s="23">
        <v>7545</v>
      </c>
      <c r="B20" s="35" t="s">
        <v>229</v>
      </c>
      <c r="C20" s="16" t="s">
        <v>230</v>
      </c>
      <c r="D20" s="62">
        <v>0</v>
      </c>
      <c r="E20" s="62">
        <v>0</v>
      </c>
      <c r="F20" s="62">
        <v>0</v>
      </c>
      <c r="G20" s="62">
        <v>0</v>
      </c>
      <c r="H20" s="62">
        <v>0</v>
      </c>
      <c r="I20" s="62">
        <v>0</v>
      </c>
      <c r="J20" s="62">
        <v>0</v>
      </c>
      <c r="K20" s="62">
        <v>0</v>
      </c>
      <c r="L20" s="62">
        <v>0</v>
      </c>
      <c r="M20" s="62">
        <v>0</v>
      </c>
      <c r="N20" s="62">
        <v>1261763.95</v>
      </c>
      <c r="O20" s="62">
        <v>0</v>
      </c>
      <c r="P20" s="17">
        <f>SUM(D20:O20)</f>
        <v>1261763.95</v>
      </c>
      <c r="Q20" s="46" t="s">
        <v>40</v>
      </c>
      <c r="R20" s="70">
        <f>+P20*E$73</f>
        <v>614731.39644000004</v>
      </c>
      <c r="S20" s="70">
        <f>+P20*E$74</f>
        <v>647032.55356000003</v>
      </c>
      <c r="U20" s="43">
        <f>SUM(R20:S20)</f>
        <v>1261763.9500000002</v>
      </c>
      <c r="W20" s="16" t="s">
        <v>32</v>
      </c>
    </row>
    <row r="21" spans="1:23">
      <c r="A21" s="23">
        <v>7555</v>
      </c>
      <c r="B21" s="35" t="s">
        <v>229</v>
      </c>
      <c r="C21" s="16" t="s">
        <v>232</v>
      </c>
      <c r="D21" s="62">
        <v>0</v>
      </c>
      <c r="E21" s="62">
        <v>10094.11</v>
      </c>
      <c r="F21" s="62">
        <v>0</v>
      </c>
      <c r="G21" s="62">
        <v>0</v>
      </c>
      <c r="H21" s="62">
        <v>0</v>
      </c>
      <c r="I21" s="62">
        <v>0</v>
      </c>
      <c r="J21" s="62">
        <v>8768.27</v>
      </c>
      <c r="K21" s="62">
        <v>0</v>
      </c>
      <c r="L21" s="62">
        <v>0</v>
      </c>
      <c r="M21" s="62">
        <v>0</v>
      </c>
      <c r="N21" s="62">
        <v>105138.64</v>
      </c>
      <c r="O21" s="62">
        <v>-21.66</v>
      </c>
      <c r="P21" s="17">
        <f>SUM(D21:O21)</f>
        <v>123979.36</v>
      </c>
      <c r="Q21" s="46" t="s">
        <v>41</v>
      </c>
      <c r="R21" s="70">
        <f>+P21*E$73</f>
        <v>60402.744192000006</v>
      </c>
      <c r="S21" s="70">
        <f>+P21*E$74</f>
        <v>63576.615808000002</v>
      </c>
      <c r="U21" s="43">
        <f>SUM(R21:S21)</f>
        <v>123979.36000000002</v>
      </c>
    </row>
    <row r="22" spans="1:23" s="33" customFormat="1">
      <c r="A22" s="31"/>
      <c r="B22" s="32"/>
      <c r="C22" s="33" t="s">
        <v>233</v>
      </c>
      <c r="D22" s="34">
        <f>SUM(D20:D21)</f>
        <v>0</v>
      </c>
      <c r="E22" s="34">
        <f t="shared" ref="E22:O22" si="2">SUM(E20:E21)</f>
        <v>10094.11</v>
      </c>
      <c r="F22" s="34">
        <f t="shared" si="2"/>
        <v>0</v>
      </c>
      <c r="G22" s="34">
        <f t="shared" si="2"/>
        <v>0</v>
      </c>
      <c r="H22" s="34">
        <f t="shared" si="2"/>
        <v>0</v>
      </c>
      <c r="I22" s="34">
        <f t="shared" si="2"/>
        <v>0</v>
      </c>
      <c r="J22" s="34">
        <f t="shared" si="2"/>
        <v>8768.27</v>
      </c>
      <c r="K22" s="34">
        <f t="shared" si="2"/>
        <v>0</v>
      </c>
      <c r="L22" s="34">
        <f t="shared" si="2"/>
        <v>0</v>
      </c>
      <c r="M22" s="34">
        <f t="shared" si="2"/>
        <v>0</v>
      </c>
      <c r="N22" s="34">
        <f t="shared" si="2"/>
        <v>1366902.5899999999</v>
      </c>
      <c r="O22" s="34">
        <f t="shared" si="2"/>
        <v>-21.66</v>
      </c>
      <c r="P22" s="34">
        <f>SUM(P20:P21)</f>
        <v>1385743.31</v>
      </c>
      <c r="Q22" s="47"/>
      <c r="R22" s="13">
        <f>SUM(R20:R21)</f>
        <v>675134.14063200005</v>
      </c>
      <c r="S22" s="13">
        <f>SUM(S20:S21)</f>
        <v>710609.169368</v>
      </c>
      <c r="U22" s="43">
        <f>SUM(R22:S22)</f>
        <v>1385743.31</v>
      </c>
    </row>
    <row r="23" spans="1:23">
      <c r="A23" s="23"/>
      <c r="B23" s="35"/>
      <c r="D23" s="17"/>
      <c r="E23" s="17"/>
      <c r="F23" s="17"/>
      <c r="G23" s="17"/>
      <c r="H23" s="17"/>
      <c r="I23" s="17"/>
      <c r="J23" s="17"/>
      <c r="K23" s="17"/>
      <c r="L23" s="17"/>
      <c r="M23" s="17"/>
      <c r="N23" s="17"/>
      <c r="O23" s="17"/>
      <c r="P23" s="17"/>
      <c r="Q23" s="46"/>
      <c r="R23" s="4"/>
      <c r="S23" s="8"/>
      <c r="U23" s="43"/>
    </row>
    <row r="24" spans="1:23">
      <c r="A24" s="23"/>
      <c r="B24" s="35"/>
      <c r="D24" s="17"/>
      <c r="E24" s="17"/>
      <c r="F24" s="17"/>
      <c r="G24" s="17"/>
      <c r="H24" s="17"/>
      <c r="I24" s="17"/>
      <c r="J24" s="17"/>
      <c r="K24" s="17"/>
      <c r="L24" s="17"/>
      <c r="M24" s="17"/>
      <c r="N24" s="17"/>
      <c r="O24" s="17"/>
      <c r="P24" s="17"/>
      <c r="Q24" s="46"/>
      <c r="R24" s="4"/>
      <c r="S24" s="8"/>
      <c r="U24" s="43"/>
    </row>
    <row r="25" spans="1:23">
      <c r="A25" s="23">
        <v>7550</v>
      </c>
      <c r="B25" s="35" t="s">
        <v>290</v>
      </c>
      <c r="C25" s="16" t="s">
        <v>231</v>
      </c>
      <c r="D25" s="62">
        <v>-549584.5</v>
      </c>
      <c r="E25" s="62">
        <v>242591.85</v>
      </c>
      <c r="F25" s="62">
        <v>248861.16</v>
      </c>
      <c r="G25" s="62">
        <v>256799.78</v>
      </c>
      <c r="H25" s="62">
        <v>264211.68</v>
      </c>
      <c r="I25" s="62">
        <v>239964.79999999999</v>
      </c>
      <c r="J25" s="62">
        <v>-595595.1</v>
      </c>
      <c r="K25" s="62">
        <v>240889</v>
      </c>
      <c r="L25" s="62">
        <v>235229.37</v>
      </c>
      <c r="M25" s="62">
        <v>255070.66</v>
      </c>
      <c r="N25" s="62">
        <v>-1112831.98</v>
      </c>
      <c r="O25" s="62">
        <v>274388.13</v>
      </c>
      <c r="P25" s="17">
        <f>SUM(D25:O25)</f>
        <v>-5.1499999999068677</v>
      </c>
      <c r="Q25" s="46" t="s">
        <v>42</v>
      </c>
      <c r="R25" s="70">
        <f>+P25*$O$3</f>
        <v>-2.6852099999514407</v>
      </c>
      <c r="S25" s="70">
        <f>+P25*$P$3</f>
        <v>-2.464789999955427</v>
      </c>
      <c r="U25" s="43">
        <f>SUM(R25:S25)</f>
        <v>-5.1499999999068677</v>
      </c>
    </row>
    <row r="26" spans="1:23">
      <c r="A26" s="23">
        <v>7535</v>
      </c>
      <c r="B26" s="35" t="s">
        <v>290</v>
      </c>
      <c r="C26" s="16" t="s">
        <v>234</v>
      </c>
      <c r="D26" s="62">
        <v>0</v>
      </c>
      <c r="E26" s="62">
        <v>49.89</v>
      </c>
      <c r="F26" s="62">
        <v>0</v>
      </c>
      <c r="G26" s="62">
        <v>117.3</v>
      </c>
      <c r="H26" s="62">
        <v>541.86</v>
      </c>
      <c r="I26" s="62">
        <v>0</v>
      </c>
      <c r="J26" s="62">
        <v>98.83</v>
      </c>
      <c r="K26" s="62">
        <v>0</v>
      </c>
      <c r="L26" s="62">
        <v>287.05</v>
      </c>
      <c r="M26" s="62">
        <v>0</v>
      </c>
      <c r="N26" s="62">
        <v>0</v>
      </c>
      <c r="O26" s="62">
        <v>376.41</v>
      </c>
      <c r="P26" s="17">
        <f>SUM(D26:O26)</f>
        <v>1471.3400000000001</v>
      </c>
      <c r="Q26" s="46" t="s">
        <v>42</v>
      </c>
      <c r="R26" s="70">
        <f>+P26*$O$3</f>
        <v>767.15667600000006</v>
      </c>
      <c r="S26" s="70">
        <f>+P26*$P$3</f>
        <v>704.18332400000008</v>
      </c>
      <c r="U26" s="43">
        <f>SUM(R26:S26)</f>
        <v>1471.3400000000001</v>
      </c>
    </row>
    <row r="27" spans="1:23">
      <c r="A27" s="23">
        <v>7560</v>
      </c>
      <c r="B27" s="35" t="s">
        <v>290</v>
      </c>
      <c r="C27" s="16" t="s">
        <v>235</v>
      </c>
      <c r="D27" s="62">
        <v>0</v>
      </c>
      <c r="E27" s="62">
        <v>0</v>
      </c>
      <c r="F27" s="62">
        <v>0</v>
      </c>
      <c r="G27" s="62">
        <v>0</v>
      </c>
      <c r="H27" s="62">
        <v>0</v>
      </c>
      <c r="I27" s="62">
        <v>0</v>
      </c>
      <c r="J27" s="62">
        <v>0</v>
      </c>
      <c r="K27" s="62">
        <v>0</v>
      </c>
      <c r="L27" s="62">
        <v>0</v>
      </c>
      <c r="M27" s="62">
        <v>0</v>
      </c>
      <c r="N27" s="62">
        <v>0</v>
      </c>
      <c r="O27" s="62">
        <v>0</v>
      </c>
      <c r="P27" s="17">
        <v>0</v>
      </c>
      <c r="Q27" s="46"/>
      <c r="R27" s="4">
        <f>ROUND(+$P27/$N$2*O$2,0)</f>
        <v>0</v>
      </c>
      <c r="S27" s="4">
        <f>ROUND(+$P27/$N$2*P$2,0)</f>
        <v>0</v>
      </c>
      <c r="U27" s="43">
        <f>SUM(R27:S27)</f>
        <v>0</v>
      </c>
    </row>
    <row r="28" spans="1:23" s="33" customFormat="1">
      <c r="A28" s="31"/>
      <c r="B28" s="32"/>
      <c r="C28" s="33" t="s">
        <v>236</v>
      </c>
      <c r="D28" s="34">
        <f>SUM(D25:D27)</f>
        <v>-549584.5</v>
      </c>
      <c r="E28" s="34">
        <f t="shared" ref="E28:S28" si="3">SUM(E25:E27)</f>
        <v>242641.74000000002</v>
      </c>
      <c r="F28" s="34">
        <f t="shared" si="3"/>
        <v>248861.16</v>
      </c>
      <c r="G28" s="34">
        <f t="shared" si="3"/>
        <v>256917.08</v>
      </c>
      <c r="H28" s="34">
        <f t="shared" si="3"/>
        <v>264753.53999999998</v>
      </c>
      <c r="I28" s="34">
        <f t="shared" si="3"/>
        <v>239964.79999999999</v>
      </c>
      <c r="J28" s="34">
        <f t="shared" si="3"/>
        <v>-595496.27</v>
      </c>
      <c r="K28" s="34">
        <f t="shared" si="3"/>
        <v>240889</v>
      </c>
      <c r="L28" s="34">
        <f t="shared" si="3"/>
        <v>235516.41999999998</v>
      </c>
      <c r="M28" s="34">
        <f t="shared" si="3"/>
        <v>255070.66</v>
      </c>
      <c r="N28" s="34">
        <f t="shared" si="3"/>
        <v>-1112831.98</v>
      </c>
      <c r="O28" s="34">
        <f t="shared" si="3"/>
        <v>274764.53999999998</v>
      </c>
      <c r="P28" s="34">
        <f t="shared" si="3"/>
        <v>1466.1900000000933</v>
      </c>
      <c r="Q28" s="47"/>
      <c r="R28" s="13">
        <f t="shared" si="3"/>
        <v>764.47146600004862</v>
      </c>
      <c r="S28" s="13">
        <f t="shared" si="3"/>
        <v>701.71853400004466</v>
      </c>
      <c r="U28" s="70">
        <f>SUM(U25:U27)</f>
        <v>1466.1900000000933</v>
      </c>
    </row>
    <row r="29" spans="1:23">
      <c r="A29" s="23"/>
      <c r="B29" s="35"/>
      <c r="D29" s="17"/>
      <c r="E29" s="17"/>
      <c r="F29" s="17"/>
      <c r="G29" s="17"/>
      <c r="H29" s="17"/>
      <c r="I29" s="17"/>
      <c r="J29" s="17"/>
      <c r="K29" s="17"/>
      <c r="L29" s="17"/>
      <c r="M29" s="17"/>
      <c r="N29" s="17"/>
      <c r="O29" s="17"/>
      <c r="P29" s="17"/>
      <c r="Q29" s="46"/>
      <c r="S29" s="42"/>
      <c r="U29" s="43"/>
    </row>
    <row r="30" spans="1:23" ht="12" thickBot="1">
      <c r="A30" s="23"/>
      <c r="B30" s="35"/>
      <c r="C30" s="33" t="s">
        <v>496</v>
      </c>
      <c r="D30" s="17"/>
      <c r="E30" s="17"/>
      <c r="F30" s="17"/>
      <c r="G30" s="17"/>
      <c r="H30" s="17"/>
      <c r="I30" s="17"/>
      <c r="J30" s="17"/>
      <c r="K30" s="17"/>
      <c r="L30" s="17"/>
      <c r="M30" s="17"/>
      <c r="N30" s="17"/>
      <c r="O30" s="17"/>
      <c r="P30" s="37">
        <f>+P28+P22+P17+P11</f>
        <v>3525875.06</v>
      </c>
      <c r="Q30" s="46"/>
      <c r="R30" s="37">
        <f>+R28+R22+R17+R11</f>
        <v>1653481.2226920002</v>
      </c>
      <c r="S30" s="37">
        <f>+S28+S22+S17+S11</f>
        <v>1872393.8373079998</v>
      </c>
      <c r="U30" s="43"/>
    </row>
    <row r="31" spans="1:23" ht="12" thickTop="1">
      <c r="A31" s="23"/>
      <c r="B31" s="35"/>
      <c r="D31" s="17"/>
      <c r="E31" s="17"/>
      <c r="F31" s="17"/>
      <c r="G31" s="17"/>
      <c r="H31" s="17"/>
      <c r="I31" s="17"/>
      <c r="J31" s="17"/>
      <c r="K31" s="17"/>
      <c r="L31" s="17"/>
      <c r="M31" s="17"/>
      <c r="N31" s="17"/>
      <c r="O31" s="17"/>
      <c r="P31" s="17"/>
      <c r="Q31" s="46"/>
      <c r="S31" s="42"/>
      <c r="U31" s="43"/>
    </row>
    <row r="32" spans="1:23">
      <c r="A32" s="23"/>
      <c r="B32" s="35"/>
      <c r="D32" s="17"/>
      <c r="E32" s="17"/>
      <c r="F32" s="17"/>
      <c r="G32" s="17"/>
      <c r="H32" s="17"/>
      <c r="I32" s="17"/>
      <c r="J32" s="17"/>
      <c r="K32" s="17"/>
      <c r="L32" s="17"/>
      <c r="M32" s="17"/>
      <c r="N32" s="17"/>
      <c r="O32" s="17"/>
      <c r="P32" s="17"/>
      <c r="Q32" s="46"/>
      <c r="S32" s="42"/>
      <c r="U32" s="43"/>
    </row>
    <row r="33" spans="1:21">
      <c r="A33" s="23"/>
      <c r="B33" s="35"/>
      <c r="D33" s="17"/>
      <c r="E33" s="17"/>
      <c r="F33" s="17"/>
      <c r="G33" s="17"/>
      <c r="H33" s="17"/>
      <c r="I33" s="17"/>
      <c r="J33" s="17"/>
      <c r="K33" s="17"/>
      <c r="L33" s="17"/>
      <c r="M33" s="17"/>
      <c r="N33" s="17"/>
      <c r="O33" s="17"/>
      <c r="P33" s="17"/>
      <c r="Q33" s="46"/>
      <c r="S33" s="42"/>
      <c r="U33" s="43"/>
    </row>
    <row r="34" spans="1:21">
      <c r="A34" s="23"/>
      <c r="B34" s="35"/>
      <c r="D34" s="17"/>
      <c r="E34" s="17"/>
      <c r="F34" s="17"/>
      <c r="G34" s="17"/>
      <c r="H34" s="17"/>
      <c r="I34" s="17"/>
      <c r="J34" s="17"/>
      <c r="K34" s="17"/>
      <c r="L34" s="17"/>
      <c r="M34" s="17"/>
      <c r="N34" s="17"/>
      <c r="O34" s="17"/>
      <c r="P34" s="17"/>
      <c r="Q34" s="46"/>
      <c r="S34" s="42"/>
      <c r="U34" s="43"/>
    </row>
    <row r="35" spans="1:21">
      <c r="A35" s="23">
        <v>7585</v>
      </c>
      <c r="B35" s="35" t="s">
        <v>52</v>
      </c>
      <c r="C35" s="38" t="s">
        <v>125</v>
      </c>
      <c r="D35" s="63">
        <v>-196.33</v>
      </c>
      <c r="E35" s="63">
        <v>-196.34</v>
      </c>
      <c r="F35" s="63">
        <v>-196.33</v>
      </c>
      <c r="G35" s="63">
        <v>-196.33</v>
      </c>
      <c r="H35" s="63">
        <v>-196.34</v>
      </c>
      <c r="I35" s="63">
        <v>-196.33</v>
      </c>
      <c r="J35" s="63">
        <v>-196.33</v>
      </c>
      <c r="K35" s="63">
        <v>-196.34</v>
      </c>
      <c r="L35" s="63">
        <v>-196.33</v>
      </c>
      <c r="M35" s="63">
        <v>-196.33</v>
      </c>
      <c r="N35" s="63">
        <v>-196.34</v>
      </c>
      <c r="O35" s="63">
        <v>-196.33</v>
      </c>
      <c r="P35" s="64">
        <f>SUM(D35:O35)</f>
        <v>-2355.9999999999995</v>
      </c>
      <c r="Q35" s="65" t="s">
        <v>40</v>
      </c>
      <c r="R35" s="70">
        <f>+P35*$O$3</f>
        <v>-1228.4183999999998</v>
      </c>
      <c r="S35" s="70">
        <f>+P35*$P$3</f>
        <v>-1127.5815999999998</v>
      </c>
      <c r="U35" s="43">
        <f>SUM(R35:S35)</f>
        <v>-2355.9999999999995</v>
      </c>
    </row>
    <row r="36" spans="1:21">
      <c r="A36" s="23"/>
      <c r="B36" s="35"/>
      <c r="D36" s="17"/>
      <c r="E36" s="17"/>
      <c r="F36" s="17"/>
      <c r="G36" s="17"/>
      <c r="H36" s="17"/>
      <c r="I36" s="17"/>
      <c r="J36" s="17"/>
      <c r="K36" s="17"/>
      <c r="L36" s="17"/>
      <c r="M36" s="17"/>
      <c r="N36" s="17"/>
      <c r="O36" s="17"/>
      <c r="P36" s="17"/>
      <c r="Q36" s="46"/>
      <c r="S36" s="42"/>
      <c r="U36" s="43"/>
    </row>
    <row r="37" spans="1:21">
      <c r="A37" s="23"/>
      <c r="B37" s="35"/>
      <c r="D37" s="17"/>
      <c r="E37" s="17"/>
      <c r="F37" s="17"/>
      <c r="G37" s="17"/>
      <c r="H37" s="17"/>
      <c r="I37" s="17"/>
      <c r="J37" s="17"/>
      <c r="K37" s="17"/>
      <c r="L37" s="17"/>
      <c r="M37" s="17"/>
      <c r="N37" s="17"/>
      <c r="O37" s="17"/>
      <c r="P37" s="17"/>
      <c r="Q37" s="46"/>
      <c r="S37" s="42"/>
    </row>
    <row r="38" spans="1:21">
      <c r="A38" s="23"/>
      <c r="B38" s="35"/>
      <c r="D38" s="17"/>
      <c r="E38" s="17"/>
      <c r="F38" s="17"/>
      <c r="G38" s="17"/>
      <c r="H38" s="17"/>
      <c r="I38" s="17"/>
      <c r="J38" s="17"/>
      <c r="K38" s="17"/>
      <c r="L38" s="17"/>
      <c r="M38" s="17"/>
      <c r="N38" s="17"/>
      <c r="O38" s="17"/>
      <c r="P38" s="17"/>
      <c r="Q38" s="46"/>
      <c r="S38" s="42"/>
    </row>
    <row r="39" spans="1:21">
      <c r="A39" s="23">
        <v>7595</v>
      </c>
      <c r="B39" s="35"/>
      <c r="C39" s="16" t="s">
        <v>237</v>
      </c>
      <c r="D39" s="62">
        <v>0</v>
      </c>
      <c r="E39" s="62">
        <v>0</v>
      </c>
      <c r="F39" s="62">
        <v>0</v>
      </c>
      <c r="G39" s="62">
        <v>0</v>
      </c>
      <c r="H39" s="62">
        <v>0</v>
      </c>
      <c r="I39" s="62">
        <v>0</v>
      </c>
      <c r="J39" s="62">
        <v>0</v>
      </c>
      <c r="K39" s="62">
        <v>0</v>
      </c>
      <c r="L39" s="62">
        <v>0</v>
      </c>
      <c r="M39" s="62">
        <v>0</v>
      </c>
      <c r="N39" s="62">
        <v>0</v>
      </c>
      <c r="O39" s="62">
        <v>-1145012.57</v>
      </c>
      <c r="P39" s="17">
        <f>SUM(D39:O39)</f>
        <v>-1145012.57</v>
      </c>
      <c r="Q39" s="46" t="s">
        <v>41</v>
      </c>
      <c r="R39" s="75">
        <f>+P39*$O$3</f>
        <v>-597009.55399799999</v>
      </c>
      <c r="S39" s="75">
        <f>+P39*$P$3</f>
        <v>-548003.01600200008</v>
      </c>
    </row>
    <row r="40" spans="1:21">
      <c r="A40" s="23">
        <v>7600</v>
      </c>
      <c r="B40" s="35"/>
      <c r="C40" s="16" t="s">
        <v>238</v>
      </c>
      <c r="D40" s="62">
        <v>0</v>
      </c>
      <c r="E40" s="62">
        <v>0</v>
      </c>
      <c r="F40" s="62">
        <v>0</v>
      </c>
      <c r="G40" s="62">
        <v>0</v>
      </c>
      <c r="H40" s="62">
        <v>0</v>
      </c>
      <c r="I40" s="62">
        <v>0</v>
      </c>
      <c r="J40" s="62">
        <v>0</v>
      </c>
      <c r="K40" s="62">
        <v>0</v>
      </c>
      <c r="L40" s="62">
        <v>0</v>
      </c>
      <c r="M40" s="62">
        <v>0</v>
      </c>
      <c r="N40" s="62">
        <v>0</v>
      </c>
      <c r="O40" s="62">
        <v>-144985.12</v>
      </c>
      <c r="P40" s="17">
        <f>SUM(D40:O40)</f>
        <v>-144985.12</v>
      </c>
      <c r="Q40" s="46" t="s">
        <v>41</v>
      </c>
      <c r="R40" s="75">
        <f>+P40*$O$3</f>
        <v>-75595.241567999998</v>
      </c>
      <c r="S40" s="75">
        <f>+P40*$P$3</f>
        <v>-69389.878431999998</v>
      </c>
    </row>
    <row r="41" spans="1:21">
      <c r="A41" s="23">
        <v>7605</v>
      </c>
      <c r="B41" s="35"/>
      <c r="C41" s="16" t="s">
        <v>239</v>
      </c>
      <c r="D41" s="62">
        <v>0</v>
      </c>
      <c r="E41" s="62">
        <v>0</v>
      </c>
      <c r="F41" s="62">
        <v>0</v>
      </c>
      <c r="G41" s="62">
        <v>0</v>
      </c>
      <c r="H41" s="62">
        <v>0</v>
      </c>
      <c r="I41" s="62">
        <v>0</v>
      </c>
      <c r="J41" s="62">
        <v>0</v>
      </c>
      <c r="K41" s="62">
        <v>0</v>
      </c>
      <c r="L41" s="62">
        <v>0</v>
      </c>
      <c r="M41" s="62">
        <v>0</v>
      </c>
      <c r="N41" s="62">
        <v>0</v>
      </c>
      <c r="O41" s="62">
        <v>0</v>
      </c>
      <c r="P41" s="17">
        <f>SUM(D41:O41)</f>
        <v>0</v>
      </c>
      <c r="Q41" s="17"/>
      <c r="R41" s="75">
        <f>+P41*$O$3</f>
        <v>0</v>
      </c>
      <c r="S41" s="75">
        <f>+P41*$P$3</f>
        <v>0</v>
      </c>
    </row>
    <row r="42" spans="1:21">
      <c r="A42" s="23">
        <v>7610</v>
      </c>
      <c r="B42" s="35"/>
      <c r="C42" s="16" t="s">
        <v>240</v>
      </c>
      <c r="D42" s="62">
        <v>-105.8</v>
      </c>
      <c r="E42" s="62">
        <v>-101.99</v>
      </c>
      <c r="F42" s="62">
        <v>0</v>
      </c>
      <c r="G42" s="62">
        <v>0</v>
      </c>
      <c r="H42" s="62">
        <v>0</v>
      </c>
      <c r="I42" s="62">
        <v>0</v>
      </c>
      <c r="J42" s="62">
        <v>210.49</v>
      </c>
      <c r="K42" s="62">
        <v>0</v>
      </c>
      <c r="L42" s="62">
        <v>0</v>
      </c>
      <c r="M42" s="62">
        <v>0</v>
      </c>
      <c r="N42" s="62">
        <v>0</v>
      </c>
      <c r="O42" s="62">
        <v>277249.03999999998</v>
      </c>
      <c r="P42" s="17">
        <f>SUM(D42:O42)</f>
        <v>277251.74</v>
      </c>
      <c r="Q42" s="17"/>
      <c r="R42" s="75">
        <f>+P42*$O$3</f>
        <v>144559.05723599999</v>
      </c>
      <c r="S42" s="75">
        <f>+P42*$P$3</f>
        <v>132692.682764</v>
      </c>
    </row>
    <row r="43" spans="1:21" s="33" customFormat="1">
      <c r="C43" s="33" t="s">
        <v>241</v>
      </c>
      <c r="D43" s="39">
        <f>SUM(D39:D42)</f>
        <v>-105.8</v>
      </c>
      <c r="E43" s="39">
        <f t="shared" ref="E43:S43" si="4">SUM(E39:E42)</f>
        <v>-101.99</v>
      </c>
      <c r="F43" s="39">
        <f t="shared" si="4"/>
        <v>0</v>
      </c>
      <c r="G43" s="39">
        <f t="shared" si="4"/>
        <v>0</v>
      </c>
      <c r="H43" s="39">
        <f t="shared" si="4"/>
        <v>0</v>
      </c>
      <c r="I43" s="39">
        <f t="shared" si="4"/>
        <v>0</v>
      </c>
      <c r="J43" s="39">
        <f t="shared" si="4"/>
        <v>210.49</v>
      </c>
      <c r="K43" s="39">
        <f t="shared" si="4"/>
        <v>0</v>
      </c>
      <c r="L43" s="39">
        <f t="shared" si="4"/>
        <v>0</v>
      </c>
      <c r="M43" s="39">
        <f t="shared" si="4"/>
        <v>0</v>
      </c>
      <c r="N43" s="39">
        <f t="shared" si="4"/>
        <v>0</v>
      </c>
      <c r="O43" s="39">
        <f t="shared" si="4"/>
        <v>-1012748.6499999999</v>
      </c>
      <c r="P43" s="39">
        <f t="shared" si="4"/>
        <v>-1012745.95</v>
      </c>
      <c r="Q43" s="39"/>
      <c r="R43" s="39">
        <f t="shared" si="4"/>
        <v>-528045.73833000008</v>
      </c>
      <c r="S43" s="39">
        <f t="shared" si="4"/>
        <v>-484700.21167000011</v>
      </c>
      <c r="U43" s="50" t="s">
        <v>518</v>
      </c>
    </row>
    <row r="46" spans="1:21">
      <c r="C46" s="33" t="s">
        <v>628</v>
      </c>
      <c r="D46" s="66">
        <f>+D11+D17+D22+D28+D35+D43</f>
        <v>294593.14999999991</v>
      </c>
      <c r="E46" s="66">
        <f t="shared" ref="E46:O46" si="5">+E11+E17+E22+E28+E35+E43</f>
        <v>289151.22000000003</v>
      </c>
      <c r="F46" s="66">
        <f t="shared" si="5"/>
        <v>299156.42</v>
      </c>
      <c r="G46" s="66">
        <f t="shared" si="5"/>
        <v>308061.61</v>
      </c>
      <c r="H46" s="66">
        <f t="shared" si="5"/>
        <v>300115.63999999996</v>
      </c>
      <c r="I46" s="66">
        <f t="shared" si="5"/>
        <v>272748.34999999998</v>
      </c>
      <c r="J46" s="66">
        <f t="shared" si="5"/>
        <v>289860.56999999989</v>
      </c>
      <c r="K46" s="66">
        <f t="shared" si="5"/>
        <v>276269.03999999998</v>
      </c>
      <c r="L46" s="66">
        <f t="shared" si="5"/>
        <v>268710.69999999995</v>
      </c>
      <c r="M46" s="66">
        <f t="shared" si="5"/>
        <v>288399.58999999997</v>
      </c>
      <c r="N46" s="66">
        <f t="shared" si="5"/>
        <v>285590.4699999998</v>
      </c>
      <c r="O46" s="66">
        <f t="shared" si="5"/>
        <v>-661883.64999999991</v>
      </c>
      <c r="P46" s="67">
        <f>SUM(D46:O46)</f>
        <v>2510773.1099999989</v>
      </c>
      <c r="R46" s="66">
        <f>+R11+R17+R22+R28+R35+R43</f>
        <v>1124207.0659619998</v>
      </c>
      <c r="S46" s="66">
        <f>+S11+S17+S22+S28+S35+S43</f>
        <v>1386566.0440379998</v>
      </c>
    </row>
    <row r="48" spans="1:21">
      <c r="C48" s="33" t="s">
        <v>629</v>
      </c>
      <c r="D48" s="66">
        <v>294593.14999999956</v>
      </c>
      <c r="E48" s="66">
        <v>289151.21999999986</v>
      </c>
      <c r="F48" s="66">
        <v>299156.4200000001</v>
      </c>
      <c r="G48" s="66">
        <v>308061.61000000004</v>
      </c>
      <c r="H48" s="66">
        <v>300115.6399999999</v>
      </c>
      <c r="I48" s="66">
        <v>272748.35000000009</v>
      </c>
      <c r="J48" s="66">
        <v>289860.57000000024</v>
      </c>
      <c r="K48" s="66">
        <v>276269.0399999998</v>
      </c>
      <c r="L48" s="66">
        <v>268710.70000000013</v>
      </c>
      <c r="M48" s="66">
        <v>288399.59000000003</v>
      </c>
      <c r="N48" s="66">
        <v>285590.47000000015</v>
      </c>
      <c r="O48" s="66">
        <v>-661883.65000000014</v>
      </c>
      <c r="P48" s="67">
        <f>SUM(D48:O48)</f>
        <v>2510773.1100000003</v>
      </c>
    </row>
    <row r="50" spans="1:16">
      <c r="D50" s="66">
        <f>+D48-D46</f>
        <v>0</v>
      </c>
      <c r="E50" s="66">
        <f t="shared" ref="E50:P50" si="6">+E48-E46</f>
        <v>0</v>
      </c>
      <c r="F50" s="66">
        <f t="shared" si="6"/>
        <v>0</v>
      </c>
      <c r="G50" s="66">
        <f t="shared" si="6"/>
        <v>0</v>
      </c>
      <c r="H50" s="66">
        <f t="shared" si="6"/>
        <v>0</v>
      </c>
      <c r="I50" s="66">
        <f t="shared" si="6"/>
        <v>0</v>
      </c>
      <c r="J50" s="66">
        <f t="shared" si="6"/>
        <v>0</v>
      </c>
      <c r="K50" s="66">
        <f t="shared" si="6"/>
        <v>0</v>
      </c>
      <c r="L50" s="66">
        <f t="shared" si="6"/>
        <v>0</v>
      </c>
      <c r="M50" s="66">
        <f t="shared" si="6"/>
        <v>0</v>
      </c>
      <c r="N50" s="66">
        <f t="shared" si="6"/>
        <v>0</v>
      </c>
      <c r="O50" s="66">
        <f t="shared" si="6"/>
        <v>0</v>
      </c>
      <c r="P50" s="67">
        <f t="shared" si="6"/>
        <v>0</v>
      </c>
    </row>
    <row r="57" spans="1:16">
      <c r="A57" s="33" t="s">
        <v>663</v>
      </c>
    </row>
    <row r="59" spans="1:16">
      <c r="B59" s="33" t="s">
        <v>664</v>
      </c>
    </row>
    <row r="60" spans="1:16">
      <c r="C60" s="16" t="s">
        <v>665</v>
      </c>
    </row>
    <row r="61" spans="1:16">
      <c r="C61" s="16" t="s">
        <v>251</v>
      </c>
      <c r="D61" s="72">
        <v>16396326.749335999</v>
      </c>
      <c r="E61" s="73">
        <f>ROUND(D61/$D$63,4)</f>
        <v>0.44030000000000002</v>
      </c>
    </row>
    <row r="62" spans="1:16">
      <c r="C62" s="16" t="s">
        <v>7</v>
      </c>
      <c r="D62" s="72">
        <v>20840529.240663998</v>
      </c>
      <c r="E62" s="73">
        <f>ROUND(D62/$D$63,4)</f>
        <v>0.55969999999999998</v>
      </c>
    </row>
    <row r="63" spans="1:16">
      <c r="C63" s="16" t="s">
        <v>73</v>
      </c>
      <c r="D63" s="72">
        <f>SUM(D61:D62)</f>
        <v>37236855.989999995</v>
      </c>
      <c r="E63" s="74">
        <f>SUM(E61:E62)</f>
        <v>1</v>
      </c>
    </row>
    <row r="65" spans="2:5">
      <c r="B65" s="33" t="s">
        <v>667</v>
      </c>
    </row>
    <row r="66" spans="2:5">
      <c r="C66" s="16" t="s">
        <v>666</v>
      </c>
    </row>
    <row r="67" spans="2:5">
      <c r="C67" s="16" t="s">
        <v>251</v>
      </c>
      <c r="D67" s="72">
        <f>+'B 5'!C13+'B 5'!C14</f>
        <v>3064087.338246</v>
      </c>
      <c r="E67" s="73">
        <f>ROUND(D67/$D$69,4)</f>
        <v>0.52139999999999997</v>
      </c>
    </row>
    <row r="68" spans="2:5">
      <c r="C68" s="16" t="s">
        <v>7</v>
      </c>
      <c r="D68" s="72">
        <f>+'B 6'!C13+'B 6'!C14</f>
        <v>2812566.5517540001</v>
      </c>
      <c r="E68" s="73">
        <f>ROUND(D68/$D$69,4)</f>
        <v>0.47860000000000003</v>
      </c>
    </row>
    <row r="69" spans="2:5">
      <c r="C69" s="16" t="s">
        <v>73</v>
      </c>
      <c r="D69" s="72">
        <f>SUM(D67:D68)</f>
        <v>5876653.8900000006</v>
      </c>
      <c r="E69" s="74">
        <f>SUM(E67:E68)</f>
        <v>1</v>
      </c>
    </row>
    <row r="71" spans="2:5">
      <c r="B71" s="33" t="s">
        <v>233</v>
      </c>
    </row>
    <row r="72" spans="2:5">
      <c r="C72" s="16" t="s">
        <v>668</v>
      </c>
    </row>
    <row r="73" spans="2:5">
      <c r="C73" s="16" t="s">
        <v>251</v>
      </c>
      <c r="D73" s="72">
        <v>70460287</v>
      </c>
      <c r="E73" s="73">
        <f>ROUND(D73/$D$75,4)</f>
        <v>0.48720000000000002</v>
      </c>
    </row>
    <row r="74" spans="2:5">
      <c r="C74" s="16" t="s">
        <v>7</v>
      </c>
      <c r="D74" s="72">
        <v>74155498</v>
      </c>
      <c r="E74" s="73">
        <f>ROUND(D74/$D$75,4)</f>
        <v>0.51280000000000003</v>
      </c>
    </row>
    <row r="75" spans="2:5">
      <c r="C75" s="16" t="s">
        <v>73</v>
      </c>
      <c r="D75" s="72">
        <f>SUM(D73:D74)</f>
        <v>144615785</v>
      </c>
      <c r="E75" s="74">
        <f>SUM(E73:E74)</f>
        <v>1</v>
      </c>
    </row>
  </sheetData>
  <mergeCells count="1">
    <mergeCell ref="R4:S4"/>
  </mergeCells>
  <phoneticPr fontId="41" type="noConversion"/>
  <printOptions horizontalCentered="1" headings="1"/>
  <pageMargins left="0.25" right="0.25" top="0.75" bottom="0.6" header="0.3" footer="0.25"/>
  <pageSetup scale="67" orientation="landscape" r:id="rId1"/>
  <headerFooter>
    <oddFooter>&amp;L&amp;8&amp;Z&amp;F - &amp;A
&amp;R&amp;8&amp;D - &amp;T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66FFFF"/>
  </sheetPr>
  <dimension ref="A1:AK78"/>
  <sheetViews>
    <sheetView workbookViewId="0"/>
  </sheetViews>
  <sheetFormatPr defaultColWidth="9.28515625" defaultRowHeight="15" outlineLevelCol="1"/>
  <cols>
    <col min="1" max="1" width="3.28515625" style="164" bestFit="1" customWidth="1"/>
    <col min="2" max="2" width="12" style="164" customWidth="1" collapsed="1"/>
    <col min="3" max="3" width="45.42578125" style="164" customWidth="1"/>
    <col min="4" max="5" width="9" style="166" customWidth="1"/>
    <col min="6" max="6" width="13.28515625" style="164" customWidth="1"/>
    <col min="7" max="7" width="11.28515625" style="166" customWidth="1" outlineLevel="1"/>
    <col min="8" max="8" width="5.7109375" style="166" customWidth="1" outlineLevel="1"/>
    <col min="9" max="9" width="14.28515625" style="164" customWidth="1"/>
    <col min="10" max="10" width="8.5703125" style="166" customWidth="1"/>
    <col min="11" max="12" width="16.28515625" style="167" customWidth="1"/>
    <col min="13" max="13" width="14" style="166" customWidth="1"/>
    <col min="14" max="14" width="12.28515625" style="164" customWidth="1"/>
    <col min="15" max="15" width="9.28515625" style="164" customWidth="1"/>
    <col min="16" max="16" width="2.5703125" style="164" customWidth="1"/>
    <col min="17" max="18" width="12.7109375" style="164" customWidth="1"/>
    <col min="19" max="19" width="11" style="164" customWidth="1"/>
    <col min="20" max="20" width="5.28515625" style="164" customWidth="1"/>
    <col min="21" max="21" width="12.5703125" style="164" customWidth="1"/>
    <col min="22" max="22" width="12.42578125" style="164" customWidth="1"/>
    <col min="23" max="23" width="2.7109375" style="164" customWidth="1"/>
    <col min="24" max="24" width="9.28515625" style="164" customWidth="1"/>
    <col min="25" max="25" width="10.28515625" style="164" customWidth="1"/>
    <col min="26" max="26" width="9.5703125" style="164" customWidth="1"/>
    <col min="27" max="28" width="11.28515625" style="165" customWidth="1"/>
    <col min="29" max="29" width="11.5703125" style="164" bestFit="1" customWidth="1"/>
    <col min="30" max="30" width="10.5703125" style="191" bestFit="1" customWidth="1"/>
    <col min="31" max="31" width="11.5703125" style="164" bestFit="1" customWidth="1"/>
    <col min="32" max="32" width="9" style="164" bestFit="1" customWidth="1"/>
    <col min="33" max="33" width="9.28515625" style="164"/>
    <col min="34" max="34" width="14.28515625" style="164" bestFit="1" customWidth="1"/>
    <col min="35" max="35" width="13.28515625" style="164" bestFit="1" customWidth="1"/>
    <col min="36" max="36" width="10.5703125" style="164" bestFit="1" customWidth="1"/>
    <col min="37" max="16384" width="9.28515625" style="164"/>
  </cols>
  <sheetData>
    <row r="1" spans="1:37" ht="20.100000000000001" customHeight="1">
      <c r="B1" s="164" t="s">
        <v>1022</v>
      </c>
      <c r="F1" s="164" t="s">
        <v>1021</v>
      </c>
    </row>
    <row r="2" spans="1:37" ht="19.5" customHeight="1">
      <c r="N2" s="183" t="s">
        <v>1020</v>
      </c>
      <c r="O2" s="183"/>
      <c r="Q2" s="164" t="s">
        <v>1019</v>
      </c>
      <c r="R2" s="183" t="s">
        <v>731</v>
      </c>
      <c r="S2" s="183"/>
      <c r="U2" s="166" t="s">
        <v>803</v>
      </c>
      <c r="V2" s="166" t="s">
        <v>1018</v>
      </c>
      <c r="W2" s="164" t="s">
        <v>582</v>
      </c>
      <c r="AB2" s="165" t="s">
        <v>1217</v>
      </c>
      <c r="AC2" s="165" t="s">
        <v>862</v>
      </c>
      <c r="AG2" s="1023" t="s">
        <v>1027</v>
      </c>
      <c r="AH2" s="1023"/>
      <c r="AI2" s="1023"/>
      <c r="AJ2" s="164" t="s">
        <v>1026</v>
      </c>
    </row>
    <row r="3" spans="1:37" ht="20.100000000000001" customHeight="1">
      <c r="B3" s="181" t="s">
        <v>964</v>
      </c>
      <c r="C3" s="181" t="s">
        <v>963</v>
      </c>
      <c r="D3" s="180" t="s">
        <v>962</v>
      </c>
      <c r="E3" s="180" t="s">
        <v>1024</v>
      </c>
      <c r="F3" s="181" t="s">
        <v>958</v>
      </c>
      <c r="G3" s="180" t="s">
        <v>961</v>
      </c>
      <c r="H3" s="180" t="s">
        <v>960</v>
      </c>
      <c r="I3" s="181" t="s">
        <v>959</v>
      </c>
      <c r="J3" s="180" t="s">
        <v>958</v>
      </c>
      <c r="K3" s="182" t="s">
        <v>1017</v>
      </c>
      <c r="L3" s="182" t="s">
        <v>1016</v>
      </c>
      <c r="M3" s="180" t="s">
        <v>472</v>
      </c>
      <c r="N3" s="180" t="s">
        <v>1015</v>
      </c>
      <c r="O3" s="180" t="s">
        <v>656</v>
      </c>
      <c r="P3" s="181"/>
      <c r="Q3" s="180" t="s">
        <v>737</v>
      </c>
      <c r="R3" s="180" t="s">
        <v>1015</v>
      </c>
      <c r="S3" s="180" t="s">
        <v>656</v>
      </c>
      <c r="T3" s="181"/>
      <c r="U3" s="180" t="s">
        <v>423</v>
      </c>
      <c r="V3" s="180" t="s">
        <v>277</v>
      </c>
      <c r="X3" s="166" t="s">
        <v>1014</v>
      </c>
      <c r="Y3" s="164" t="s">
        <v>1013</v>
      </c>
      <c r="Z3" s="164" t="s">
        <v>1012</v>
      </c>
      <c r="AA3" s="165" t="s">
        <v>853</v>
      </c>
      <c r="AB3" s="165" t="s">
        <v>853</v>
      </c>
      <c r="AC3" s="165" t="s">
        <v>1025</v>
      </c>
      <c r="AD3" s="191" t="s">
        <v>251</v>
      </c>
      <c r="AE3" s="165" t="s">
        <v>7</v>
      </c>
      <c r="AF3" s="165" t="s">
        <v>256</v>
      </c>
      <c r="AG3" s="165" t="s">
        <v>423</v>
      </c>
      <c r="AH3" s="165" t="s">
        <v>251</v>
      </c>
      <c r="AI3" s="165" t="s">
        <v>7</v>
      </c>
      <c r="AJ3" s="165" t="s">
        <v>251</v>
      </c>
      <c r="AK3" s="165" t="s">
        <v>7</v>
      </c>
    </row>
    <row r="4" spans="1:37" ht="20.100000000000001" customHeight="1">
      <c r="A4" s="164">
        <v>25</v>
      </c>
      <c r="B4" s="164">
        <v>1</v>
      </c>
      <c r="C4" s="164" t="s">
        <v>984</v>
      </c>
      <c r="D4" s="166">
        <v>256</v>
      </c>
      <c r="E4" s="164" t="s">
        <v>978</v>
      </c>
      <c r="F4" s="164" t="s">
        <v>581</v>
      </c>
      <c r="G4" s="166" t="s">
        <v>6</v>
      </c>
      <c r="I4" s="164">
        <v>130</v>
      </c>
      <c r="J4" s="168" t="s">
        <v>7</v>
      </c>
      <c r="K4" s="221">
        <f>+'PF Adds'!G43</f>
        <v>83500</v>
      </c>
      <c r="L4" s="221" t="e">
        <f>+'PF Adds'!#REF!</f>
        <v>#REF!</v>
      </c>
      <c r="M4" s="166">
        <v>396</v>
      </c>
      <c r="N4" s="166">
        <v>10</v>
      </c>
      <c r="O4" s="166">
        <v>25</v>
      </c>
      <c r="Q4" s="170" t="e">
        <f t="shared" ref="Q4:Q35" si="0">+R4</f>
        <v>#REF!</v>
      </c>
      <c r="R4" s="170" t="e">
        <f t="shared" ref="R4:R24" si="1">ROUND(L4/N4,2)</f>
        <v>#REF!</v>
      </c>
      <c r="S4" s="170" t="e">
        <f t="shared" ref="S4:S24" si="2">ROUND(L4/O4,2)</f>
        <v>#REF!</v>
      </c>
      <c r="U4" s="171">
        <v>0.25345000000000001</v>
      </c>
      <c r="V4" s="170" t="e">
        <f t="shared" ref="V4:V35" si="3">+S4-R4</f>
        <v>#REF!</v>
      </c>
      <c r="X4" s="164">
        <v>1485</v>
      </c>
      <c r="Y4" s="164">
        <v>1346</v>
      </c>
      <c r="Z4" s="177">
        <v>704.25</v>
      </c>
      <c r="AA4" s="178"/>
      <c r="AB4" s="236">
        <f>+AA4</f>
        <v>0</v>
      </c>
      <c r="AC4" s="187" t="e">
        <f t="shared" ref="AC4:AC35" si="4">+L4-Q4-AA4+AB4</f>
        <v>#REF!</v>
      </c>
      <c r="AF4" s="187" t="e">
        <f>+AC4</f>
        <v>#REF!</v>
      </c>
    </row>
    <row r="5" spans="1:37" ht="20.100000000000001" customHeight="1">
      <c r="A5" s="164">
        <v>9</v>
      </c>
      <c r="B5" s="164">
        <v>1</v>
      </c>
      <c r="C5" s="164" t="s">
        <v>1008</v>
      </c>
      <c r="D5" s="166">
        <v>251</v>
      </c>
      <c r="E5" s="166" t="s">
        <v>931</v>
      </c>
      <c r="F5" s="164" t="s">
        <v>571</v>
      </c>
      <c r="G5" s="166" t="s">
        <v>6</v>
      </c>
      <c r="I5" s="164">
        <v>750</v>
      </c>
      <c r="J5" s="168" t="s">
        <v>251</v>
      </c>
      <c r="K5" s="221" t="e">
        <f>+'PF Adds'!#REF!</f>
        <v>#REF!</v>
      </c>
      <c r="L5" s="221" t="e">
        <f>+'PF Adds'!#REF!</f>
        <v>#REF!</v>
      </c>
      <c r="M5" s="166">
        <v>309.2</v>
      </c>
      <c r="N5" s="166">
        <v>35</v>
      </c>
      <c r="O5" s="166">
        <v>25</v>
      </c>
      <c r="Q5" s="170" t="e">
        <f t="shared" si="0"/>
        <v>#REF!</v>
      </c>
      <c r="R5" s="170" t="e">
        <f t="shared" si="1"/>
        <v>#REF!</v>
      </c>
      <c r="S5" s="170" t="e">
        <f t="shared" si="2"/>
        <v>#REF!</v>
      </c>
      <c r="U5" s="171">
        <v>0.25345000000000001</v>
      </c>
      <c r="V5" s="170" t="e">
        <f t="shared" si="3"/>
        <v>#REF!</v>
      </c>
      <c r="X5" s="164">
        <v>1090</v>
      </c>
      <c r="Y5" s="164">
        <v>579</v>
      </c>
      <c r="Z5" s="164">
        <v>224</v>
      </c>
      <c r="AA5" s="178"/>
      <c r="AB5" s="236">
        <f>+AA5</f>
        <v>0</v>
      </c>
      <c r="AC5" s="187" t="e">
        <f t="shared" si="4"/>
        <v>#REF!</v>
      </c>
      <c r="AD5" s="192" t="e">
        <f>+AC5</f>
        <v>#REF!</v>
      </c>
      <c r="AG5" s="164">
        <v>14.681100000000001</v>
      </c>
      <c r="AH5" s="187" t="e">
        <f>+$AG5*AD5/1000</f>
        <v>#REF!</v>
      </c>
      <c r="AJ5" s="189" t="e">
        <f>+AH5*0.96</f>
        <v>#REF!</v>
      </c>
    </row>
    <row r="6" spans="1:37" ht="20.100000000000001" customHeight="1">
      <c r="A6" s="164">
        <v>39</v>
      </c>
      <c r="B6" s="164">
        <v>2020028</v>
      </c>
      <c r="C6" s="164" t="s">
        <v>1007</v>
      </c>
      <c r="D6" s="166">
        <v>251</v>
      </c>
      <c r="E6" s="166" t="s">
        <v>931</v>
      </c>
      <c r="F6" s="164" t="s">
        <v>571</v>
      </c>
      <c r="G6" s="166" t="s">
        <v>6</v>
      </c>
      <c r="I6" s="164">
        <v>70</v>
      </c>
      <c r="J6" s="168" t="s">
        <v>251</v>
      </c>
      <c r="K6" s="221" t="e">
        <f>+'PF Adds'!#REF!</f>
        <v>#REF!</v>
      </c>
      <c r="L6" s="221" t="e">
        <f>+'PF Adds'!#REF!</f>
        <v>#REF!</v>
      </c>
      <c r="M6" s="166">
        <v>309.2</v>
      </c>
      <c r="N6" s="166">
        <v>35</v>
      </c>
      <c r="O6" s="166">
        <v>25</v>
      </c>
      <c r="Q6" s="170" t="e">
        <f t="shared" si="0"/>
        <v>#REF!</v>
      </c>
      <c r="R6" s="170" t="e">
        <f t="shared" si="1"/>
        <v>#REF!</v>
      </c>
      <c r="S6" s="170" t="e">
        <f t="shared" si="2"/>
        <v>#REF!</v>
      </c>
      <c r="U6" s="171">
        <v>0.25345000000000001</v>
      </c>
      <c r="V6" s="170" t="e">
        <f t="shared" si="3"/>
        <v>#REF!</v>
      </c>
      <c r="X6" s="164">
        <v>1090</v>
      </c>
      <c r="Y6" s="164">
        <v>579</v>
      </c>
      <c r="Z6" s="164">
        <v>224</v>
      </c>
      <c r="AA6" s="178"/>
      <c r="AB6" s="236">
        <f>+AA6</f>
        <v>0</v>
      </c>
      <c r="AC6" s="187" t="e">
        <f t="shared" si="4"/>
        <v>#REF!</v>
      </c>
      <c r="AD6" s="192" t="e">
        <f>+AC6</f>
        <v>#REF!</v>
      </c>
      <c r="AG6" s="164">
        <v>14.681100000000001</v>
      </c>
      <c r="AH6" s="187" t="e">
        <f>+$AG6*AD6/1000</f>
        <v>#REF!</v>
      </c>
      <c r="AJ6" s="189" t="e">
        <f>+AH6*0.96</f>
        <v>#REF!</v>
      </c>
    </row>
    <row r="7" spans="1:37" ht="20.100000000000001" customHeight="1">
      <c r="A7" s="164">
        <v>43</v>
      </c>
      <c r="B7" s="164">
        <v>2020029</v>
      </c>
      <c r="C7" s="164" t="s">
        <v>950</v>
      </c>
      <c r="D7" s="166">
        <v>251</v>
      </c>
      <c r="E7" s="166" t="s">
        <v>931</v>
      </c>
      <c r="F7" s="164" t="s">
        <v>571</v>
      </c>
      <c r="G7" s="166" t="s">
        <v>925</v>
      </c>
      <c r="H7" s="166" t="s">
        <v>6</v>
      </c>
      <c r="I7" s="164">
        <v>60</v>
      </c>
      <c r="J7" s="168" t="s">
        <v>251</v>
      </c>
      <c r="K7" s="221" t="e">
        <f>+'PF Adds'!#REF!</f>
        <v>#REF!</v>
      </c>
      <c r="L7" s="221" t="e">
        <f>+'PF Adds'!#REF!</f>
        <v>#REF!</v>
      </c>
      <c r="M7" s="166">
        <v>320.3</v>
      </c>
      <c r="N7" s="166">
        <v>22</v>
      </c>
      <c r="O7" s="166">
        <v>25</v>
      </c>
      <c r="Q7" s="170" t="e">
        <f t="shared" si="0"/>
        <v>#REF!</v>
      </c>
      <c r="R7" s="170" t="e">
        <f t="shared" si="1"/>
        <v>#REF!</v>
      </c>
      <c r="S7" s="170" t="e">
        <f t="shared" si="2"/>
        <v>#REF!</v>
      </c>
      <c r="U7" s="171">
        <v>0.25345000000000001</v>
      </c>
      <c r="V7" s="170" t="e">
        <f t="shared" si="3"/>
        <v>#REF!</v>
      </c>
      <c r="X7" s="164">
        <v>1115</v>
      </c>
      <c r="Y7" s="164">
        <v>752</v>
      </c>
      <c r="Z7" s="177">
        <v>342.25</v>
      </c>
      <c r="AA7" s="236" t="e">
        <f>K7*Z7/Y7</f>
        <v>#REF!</v>
      </c>
      <c r="AB7" s="236" t="e">
        <f>+AA7</f>
        <v>#REF!</v>
      </c>
      <c r="AC7" s="187" t="e">
        <f t="shared" si="4"/>
        <v>#REF!</v>
      </c>
      <c r="AD7" s="192" t="e">
        <f>+AC7</f>
        <v>#REF!</v>
      </c>
      <c r="AG7" s="164">
        <v>14.681100000000001</v>
      </c>
      <c r="AH7" s="187" t="e">
        <f>+$AG7*AD7/1000</f>
        <v>#REF!</v>
      </c>
      <c r="AJ7" s="189" t="e">
        <f>+AH7*0.96</f>
        <v>#REF!</v>
      </c>
    </row>
    <row r="8" spans="1:37" ht="20.100000000000001" customHeight="1">
      <c r="A8" s="164">
        <v>52</v>
      </c>
      <c r="B8" s="164">
        <v>1</v>
      </c>
      <c r="C8" s="164" t="s">
        <v>1001</v>
      </c>
      <c r="D8" s="166">
        <v>251</v>
      </c>
      <c r="E8" s="166" t="s">
        <v>931</v>
      </c>
      <c r="F8" s="164" t="s">
        <v>571</v>
      </c>
      <c r="G8" s="166" t="s">
        <v>6</v>
      </c>
      <c r="H8" s="166" t="s">
        <v>6</v>
      </c>
      <c r="I8" s="164">
        <v>30</v>
      </c>
      <c r="J8" s="168" t="s">
        <v>251</v>
      </c>
      <c r="K8" s="221" t="e">
        <f>+'PF Adds'!#REF!</f>
        <v>#REF!</v>
      </c>
      <c r="L8" s="221" t="e">
        <f>+'PF Adds'!#REF!</f>
        <v>#REF!</v>
      </c>
      <c r="M8" s="166">
        <v>320.3</v>
      </c>
      <c r="N8" s="166">
        <v>22</v>
      </c>
      <c r="O8" s="166">
        <v>25</v>
      </c>
      <c r="Q8" s="170" t="e">
        <f t="shared" si="0"/>
        <v>#REF!</v>
      </c>
      <c r="R8" s="170" t="e">
        <f t="shared" si="1"/>
        <v>#REF!</v>
      </c>
      <c r="S8" s="170" t="e">
        <f t="shared" si="2"/>
        <v>#REF!</v>
      </c>
      <c r="U8" s="171">
        <v>0.25345000000000001</v>
      </c>
      <c r="V8" s="170" t="e">
        <f t="shared" si="3"/>
        <v>#REF!</v>
      </c>
      <c r="X8" s="164">
        <v>1115</v>
      </c>
      <c r="Y8" s="164">
        <v>752</v>
      </c>
      <c r="Z8" s="177">
        <v>342.25</v>
      </c>
      <c r="AA8" s="178"/>
      <c r="AB8" s="236">
        <f t="shared" ref="AB8:AB64" si="5">+AA8</f>
        <v>0</v>
      </c>
      <c r="AC8" s="187" t="e">
        <f t="shared" si="4"/>
        <v>#REF!</v>
      </c>
      <c r="AD8" s="192" t="e">
        <f>+AC8</f>
        <v>#REF!</v>
      </c>
      <c r="AG8" s="164">
        <v>14.681100000000001</v>
      </c>
      <c r="AH8" s="187" t="e">
        <f>+$AG8*AD8/1000</f>
        <v>#REF!</v>
      </c>
      <c r="AJ8" s="189" t="e">
        <f>+AH8*0.96</f>
        <v>#REF!</v>
      </c>
    </row>
    <row r="9" spans="1:37" ht="20.100000000000001" customHeight="1">
      <c r="A9" s="164">
        <v>15</v>
      </c>
      <c r="B9" s="164">
        <v>1</v>
      </c>
      <c r="C9" s="164" t="s">
        <v>987</v>
      </c>
      <c r="D9" s="166">
        <v>251</v>
      </c>
      <c r="E9" s="166" t="s">
        <v>931</v>
      </c>
      <c r="F9" s="164" t="s">
        <v>571</v>
      </c>
      <c r="G9" s="166" t="s">
        <v>6</v>
      </c>
      <c r="I9" s="164">
        <v>380</v>
      </c>
      <c r="J9" s="168" t="s">
        <v>7</v>
      </c>
      <c r="K9" s="221" t="e">
        <f>+'PF Adds'!#REF!</f>
        <v>#REF!</v>
      </c>
      <c r="L9" s="221" t="e">
        <f>+'PF Adds'!#REF!</f>
        <v>#REF!</v>
      </c>
      <c r="M9" s="166">
        <v>380.4</v>
      </c>
      <c r="N9" s="166">
        <v>18</v>
      </c>
      <c r="O9" s="166">
        <v>25</v>
      </c>
      <c r="Q9" s="170" t="e">
        <f t="shared" si="0"/>
        <v>#REF!</v>
      </c>
      <c r="R9" s="170" t="e">
        <f t="shared" si="1"/>
        <v>#REF!</v>
      </c>
      <c r="S9" s="170" t="e">
        <f t="shared" si="2"/>
        <v>#REF!</v>
      </c>
      <c r="U9" s="171">
        <v>0.25345000000000001</v>
      </c>
      <c r="V9" s="170" t="e">
        <f t="shared" si="3"/>
        <v>#REF!</v>
      </c>
      <c r="X9" s="164">
        <v>1400</v>
      </c>
      <c r="Y9" s="164">
        <v>752</v>
      </c>
      <c r="Z9" s="177">
        <v>384.75</v>
      </c>
      <c r="AA9" s="178"/>
      <c r="AB9" s="236">
        <f t="shared" si="5"/>
        <v>0</v>
      </c>
      <c r="AC9" s="187" t="e">
        <f t="shared" si="4"/>
        <v>#REF!</v>
      </c>
      <c r="AE9" s="187" t="e">
        <f t="shared" ref="AE9:AE14" si="6">+AC9</f>
        <v>#REF!</v>
      </c>
      <c r="AG9" s="164">
        <v>14.681100000000001</v>
      </c>
      <c r="AI9" s="187" t="e">
        <f t="shared" ref="AI9:AI14" si="7">+$AG9*AE9/1000</f>
        <v>#REF!</v>
      </c>
      <c r="AK9" s="189" t="e">
        <f t="shared" ref="AK9:AK14" si="8">+AI9*0.96</f>
        <v>#REF!</v>
      </c>
    </row>
    <row r="10" spans="1:37" ht="20.100000000000001" customHeight="1">
      <c r="A10" s="164">
        <v>51</v>
      </c>
      <c r="B10" s="164">
        <v>1</v>
      </c>
      <c r="C10" s="164" t="s">
        <v>932</v>
      </c>
      <c r="D10" s="166">
        <v>260</v>
      </c>
      <c r="E10" s="166" t="s">
        <v>931</v>
      </c>
      <c r="F10" s="164" t="s">
        <v>930</v>
      </c>
      <c r="G10" s="166" t="s">
        <v>925</v>
      </c>
      <c r="H10" s="166" t="s">
        <v>6</v>
      </c>
      <c r="I10" s="164">
        <v>34</v>
      </c>
      <c r="J10" s="168" t="s">
        <v>7</v>
      </c>
      <c r="K10" s="221" t="e">
        <f>+'PF Adds'!#REF!</f>
        <v>#REF!</v>
      </c>
      <c r="L10" s="221" t="e">
        <f>+'PF Adds'!#REF!</f>
        <v>#REF!</v>
      </c>
      <c r="M10" s="166">
        <v>380.4</v>
      </c>
      <c r="N10" s="166">
        <v>18</v>
      </c>
      <c r="O10" s="166">
        <v>25</v>
      </c>
      <c r="Q10" s="170" t="e">
        <f t="shared" si="0"/>
        <v>#REF!</v>
      </c>
      <c r="R10" s="170" t="e">
        <f t="shared" si="1"/>
        <v>#REF!</v>
      </c>
      <c r="S10" s="170" t="e">
        <f t="shared" si="2"/>
        <v>#REF!</v>
      </c>
      <c r="U10" s="171">
        <v>0.25345000000000001</v>
      </c>
      <c r="V10" s="170" t="e">
        <f t="shared" si="3"/>
        <v>#REF!</v>
      </c>
      <c r="X10" s="164">
        <v>1400</v>
      </c>
      <c r="Y10" s="164">
        <v>752</v>
      </c>
      <c r="Z10" s="177">
        <v>384.75</v>
      </c>
      <c r="AA10" s="176" t="e">
        <f>K10*Z10/Y10</f>
        <v>#REF!</v>
      </c>
      <c r="AB10" s="236" t="e">
        <f t="shared" si="5"/>
        <v>#REF!</v>
      </c>
      <c r="AC10" s="187" t="e">
        <f t="shared" si="4"/>
        <v>#REF!</v>
      </c>
      <c r="AE10" s="187" t="e">
        <f t="shared" si="6"/>
        <v>#REF!</v>
      </c>
      <c r="AG10" s="164">
        <v>14.681100000000001</v>
      </c>
      <c r="AI10" s="187" t="e">
        <f t="shared" si="7"/>
        <v>#REF!</v>
      </c>
      <c r="AK10" s="189" t="e">
        <f t="shared" si="8"/>
        <v>#REF!</v>
      </c>
    </row>
    <row r="11" spans="1:37" ht="20.100000000000001" customHeight="1">
      <c r="A11" s="164">
        <v>48</v>
      </c>
      <c r="B11" s="164">
        <v>1</v>
      </c>
      <c r="C11" s="164" t="s">
        <v>933</v>
      </c>
      <c r="D11" s="166">
        <v>251</v>
      </c>
      <c r="E11" s="166" t="s">
        <v>931</v>
      </c>
      <c r="F11" s="164" t="s">
        <v>571</v>
      </c>
      <c r="G11" s="166" t="s">
        <v>925</v>
      </c>
      <c r="H11" s="166" t="s">
        <v>6</v>
      </c>
      <c r="I11" s="164">
        <v>45</v>
      </c>
      <c r="J11" s="168" t="s">
        <v>7</v>
      </c>
      <c r="K11" s="221" t="e">
        <f>+'PF Adds'!#REF!</f>
        <v>#REF!</v>
      </c>
      <c r="L11" s="221" t="e">
        <f>+'PF Adds'!#REF!</f>
        <v>#REF!</v>
      </c>
      <c r="M11" s="166">
        <v>380.4</v>
      </c>
      <c r="N11" s="166">
        <v>18</v>
      </c>
      <c r="O11" s="166">
        <v>25</v>
      </c>
      <c r="Q11" s="170" t="e">
        <f t="shared" si="0"/>
        <v>#REF!</v>
      </c>
      <c r="R11" s="170" t="e">
        <f t="shared" si="1"/>
        <v>#REF!</v>
      </c>
      <c r="S11" s="170" t="e">
        <f t="shared" si="2"/>
        <v>#REF!</v>
      </c>
      <c r="U11" s="171">
        <v>0.25345000000000001</v>
      </c>
      <c r="V11" s="170" t="e">
        <f t="shared" si="3"/>
        <v>#REF!</v>
      </c>
      <c r="X11" s="164">
        <v>1400</v>
      </c>
      <c r="Y11" s="164">
        <v>752</v>
      </c>
      <c r="Z11" s="177">
        <v>384.75</v>
      </c>
      <c r="AA11" s="176" t="e">
        <f>K11*Z11/Y11</f>
        <v>#REF!</v>
      </c>
      <c r="AB11" s="236" t="e">
        <f t="shared" si="5"/>
        <v>#REF!</v>
      </c>
      <c r="AC11" s="187" t="e">
        <f t="shared" si="4"/>
        <v>#REF!</v>
      </c>
      <c r="AE11" s="187" t="e">
        <f t="shared" si="6"/>
        <v>#REF!</v>
      </c>
      <c r="AG11" s="164">
        <v>14.681100000000001</v>
      </c>
      <c r="AI11" s="187" t="e">
        <f t="shared" si="7"/>
        <v>#REF!</v>
      </c>
      <c r="AK11" s="189" t="e">
        <f t="shared" si="8"/>
        <v>#REF!</v>
      </c>
    </row>
    <row r="12" spans="1:37" ht="20.100000000000001" customHeight="1">
      <c r="A12" s="164">
        <v>10</v>
      </c>
      <c r="B12" s="164">
        <v>2019175</v>
      </c>
      <c r="C12" s="164" t="s">
        <v>942</v>
      </c>
      <c r="D12" s="166">
        <v>249</v>
      </c>
      <c r="E12" s="166" t="s">
        <v>939</v>
      </c>
      <c r="F12" s="164" t="s">
        <v>577</v>
      </c>
      <c r="G12" s="166" t="s">
        <v>925</v>
      </c>
      <c r="H12" s="166" t="s">
        <v>6</v>
      </c>
      <c r="I12" s="164">
        <v>637</v>
      </c>
      <c r="J12" s="168" t="s">
        <v>7</v>
      </c>
      <c r="K12" s="221" t="e">
        <f>+'PF Adds'!#REF!</f>
        <v>#REF!</v>
      </c>
      <c r="L12" s="221" t="e">
        <f>+'PF Adds'!#REF!</f>
        <v>#REF!</v>
      </c>
      <c r="M12" s="166">
        <v>354.4</v>
      </c>
      <c r="N12" s="166">
        <v>32</v>
      </c>
      <c r="O12" s="166">
        <v>25</v>
      </c>
      <c r="Q12" s="170" t="e">
        <f t="shared" si="0"/>
        <v>#REF!</v>
      </c>
      <c r="R12" s="170" t="e">
        <f t="shared" si="1"/>
        <v>#REF!</v>
      </c>
      <c r="S12" s="170" t="e">
        <f t="shared" si="2"/>
        <v>#REF!</v>
      </c>
      <c r="U12" s="171">
        <v>0.25345000000000001</v>
      </c>
      <c r="V12" s="170" t="e">
        <f t="shared" si="3"/>
        <v>#REF!</v>
      </c>
      <c r="X12" s="164">
        <v>1300</v>
      </c>
      <c r="Y12" s="164">
        <v>599</v>
      </c>
      <c r="Z12" s="177">
        <v>225.5</v>
      </c>
      <c r="AA12" s="176" t="e">
        <f>K12*Z12/Y12</f>
        <v>#REF!</v>
      </c>
      <c r="AB12" s="236" t="e">
        <f t="shared" si="5"/>
        <v>#REF!</v>
      </c>
      <c r="AC12" s="187" t="e">
        <f t="shared" si="4"/>
        <v>#REF!</v>
      </c>
      <c r="AE12" s="187" t="e">
        <f t="shared" si="6"/>
        <v>#REF!</v>
      </c>
      <c r="AG12" s="164">
        <v>14.6981</v>
      </c>
      <c r="AI12" s="187" t="e">
        <f t="shared" si="7"/>
        <v>#REF!</v>
      </c>
      <c r="AK12" s="189" t="e">
        <f t="shared" si="8"/>
        <v>#REF!</v>
      </c>
    </row>
    <row r="13" spans="1:37" ht="20.100000000000001" customHeight="1">
      <c r="A13" s="164">
        <v>30</v>
      </c>
      <c r="B13" s="164">
        <v>1</v>
      </c>
      <c r="C13" s="164" t="s">
        <v>940</v>
      </c>
      <c r="D13" s="166">
        <v>249</v>
      </c>
      <c r="E13" s="166" t="s">
        <v>939</v>
      </c>
      <c r="F13" s="164" t="s">
        <v>577</v>
      </c>
      <c r="G13" s="166" t="s">
        <v>925</v>
      </c>
      <c r="H13" s="166" t="s">
        <v>925</v>
      </c>
      <c r="I13" s="164">
        <v>100</v>
      </c>
      <c r="J13" s="168" t="s">
        <v>7</v>
      </c>
      <c r="K13" s="221" t="e">
        <f>+'PF Adds'!#REF!</f>
        <v>#REF!</v>
      </c>
      <c r="L13" s="221" t="e">
        <f>+'PF Adds'!#REF!</f>
        <v>#REF!</v>
      </c>
      <c r="M13" s="166">
        <v>370.3</v>
      </c>
      <c r="N13" s="166">
        <v>30</v>
      </c>
      <c r="O13" s="166">
        <v>25</v>
      </c>
      <c r="Q13" s="170" t="e">
        <f t="shared" si="0"/>
        <v>#REF!</v>
      </c>
      <c r="R13" s="170" t="e">
        <f t="shared" si="1"/>
        <v>#REF!</v>
      </c>
      <c r="S13" s="170" t="e">
        <f t="shared" si="2"/>
        <v>#REF!</v>
      </c>
      <c r="U13" s="171">
        <v>0.25345000000000001</v>
      </c>
      <c r="V13" s="170" t="e">
        <f t="shared" si="3"/>
        <v>#REF!</v>
      </c>
      <c r="X13" s="164">
        <v>1375</v>
      </c>
      <c r="Y13" s="164">
        <v>599</v>
      </c>
      <c r="Z13" s="177">
        <v>234.75</v>
      </c>
      <c r="AA13" s="176" t="e">
        <f>K13*Z13/Y13</f>
        <v>#REF!</v>
      </c>
      <c r="AB13" s="236" t="e">
        <f t="shared" si="5"/>
        <v>#REF!</v>
      </c>
      <c r="AC13" s="187" t="e">
        <f t="shared" si="4"/>
        <v>#REF!</v>
      </c>
      <c r="AE13" s="187" t="e">
        <f t="shared" si="6"/>
        <v>#REF!</v>
      </c>
      <c r="AG13" s="164">
        <v>14.6981</v>
      </c>
      <c r="AI13" s="187" t="e">
        <f t="shared" si="7"/>
        <v>#REF!</v>
      </c>
      <c r="AK13" s="189" t="e">
        <f t="shared" si="8"/>
        <v>#REF!</v>
      </c>
    </row>
    <row r="14" spans="1:37" ht="20.100000000000001" customHeight="1">
      <c r="A14" s="164">
        <v>24</v>
      </c>
      <c r="B14" s="164">
        <v>2019125</v>
      </c>
      <c r="C14" s="164" t="s">
        <v>985</v>
      </c>
      <c r="D14" s="166">
        <v>249</v>
      </c>
      <c r="E14" s="166" t="s">
        <v>939</v>
      </c>
      <c r="F14" s="164" t="s">
        <v>577</v>
      </c>
      <c r="G14" s="166" t="s">
        <v>6</v>
      </c>
      <c r="I14" s="164">
        <v>130.26403000000002</v>
      </c>
      <c r="J14" s="168" t="s">
        <v>7</v>
      </c>
      <c r="K14" s="221" t="e">
        <f>+'PF Adds'!#REF!</f>
        <v>#REF!</v>
      </c>
      <c r="L14" s="221" t="e">
        <f>+'PF Adds'!#REF!</f>
        <v>#REF!</v>
      </c>
      <c r="M14" s="166">
        <v>380.4</v>
      </c>
      <c r="N14" s="166">
        <v>18</v>
      </c>
      <c r="O14" s="166">
        <v>25</v>
      </c>
      <c r="Q14" s="170" t="e">
        <f t="shared" si="0"/>
        <v>#REF!</v>
      </c>
      <c r="R14" s="170" t="e">
        <f t="shared" si="1"/>
        <v>#REF!</v>
      </c>
      <c r="S14" s="170" t="e">
        <f t="shared" si="2"/>
        <v>#REF!</v>
      </c>
      <c r="U14" s="171">
        <v>0.25345000000000001</v>
      </c>
      <c r="V14" s="170" t="e">
        <f t="shared" si="3"/>
        <v>#REF!</v>
      </c>
      <c r="X14" s="164">
        <v>1400</v>
      </c>
      <c r="Y14" s="164">
        <v>752</v>
      </c>
      <c r="Z14" s="177">
        <v>384.75</v>
      </c>
      <c r="AA14" s="178"/>
      <c r="AB14" s="236">
        <f t="shared" si="5"/>
        <v>0</v>
      </c>
      <c r="AC14" s="187" t="e">
        <f t="shared" si="4"/>
        <v>#REF!</v>
      </c>
      <c r="AE14" s="187" t="e">
        <f t="shared" si="6"/>
        <v>#REF!</v>
      </c>
      <c r="AG14" s="164">
        <v>14.6981</v>
      </c>
      <c r="AI14" s="187" t="e">
        <f t="shared" si="7"/>
        <v>#REF!</v>
      </c>
      <c r="AK14" s="189" t="e">
        <f t="shared" si="8"/>
        <v>#REF!</v>
      </c>
    </row>
    <row r="15" spans="1:37" ht="20.100000000000001" customHeight="1">
      <c r="A15" s="164">
        <v>17</v>
      </c>
      <c r="B15" s="175">
        <v>2019024</v>
      </c>
      <c r="C15" s="175" t="s">
        <v>921</v>
      </c>
      <c r="D15" s="172">
        <v>249</v>
      </c>
      <c r="E15" s="166" t="s">
        <v>939</v>
      </c>
      <c r="F15" s="175" t="s">
        <v>577</v>
      </c>
      <c r="G15" s="166" t="s">
        <v>6</v>
      </c>
      <c r="I15" s="164">
        <v>229.00014000000002</v>
      </c>
      <c r="J15" s="168" t="s">
        <v>7</v>
      </c>
      <c r="K15" s="221" t="e">
        <f>+'PF Adds'!#REF!</f>
        <v>#REF!</v>
      </c>
      <c r="L15" s="221" t="e">
        <f>+'PF Adds'!#REF!</f>
        <v>#REF!</v>
      </c>
      <c r="M15" s="166">
        <v>396</v>
      </c>
      <c r="N15" s="166">
        <v>10</v>
      </c>
      <c r="O15" s="166">
        <v>25</v>
      </c>
      <c r="Q15" s="170" t="e">
        <f t="shared" si="0"/>
        <v>#REF!</v>
      </c>
      <c r="R15" s="170" t="e">
        <f t="shared" si="1"/>
        <v>#REF!</v>
      </c>
      <c r="S15" s="170" t="e">
        <f t="shared" si="2"/>
        <v>#REF!</v>
      </c>
      <c r="U15" s="171">
        <v>0.25345000000000001</v>
      </c>
      <c r="V15" s="170" t="e">
        <f t="shared" si="3"/>
        <v>#REF!</v>
      </c>
      <c r="X15" s="164">
        <v>1485</v>
      </c>
      <c r="Y15" s="164">
        <v>1346</v>
      </c>
      <c r="Z15" s="177">
        <v>704.25</v>
      </c>
      <c r="AA15" s="178"/>
      <c r="AB15" s="236">
        <f t="shared" si="5"/>
        <v>0</v>
      </c>
      <c r="AC15" s="187" t="e">
        <f t="shared" si="4"/>
        <v>#REF!</v>
      </c>
      <c r="AF15" s="187" t="e">
        <f>+AC15</f>
        <v>#REF!</v>
      </c>
    </row>
    <row r="16" spans="1:37" ht="20.100000000000001" customHeight="1">
      <c r="A16" s="164">
        <v>23</v>
      </c>
      <c r="B16" s="164">
        <v>2019146</v>
      </c>
      <c r="C16" s="164" t="s">
        <v>949</v>
      </c>
      <c r="D16" s="166">
        <v>252</v>
      </c>
      <c r="E16" s="166" t="s">
        <v>511</v>
      </c>
      <c r="F16" s="164" t="s">
        <v>947</v>
      </c>
      <c r="G16" s="166" t="s">
        <v>925</v>
      </c>
      <c r="H16" s="166" t="s">
        <v>6</v>
      </c>
      <c r="I16" s="177">
        <v>154.76373000000001</v>
      </c>
      <c r="J16" s="168" t="s">
        <v>251</v>
      </c>
      <c r="K16" s="221" t="e">
        <f>+'PF Adds'!#REF!</f>
        <v>#REF!</v>
      </c>
      <c r="L16" s="221" t="e">
        <f>+'PF Adds'!#REF!</f>
        <v>#REF!</v>
      </c>
      <c r="M16" s="166">
        <v>331.4</v>
      </c>
      <c r="N16" s="166">
        <v>43</v>
      </c>
      <c r="O16" s="166">
        <v>25</v>
      </c>
      <c r="Q16" s="170" t="e">
        <f t="shared" si="0"/>
        <v>#REF!</v>
      </c>
      <c r="R16" s="170" t="e">
        <f t="shared" si="1"/>
        <v>#REF!</v>
      </c>
      <c r="S16" s="170" t="e">
        <f t="shared" si="2"/>
        <v>#REF!</v>
      </c>
      <c r="U16" s="171">
        <v>0.25345000000000001</v>
      </c>
      <c r="V16" s="170" t="e">
        <f t="shared" si="3"/>
        <v>#REF!</v>
      </c>
      <c r="X16" s="164">
        <v>1125</v>
      </c>
      <c r="Y16" s="164">
        <v>762</v>
      </c>
      <c r="Z16" s="164">
        <v>164</v>
      </c>
      <c r="AA16" s="176" t="e">
        <f t="shared" ref="AA16:AA21" si="9">K16*Z16/Y16</f>
        <v>#REF!</v>
      </c>
      <c r="AB16" s="236" t="e">
        <f t="shared" si="5"/>
        <v>#REF!</v>
      </c>
      <c r="AC16" s="187" t="e">
        <f t="shared" si="4"/>
        <v>#REF!</v>
      </c>
      <c r="AD16" s="192" t="e">
        <f t="shared" ref="AD16:AD21" si="10">+AC16</f>
        <v>#REF!</v>
      </c>
      <c r="AG16" s="164">
        <v>16.714099999999998</v>
      </c>
      <c r="AH16" s="187" t="e">
        <f t="shared" ref="AH16:AH21" si="11">+$AG16*AD16/1000</f>
        <v>#REF!</v>
      </c>
      <c r="AJ16" s="189" t="e">
        <f t="shared" ref="AJ16:AJ21" si="12">+AH16*0.96</f>
        <v>#REF!</v>
      </c>
    </row>
    <row r="17" spans="1:37" ht="20.100000000000001" customHeight="1">
      <c r="A17" s="164">
        <v>34</v>
      </c>
      <c r="B17" s="164">
        <v>1</v>
      </c>
      <c r="C17" s="164" t="s">
        <v>948</v>
      </c>
      <c r="D17" s="166">
        <v>252</v>
      </c>
      <c r="E17" s="166" t="s">
        <v>511</v>
      </c>
      <c r="F17" s="164" t="s">
        <v>947</v>
      </c>
      <c r="G17" s="166" t="s">
        <v>925</v>
      </c>
      <c r="H17" s="166" t="s">
        <v>925</v>
      </c>
      <c r="I17" s="164">
        <v>75</v>
      </c>
      <c r="J17" s="168" t="s">
        <v>251</v>
      </c>
      <c r="K17" s="221" t="e">
        <f>+'PF Adds'!#REF!</f>
        <v>#REF!</v>
      </c>
      <c r="L17" s="221" t="e">
        <f>+'PF Adds'!#REF!</f>
        <v>#REF!</v>
      </c>
      <c r="M17" s="166">
        <v>331.4</v>
      </c>
      <c r="N17" s="166">
        <v>43</v>
      </c>
      <c r="O17" s="166">
        <v>25</v>
      </c>
      <c r="Q17" s="170" t="e">
        <f t="shared" si="0"/>
        <v>#REF!</v>
      </c>
      <c r="R17" s="170" t="e">
        <f t="shared" si="1"/>
        <v>#REF!</v>
      </c>
      <c r="S17" s="170" t="e">
        <f t="shared" si="2"/>
        <v>#REF!</v>
      </c>
      <c r="U17" s="171">
        <v>0.25345000000000001</v>
      </c>
      <c r="V17" s="170" t="e">
        <f t="shared" si="3"/>
        <v>#REF!</v>
      </c>
      <c r="X17" s="164">
        <v>1125</v>
      </c>
      <c r="Y17" s="164">
        <v>762</v>
      </c>
      <c r="Z17" s="164">
        <v>164</v>
      </c>
      <c r="AA17" s="176" t="e">
        <f t="shared" si="9"/>
        <v>#REF!</v>
      </c>
      <c r="AB17" s="236" t="e">
        <f t="shared" si="5"/>
        <v>#REF!</v>
      </c>
      <c r="AC17" s="187" t="e">
        <f t="shared" si="4"/>
        <v>#REF!</v>
      </c>
      <c r="AD17" s="192" t="e">
        <f t="shared" si="10"/>
        <v>#REF!</v>
      </c>
      <c r="AG17" s="164">
        <v>16.714099999999998</v>
      </c>
      <c r="AH17" s="187" t="e">
        <f t="shared" si="11"/>
        <v>#REF!</v>
      </c>
      <c r="AJ17" s="189" t="e">
        <f t="shared" si="12"/>
        <v>#REF!</v>
      </c>
    </row>
    <row r="18" spans="1:37" ht="20.100000000000001" customHeight="1">
      <c r="A18" s="164">
        <v>38</v>
      </c>
      <c r="B18" s="164">
        <v>2020041</v>
      </c>
      <c r="C18" s="164" t="s">
        <v>955</v>
      </c>
      <c r="D18" s="166">
        <v>252</v>
      </c>
      <c r="E18" s="166" t="s">
        <v>512</v>
      </c>
      <c r="F18" s="164" t="s">
        <v>954</v>
      </c>
      <c r="G18" s="166" t="s">
        <v>925</v>
      </c>
      <c r="H18" s="166" t="s">
        <v>6</v>
      </c>
      <c r="I18" s="177">
        <v>73.567999999999998</v>
      </c>
      <c r="J18" s="168" t="s">
        <v>251</v>
      </c>
      <c r="K18" s="221" t="e">
        <f>+'PF Adds'!#REF!</f>
        <v>#REF!</v>
      </c>
      <c r="L18" s="221" t="e">
        <f>+'PF Adds'!#REF!</f>
        <v>#REF!</v>
      </c>
      <c r="M18" s="166">
        <v>307.2</v>
      </c>
      <c r="N18" s="166">
        <v>30</v>
      </c>
      <c r="O18" s="166">
        <v>25</v>
      </c>
      <c r="Q18" s="170" t="e">
        <f t="shared" si="0"/>
        <v>#REF!</v>
      </c>
      <c r="R18" s="170" t="e">
        <f t="shared" si="1"/>
        <v>#REF!</v>
      </c>
      <c r="S18" s="170" t="e">
        <f t="shared" si="2"/>
        <v>#REF!</v>
      </c>
      <c r="U18" s="171">
        <v>0.25345000000000001</v>
      </c>
      <c r="V18" s="170" t="e">
        <f t="shared" si="3"/>
        <v>#REF!</v>
      </c>
      <c r="X18" s="164">
        <v>1080</v>
      </c>
      <c r="Y18" s="164">
        <v>486</v>
      </c>
      <c r="Z18" s="177">
        <v>238.5</v>
      </c>
      <c r="AA18" s="176" t="e">
        <f t="shared" si="9"/>
        <v>#REF!</v>
      </c>
      <c r="AB18" s="236" t="e">
        <f t="shared" si="5"/>
        <v>#REF!</v>
      </c>
      <c r="AC18" s="187" t="e">
        <f t="shared" si="4"/>
        <v>#REF!</v>
      </c>
      <c r="AD18" s="192" t="e">
        <f t="shared" si="10"/>
        <v>#REF!</v>
      </c>
      <c r="AG18" s="164">
        <v>16.1264</v>
      </c>
      <c r="AH18" s="187" t="e">
        <f t="shared" si="11"/>
        <v>#REF!</v>
      </c>
      <c r="AJ18" s="189" t="e">
        <f t="shared" si="12"/>
        <v>#REF!</v>
      </c>
    </row>
    <row r="19" spans="1:37" ht="20.100000000000001" customHeight="1">
      <c r="B19" s="164">
        <v>2020004</v>
      </c>
      <c r="C19" s="164" t="s">
        <v>953</v>
      </c>
      <c r="D19" s="166">
        <v>252</v>
      </c>
      <c r="E19" s="166" t="s">
        <v>512</v>
      </c>
      <c r="F19" s="164" t="s">
        <v>951</v>
      </c>
      <c r="G19" s="166" t="s">
        <v>925</v>
      </c>
      <c r="H19" s="166" t="s">
        <v>6</v>
      </c>
      <c r="I19" s="177">
        <v>154.571</v>
      </c>
      <c r="J19" s="168" t="s">
        <v>251</v>
      </c>
      <c r="K19" s="221" t="e">
        <f>+'PF Adds'!#REF!</f>
        <v>#REF!</v>
      </c>
      <c r="L19" s="221" t="e">
        <f>+'PF Adds'!#REF!</f>
        <v>#REF!</v>
      </c>
      <c r="M19" s="166">
        <v>307.2</v>
      </c>
      <c r="N19" s="166">
        <v>30</v>
      </c>
      <c r="O19" s="166">
        <v>25</v>
      </c>
      <c r="Q19" s="170" t="e">
        <f t="shared" si="0"/>
        <v>#REF!</v>
      </c>
      <c r="R19" s="170" t="e">
        <f t="shared" si="1"/>
        <v>#REF!</v>
      </c>
      <c r="S19" s="170" t="e">
        <f t="shared" si="2"/>
        <v>#REF!</v>
      </c>
      <c r="U19" s="171">
        <v>0.25345000000000001</v>
      </c>
      <c r="V19" s="170" t="e">
        <f t="shared" si="3"/>
        <v>#REF!</v>
      </c>
      <c r="X19" s="164">
        <v>1080</v>
      </c>
      <c r="Y19" s="164">
        <v>486</v>
      </c>
      <c r="Z19" s="177">
        <v>238.5</v>
      </c>
      <c r="AA19" s="176" t="e">
        <f t="shared" si="9"/>
        <v>#REF!</v>
      </c>
      <c r="AB19" s="236" t="e">
        <f t="shared" si="5"/>
        <v>#REF!</v>
      </c>
      <c r="AC19" s="187" t="e">
        <f t="shared" si="4"/>
        <v>#REF!</v>
      </c>
      <c r="AD19" s="192" t="e">
        <f t="shared" si="10"/>
        <v>#REF!</v>
      </c>
      <c r="AG19" s="164">
        <v>16.1264</v>
      </c>
      <c r="AH19" s="187" t="e">
        <f t="shared" si="11"/>
        <v>#REF!</v>
      </c>
      <c r="AJ19" s="189" t="e">
        <f t="shared" si="12"/>
        <v>#REF!</v>
      </c>
    </row>
    <row r="20" spans="1:37" ht="20.100000000000001" customHeight="1">
      <c r="A20" s="164">
        <v>22</v>
      </c>
      <c r="B20" s="164">
        <v>2020004</v>
      </c>
      <c r="C20" s="164" t="s">
        <v>1002</v>
      </c>
      <c r="D20" s="166">
        <v>252</v>
      </c>
      <c r="E20" s="166" t="s">
        <v>512</v>
      </c>
      <c r="F20" s="164" t="s">
        <v>951</v>
      </c>
      <c r="G20" s="166" t="s">
        <v>925</v>
      </c>
      <c r="H20" s="166" t="s">
        <v>6</v>
      </c>
      <c r="I20" s="164">
        <v>154.571</v>
      </c>
      <c r="J20" s="168" t="s">
        <v>251</v>
      </c>
      <c r="K20" s="230" t="e">
        <f>+'PF Adds'!#REF!</f>
        <v>#REF!</v>
      </c>
      <c r="L20" s="230" t="e">
        <f>+'PF Adds'!#REF!</f>
        <v>#REF!</v>
      </c>
      <c r="M20" s="166">
        <v>310.2</v>
      </c>
      <c r="N20" s="166">
        <v>20</v>
      </c>
      <c r="O20" s="166">
        <v>25</v>
      </c>
      <c r="Q20" s="170" t="e">
        <f t="shared" si="0"/>
        <v>#REF!</v>
      </c>
      <c r="R20" s="170" t="e">
        <f t="shared" si="1"/>
        <v>#REF!</v>
      </c>
      <c r="S20" s="170" t="e">
        <f t="shared" si="2"/>
        <v>#REF!</v>
      </c>
      <c r="U20" s="171">
        <v>0.25345000000000001</v>
      </c>
      <c r="V20" s="170" t="e">
        <f t="shared" si="3"/>
        <v>#REF!</v>
      </c>
      <c r="X20" s="164">
        <v>1095</v>
      </c>
      <c r="Y20" s="164">
        <v>1346</v>
      </c>
      <c r="Z20" s="177">
        <v>529.5</v>
      </c>
      <c r="AA20" s="176" t="e">
        <f t="shared" si="9"/>
        <v>#REF!</v>
      </c>
      <c r="AB20" s="236" t="e">
        <f t="shared" si="5"/>
        <v>#REF!</v>
      </c>
      <c r="AC20" s="187" t="e">
        <f t="shared" si="4"/>
        <v>#REF!</v>
      </c>
      <c r="AD20" s="192" t="e">
        <f t="shared" si="10"/>
        <v>#REF!</v>
      </c>
      <c r="AG20" s="164">
        <v>16.1264</v>
      </c>
      <c r="AH20" s="187" t="e">
        <f t="shared" si="11"/>
        <v>#REF!</v>
      </c>
      <c r="AJ20" s="189" t="e">
        <f t="shared" si="12"/>
        <v>#REF!</v>
      </c>
    </row>
    <row r="21" spans="1:37" ht="20.100000000000001" customHeight="1">
      <c r="B21" s="164">
        <v>2020004</v>
      </c>
      <c r="C21" s="164" t="s">
        <v>952</v>
      </c>
      <c r="D21" s="166">
        <v>252</v>
      </c>
      <c r="E21" s="166" t="s">
        <v>512</v>
      </c>
      <c r="F21" s="164" t="s">
        <v>951</v>
      </c>
      <c r="G21" s="166" t="s">
        <v>925</v>
      </c>
      <c r="H21" s="166" t="s">
        <v>6</v>
      </c>
      <c r="I21" s="164">
        <v>154.571</v>
      </c>
      <c r="J21" s="168" t="s">
        <v>251</v>
      </c>
      <c r="K21" s="230" t="e">
        <f>+'PF Adds'!#REF!</f>
        <v>#REF!</v>
      </c>
      <c r="L21" s="230" t="e">
        <f>+'PF Adds'!#REF!</f>
        <v>#REF!</v>
      </c>
      <c r="M21" s="166">
        <v>330.3</v>
      </c>
      <c r="N21" s="166">
        <v>37</v>
      </c>
      <c r="O21" s="166">
        <v>25</v>
      </c>
      <c r="Q21" s="170" t="e">
        <f t="shared" si="0"/>
        <v>#REF!</v>
      </c>
      <c r="R21" s="170" t="e">
        <f t="shared" si="1"/>
        <v>#REF!</v>
      </c>
      <c r="S21" s="170" t="e">
        <f t="shared" si="2"/>
        <v>#REF!</v>
      </c>
      <c r="U21" s="171">
        <v>0.25345000000000001</v>
      </c>
      <c r="V21" s="170" t="e">
        <f t="shared" si="3"/>
        <v>#REF!</v>
      </c>
      <c r="X21" s="164">
        <v>1120</v>
      </c>
      <c r="Y21" s="164">
        <v>762</v>
      </c>
      <c r="Z21" s="177">
        <v>236</v>
      </c>
      <c r="AA21" s="176" t="e">
        <f t="shared" si="9"/>
        <v>#REF!</v>
      </c>
      <c r="AB21" s="236" t="e">
        <f t="shared" si="5"/>
        <v>#REF!</v>
      </c>
      <c r="AC21" s="187" t="e">
        <f t="shared" si="4"/>
        <v>#REF!</v>
      </c>
      <c r="AD21" s="192" t="e">
        <f t="shared" si="10"/>
        <v>#REF!</v>
      </c>
      <c r="AG21" s="164">
        <v>16.1264</v>
      </c>
      <c r="AH21" s="187" t="e">
        <f t="shared" si="11"/>
        <v>#REF!</v>
      </c>
      <c r="AJ21" s="189" t="e">
        <f t="shared" si="12"/>
        <v>#REF!</v>
      </c>
    </row>
    <row r="22" spans="1:37" ht="20.100000000000001" customHeight="1">
      <c r="A22" s="164">
        <v>50</v>
      </c>
      <c r="B22" s="164">
        <v>1</v>
      </c>
      <c r="C22" s="164" t="s">
        <v>917</v>
      </c>
      <c r="D22" s="166">
        <v>259</v>
      </c>
      <c r="E22" s="166" t="s">
        <v>512</v>
      </c>
      <c r="F22" s="164" t="s">
        <v>576</v>
      </c>
      <c r="G22" s="166" t="s">
        <v>6</v>
      </c>
      <c r="I22" s="164">
        <v>40.636060000000001</v>
      </c>
      <c r="J22" s="168" t="s">
        <v>7</v>
      </c>
      <c r="K22" s="221" t="e">
        <f>+'PF Adds'!#REF!</f>
        <v>#REF!</v>
      </c>
      <c r="L22" s="221" t="e">
        <f>+'PF Adds'!#REF!</f>
        <v>#REF!</v>
      </c>
      <c r="M22" s="166">
        <v>380.4</v>
      </c>
      <c r="N22" s="166">
        <v>18</v>
      </c>
      <c r="O22" s="166">
        <v>25</v>
      </c>
      <c r="Q22" s="170" t="e">
        <f t="shared" si="0"/>
        <v>#REF!</v>
      </c>
      <c r="R22" s="170" t="e">
        <f t="shared" si="1"/>
        <v>#REF!</v>
      </c>
      <c r="S22" s="170" t="e">
        <f t="shared" si="2"/>
        <v>#REF!</v>
      </c>
      <c r="U22" s="171">
        <v>0.25345000000000001</v>
      </c>
      <c r="V22" s="170" t="e">
        <f t="shared" si="3"/>
        <v>#REF!</v>
      </c>
      <c r="X22" s="164">
        <v>1400</v>
      </c>
      <c r="Y22" s="164">
        <v>752</v>
      </c>
      <c r="Z22" s="177">
        <v>384.75</v>
      </c>
      <c r="AA22" s="178"/>
      <c r="AB22" s="236">
        <f t="shared" si="5"/>
        <v>0</v>
      </c>
      <c r="AC22" s="187" t="e">
        <f t="shared" si="4"/>
        <v>#REF!</v>
      </c>
      <c r="AE22" s="187" t="e">
        <f t="shared" ref="AE22:AE40" si="13">+AC22</f>
        <v>#REF!</v>
      </c>
      <c r="AG22" s="164">
        <v>16.1264</v>
      </c>
      <c r="AI22" s="187" t="e">
        <f t="shared" ref="AI22:AI40" si="14">+$AG22*AE22/1000</f>
        <v>#REF!</v>
      </c>
      <c r="AK22" s="189" t="e">
        <f t="shared" ref="AK22:AK40" si="15">+AI22*0.96</f>
        <v>#REF!</v>
      </c>
    </row>
    <row r="23" spans="1:37" ht="20.100000000000001" customHeight="1">
      <c r="A23" s="164">
        <v>27</v>
      </c>
      <c r="B23" s="164">
        <v>2019154</v>
      </c>
      <c r="C23" s="164" t="s">
        <v>916</v>
      </c>
      <c r="D23" s="166">
        <v>250</v>
      </c>
      <c r="E23" s="166" t="s">
        <v>513</v>
      </c>
      <c r="F23" s="164" t="s">
        <v>934</v>
      </c>
      <c r="G23" s="166" t="s">
        <v>6</v>
      </c>
      <c r="I23" s="177">
        <v>145.28054999999998</v>
      </c>
      <c r="J23" s="168" t="s">
        <v>7</v>
      </c>
      <c r="K23" s="221" t="e">
        <f>+'PF Adds'!#REF!</f>
        <v>#REF!</v>
      </c>
      <c r="L23" s="221" t="e">
        <f>+'PF Adds'!#REF!</f>
        <v>#REF!</v>
      </c>
      <c r="M23" s="166">
        <v>355.3</v>
      </c>
      <c r="N23" s="166">
        <v>20</v>
      </c>
      <c r="O23" s="166">
        <v>25</v>
      </c>
      <c r="Q23" s="170" t="e">
        <f t="shared" si="0"/>
        <v>#REF!</v>
      </c>
      <c r="R23" s="170" t="e">
        <f t="shared" si="1"/>
        <v>#REF!</v>
      </c>
      <c r="S23" s="170" t="e">
        <f t="shared" si="2"/>
        <v>#REF!</v>
      </c>
      <c r="U23" s="171">
        <v>0.25345000000000001</v>
      </c>
      <c r="V23" s="170" t="e">
        <f t="shared" si="3"/>
        <v>#REF!</v>
      </c>
      <c r="X23" s="164">
        <v>1325</v>
      </c>
      <c r="Y23" s="164">
        <v>1346</v>
      </c>
      <c r="Z23" s="177">
        <v>529.5</v>
      </c>
      <c r="AA23" s="178"/>
      <c r="AB23" s="236">
        <f t="shared" si="5"/>
        <v>0</v>
      </c>
      <c r="AC23" s="187" t="e">
        <f t="shared" si="4"/>
        <v>#REF!</v>
      </c>
      <c r="AE23" s="187" t="e">
        <f t="shared" si="13"/>
        <v>#REF!</v>
      </c>
      <c r="AG23" s="164">
        <v>15.7219</v>
      </c>
      <c r="AI23" s="187" t="e">
        <f t="shared" si="14"/>
        <v>#REF!</v>
      </c>
      <c r="AK23" s="189" t="e">
        <f t="shared" si="15"/>
        <v>#REF!</v>
      </c>
    </row>
    <row r="24" spans="1:37" ht="20.100000000000001" customHeight="1">
      <c r="A24" s="164">
        <v>44</v>
      </c>
      <c r="B24" s="164">
        <v>1</v>
      </c>
      <c r="C24" s="164" t="s">
        <v>937</v>
      </c>
      <c r="D24" s="166">
        <v>250</v>
      </c>
      <c r="E24" s="166" t="s">
        <v>513</v>
      </c>
      <c r="F24" s="164" t="s">
        <v>934</v>
      </c>
      <c r="G24" s="166" t="s">
        <v>925</v>
      </c>
      <c r="H24" s="166" t="s">
        <v>6</v>
      </c>
      <c r="I24" s="164">
        <v>56</v>
      </c>
      <c r="J24" s="168" t="s">
        <v>7</v>
      </c>
      <c r="K24" s="221" t="e">
        <f>+'PF Adds'!#REF!</f>
        <v>#REF!</v>
      </c>
      <c r="L24" s="221" t="e">
        <f>+'PF Adds'!#REF!</f>
        <v>#REF!</v>
      </c>
      <c r="M24" s="166">
        <v>360.2</v>
      </c>
      <c r="N24" s="166">
        <v>30</v>
      </c>
      <c r="O24" s="166">
        <v>25</v>
      </c>
      <c r="Q24" s="170" t="e">
        <f t="shared" si="0"/>
        <v>#REF!</v>
      </c>
      <c r="R24" s="170" t="e">
        <f t="shared" si="1"/>
        <v>#REF!</v>
      </c>
      <c r="S24" s="170" t="e">
        <f t="shared" si="2"/>
        <v>#REF!</v>
      </c>
      <c r="U24" s="171">
        <v>0.25345000000000001</v>
      </c>
      <c r="V24" s="170" t="e">
        <f t="shared" si="3"/>
        <v>#REF!</v>
      </c>
      <c r="X24" s="164">
        <v>1345</v>
      </c>
      <c r="Y24" s="164">
        <v>762</v>
      </c>
      <c r="Z24" s="177">
        <v>273</v>
      </c>
      <c r="AA24" s="176" t="e">
        <f>K24*Z24/Y24</f>
        <v>#REF!</v>
      </c>
      <c r="AB24" s="236" t="e">
        <f t="shared" si="5"/>
        <v>#REF!</v>
      </c>
      <c r="AC24" s="187" t="e">
        <f t="shared" si="4"/>
        <v>#REF!</v>
      </c>
      <c r="AE24" s="187" t="e">
        <f t="shared" si="13"/>
        <v>#REF!</v>
      </c>
      <c r="AG24" s="164">
        <v>15.7219</v>
      </c>
      <c r="AI24" s="187" t="e">
        <f t="shared" si="14"/>
        <v>#REF!</v>
      </c>
      <c r="AK24" s="189" t="e">
        <f t="shared" si="15"/>
        <v>#REF!</v>
      </c>
    </row>
    <row r="25" spans="1:37" ht="20.100000000000001" customHeight="1">
      <c r="A25" s="164">
        <v>5</v>
      </c>
      <c r="B25" s="164">
        <v>2019145</v>
      </c>
      <c r="C25" s="164" t="s">
        <v>944</v>
      </c>
      <c r="D25" s="166">
        <v>250</v>
      </c>
      <c r="E25" s="166" t="s">
        <v>513</v>
      </c>
      <c r="F25" s="164" t="s">
        <v>934</v>
      </c>
      <c r="G25" s="166" t="s">
        <v>925</v>
      </c>
      <c r="H25" s="166" t="s">
        <v>6</v>
      </c>
      <c r="I25" s="164">
        <v>1766.115</v>
      </c>
      <c r="J25" s="168" t="s">
        <v>7</v>
      </c>
      <c r="K25" s="221" t="e">
        <f>+'PF Adds'!#REF!</f>
        <v>#REF!</v>
      </c>
      <c r="L25" s="221" t="e">
        <f>+'PF Adds'!#REF!</f>
        <v>#REF!</v>
      </c>
      <c r="M25" s="166">
        <v>360.2</v>
      </c>
      <c r="N25" s="166">
        <v>30</v>
      </c>
      <c r="O25" s="166">
        <v>25</v>
      </c>
      <c r="Q25" s="170" t="e">
        <f t="shared" si="0"/>
        <v>#REF!</v>
      </c>
      <c r="R25" s="170" t="e">
        <f>ROUND(K25/N25,2)</f>
        <v>#REF!</v>
      </c>
      <c r="S25" s="170" t="e">
        <f>ROUND(K25/O25,2)</f>
        <v>#REF!</v>
      </c>
      <c r="U25" s="171">
        <v>0.25345000000000001</v>
      </c>
      <c r="V25" s="170" t="e">
        <f t="shared" si="3"/>
        <v>#REF!</v>
      </c>
      <c r="X25" s="164">
        <v>1345</v>
      </c>
      <c r="Y25" s="164">
        <v>762</v>
      </c>
      <c r="Z25" s="177">
        <v>273</v>
      </c>
      <c r="AA25" s="176" t="e">
        <f>K25*Z25/Y25</f>
        <v>#REF!</v>
      </c>
      <c r="AB25" s="236" t="e">
        <f t="shared" si="5"/>
        <v>#REF!</v>
      </c>
      <c r="AC25" s="187" t="e">
        <f t="shared" si="4"/>
        <v>#REF!</v>
      </c>
      <c r="AE25" s="187" t="e">
        <f t="shared" si="13"/>
        <v>#REF!</v>
      </c>
      <c r="AG25" s="164">
        <v>15.7219</v>
      </c>
      <c r="AI25" s="187" t="e">
        <f t="shared" si="14"/>
        <v>#REF!</v>
      </c>
      <c r="AK25" s="189" t="e">
        <f t="shared" si="15"/>
        <v>#REF!</v>
      </c>
    </row>
    <row r="26" spans="1:37" ht="20.100000000000001" customHeight="1">
      <c r="A26" s="164">
        <v>11</v>
      </c>
      <c r="B26" s="164">
        <v>2019087</v>
      </c>
      <c r="C26" s="164" t="s">
        <v>927</v>
      </c>
      <c r="D26" s="166">
        <v>241</v>
      </c>
      <c r="E26" s="166" t="s">
        <v>513</v>
      </c>
      <c r="F26" s="164" t="s">
        <v>926</v>
      </c>
      <c r="G26" s="166" t="s">
        <v>925</v>
      </c>
      <c r="H26" s="166" t="s">
        <v>925</v>
      </c>
      <c r="I26" s="164">
        <v>531.26655000000005</v>
      </c>
      <c r="J26" s="168" t="s">
        <v>7</v>
      </c>
      <c r="K26" s="221">
        <f>+'PF Adds'!G42</f>
        <v>194500</v>
      </c>
      <c r="L26" s="221" t="e">
        <f>+'PF Adds'!#REF!</f>
        <v>#REF!</v>
      </c>
      <c r="M26" s="166">
        <v>360.2</v>
      </c>
      <c r="N26" s="166">
        <v>30</v>
      </c>
      <c r="O26" s="166">
        <v>25</v>
      </c>
      <c r="Q26" s="170" t="e">
        <f t="shared" si="0"/>
        <v>#REF!</v>
      </c>
      <c r="R26" s="170" t="e">
        <f>ROUND(L26/N26,2)</f>
        <v>#REF!</v>
      </c>
      <c r="S26" s="170" t="e">
        <f>ROUND(L26/O26,2)</f>
        <v>#REF!</v>
      </c>
      <c r="U26" s="171">
        <v>0.25345000000000001</v>
      </c>
      <c r="V26" s="170" t="e">
        <f t="shared" si="3"/>
        <v>#REF!</v>
      </c>
      <c r="X26" s="164">
        <v>1345</v>
      </c>
      <c r="Y26" s="164">
        <v>762</v>
      </c>
      <c r="Z26" s="177">
        <v>273</v>
      </c>
      <c r="AA26" s="176">
        <f>K26*Z26/Y26</f>
        <v>69683.07086614173</v>
      </c>
      <c r="AB26" s="236">
        <f t="shared" si="5"/>
        <v>69683.07086614173</v>
      </c>
      <c r="AC26" s="187" t="e">
        <f t="shared" si="4"/>
        <v>#REF!</v>
      </c>
      <c r="AE26" s="187" t="e">
        <f t="shared" si="13"/>
        <v>#REF!</v>
      </c>
      <c r="AG26" s="164">
        <v>15.7219</v>
      </c>
      <c r="AI26" s="187" t="e">
        <f t="shared" si="14"/>
        <v>#REF!</v>
      </c>
      <c r="AK26" s="189" t="e">
        <f t="shared" si="15"/>
        <v>#REF!</v>
      </c>
    </row>
    <row r="27" spans="1:37" ht="20.100000000000001" customHeight="1">
      <c r="A27" s="164">
        <v>8</v>
      </c>
      <c r="B27" s="164">
        <v>2019173</v>
      </c>
      <c r="C27" s="164" t="s">
        <v>943</v>
      </c>
      <c r="D27" s="166">
        <v>241</v>
      </c>
      <c r="E27" s="166" t="s">
        <v>513</v>
      </c>
      <c r="F27" s="164" t="s">
        <v>926</v>
      </c>
      <c r="G27" s="166" t="s">
        <v>925</v>
      </c>
      <c r="H27" s="166" t="s">
        <v>925</v>
      </c>
      <c r="I27" s="164">
        <v>828.92200000000003</v>
      </c>
      <c r="J27" s="168" t="s">
        <v>7</v>
      </c>
      <c r="K27" s="221" t="e">
        <f>+'PF Adds'!#REF!</f>
        <v>#REF!</v>
      </c>
      <c r="L27" s="221" t="e">
        <f>+'PF Adds'!#REF!</f>
        <v>#REF!</v>
      </c>
      <c r="M27" s="166">
        <v>360.2</v>
      </c>
      <c r="N27" s="166">
        <v>30</v>
      </c>
      <c r="O27" s="166">
        <v>25</v>
      </c>
      <c r="Q27" s="170" t="e">
        <f t="shared" si="0"/>
        <v>#REF!</v>
      </c>
      <c r="R27" s="170" t="e">
        <f>ROUND(K27/N27,2)</f>
        <v>#REF!</v>
      </c>
      <c r="S27" s="170" t="e">
        <f>ROUND(K27/O27,2)</f>
        <v>#REF!</v>
      </c>
      <c r="U27" s="171">
        <v>0.25345000000000001</v>
      </c>
      <c r="V27" s="170" t="e">
        <f t="shared" si="3"/>
        <v>#REF!</v>
      </c>
      <c r="X27" s="164">
        <v>1345</v>
      </c>
      <c r="Y27" s="164">
        <v>762</v>
      </c>
      <c r="Z27" s="177">
        <v>273</v>
      </c>
      <c r="AA27" s="176" t="e">
        <f>K27*Z27/Y27</f>
        <v>#REF!</v>
      </c>
      <c r="AB27" s="236" t="e">
        <f t="shared" si="5"/>
        <v>#REF!</v>
      </c>
      <c r="AC27" s="187" t="e">
        <f t="shared" si="4"/>
        <v>#REF!</v>
      </c>
      <c r="AE27" s="187" t="e">
        <f t="shared" si="13"/>
        <v>#REF!</v>
      </c>
      <c r="AG27" s="164">
        <v>15.7219</v>
      </c>
      <c r="AI27" s="187" t="e">
        <f t="shared" si="14"/>
        <v>#REF!</v>
      </c>
      <c r="AK27" s="189" t="e">
        <f t="shared" si="15"/>
        <v>#REF!</v>
      </c>
    </row>
    <row r="28" spans="1:37" ht="20.100000000000001" customHeight="1">
      <c r="A28" s="164">
        <v>7</v>
      </c>
      <c r="B28" s="164">
        <v>1</v>
      </c>
      <c r="C28" s="164" t="s">
        <v>992</v>
      </c>
      <c r="D28" s="166">
        <v>250</v>
      </c>
      <c r="E28" s="166" t="s">
        <v>513</v>
      </c>
      <c r="F28" s="164" t="s">
        <v>934</v>
      </c>
      <c r="G28" s="166" t="s">
        <v>6</v>
      </c>
      <c r="I28" s="164">
        <v>1000</v>
      </c>
      <c r="J28" s="168" t="s">
        <v>7</v>
      </c>
      <c r="K28" s="221" t="e">
        <f>+'PF Adds'!#REF!</f>
        <v>#REF!</v>
      </c>
      <c r="L28" s="221" t="e">
        <f>+'PF Adds'!#REF!</f>
        <v>#REF!</v>
      </c>
      <c r="M28" s="166">
        <v>361.2</v>
      </c>
      <c r="N28" s="166">
        <v>45</v>
      </c>
      <c r="O28" s="166">
        <v>25</v>
      </c>
      <c r="Q28" s="170" t="e">
        <f t="shared" si="0"/>
        <v>#REF!</v>
      </c>
      <c r="R28" s="170" t="e">
        <f>ROUND(L28/N28,2)</f>
        <v>#REF!</v>
      </c>
      <c r="S28" s="170" t="e">
        <f>ROUND(L28/O28,2)</f>
        <v>#REF!</v>
      </c>
      <c r="U28" s="171">
        <v>0.25345000000000001</v>
      </c>
      <c r="V28" s="170" t="e">
        <f t="shared" si="3"/>
        <v>#REF!</v>
      </c>
      <c r="X28" s="164">
        <v>1350</v>
      </c>
      <c r="Y28" s="164">
        <v>762</v>
      </c>
      <c r="Z28" s="177">
        <v>150</v>
      </c>
      <c r="AA28" s="178"/>
      <c r="AB28" s="236">
        <f t="shared" si="5"/>
        <v>0</v>
      </c>
      <c r="AC28" s="187" t="e">
        <f t="shared" si="4"/>
        <v>#REF!</v>
      </c>
      <c r="AE28" s="187" t="e">
        <f t="shared" si="13"/>
        <v>#REF!</v>
      </c>
      <c r="AG28" s="164">
        <v>15.7219</v>
      </c>
      <c r="AI28" s="187" t="e">
        <f t="shared" si="14"/>
        <v>#REF!</v>
      </c>
      <c r="AK28" s="189" t="e">
        <f t="shared" si="15"/>
        <v>#REF!</v>
      </c>
    </row>
    <row r="29" spans="1:37">
      <c r="AB29" s="236">
        <f t="shared" si="5"/>
        <v>0</v>
      </c>
    </row>
    <row r="30" spans="1:37" ht="20.100000000000001" customHeight="1">
      <c r="B30" s="164">
        <v>2019145</v>
      </c>
      <c r="C30" s="164" t="s">
        <v>944</v>
      </c>
      <c r="D30" s="166">
        <v>250</v>
      </c>
      <c r="E30" s="166" t="s">
        <v>513</v>
      </c>
      <c r="F30" s="164" t="s">
        <v>934</v>
      </c>
      <c r="G30" s="166" t="s">
        <v>925</v>
      </c>
      <c r="H30" s="166" t="s">
        <v>6</v>
      </c>
      <c r="J30" s="168" t="s">
        <v>7</v>
      </c>
      <c r="K30" s="221">
        <f>+'PF Adds'!G17</f>
        <v>2424782</v>
      </c>
      <c r="L30" s="221" t="e">
        <f>+'PF Adds'!#REF!</f>
        <v>#REF!</v>
      </c>
      <c r="M30" s="166">
        <v>361.2</v>
      </c>
      <c r="N30" s="166">
        <v>45</v>
      </c>
      <c r="O30" s="166">
        <v>25</v>
      </c>
      <c r="Q30" s="170">
        <f t="shared" si="0"/>
        <v>53884.04</v>
      </c>
      <c r="R30" s="170">
        <f>ROUND(K30/N30,2)</f>
        <v>53884.04</v>
      </c>
      <c r="S30" s="170">
        <f>ROUND(K30/O30,2)</f>
        <v>96991.28</v>
      </c>
      <c r="U30" s="171">
        <v>0.25345000000000001</v>
      </c>
      <c r="V30" s="170">
        <f t="shared" si="3"/>
        <v>43107.24</v>
      </c>
      <c r="X30" s="164">
        <v>1350</v>
      </c>
      <c r="Y30" s="164">
        <v>762</v>
      </c>
      <c r="Z30" s="177">
        <v>150</v>
      </c>
      <c r="AA30" s="176">
        <f t="shared" ref="AA30:AA41" si="16">K30*Z30/Y30</f>
        <v>477319.2913385827</v>
      </c>
      <c r="AB30" s="236">
        <f t="shared" si="5"/>
        <v>477319.2913385827</v>
      </c>
      <c r="AC30" s="187" t="e">
        <f t="shared" si="4"/>
        <v>#REF!</v>
      </c>
      <c r="AE30" s="187" t="e">
        <f t="shared" si="13"/>
        <v>#REF!</v>
      </c>
      <c r="AG30" s="164">
        <v>15.7219</v>
      </c>
      <c r="AI30" s="187" t="e">
        <f t="shared" si="14"/>
        <v>#REF!</v>
      </c>
      <c r="AK30" s="189" t="e">
        <f t="shared" si="15"/>
        <v>#REF!</v>
      </c>
    </row>
    <row r="31" spans="1:37" ht="20.100000000000001" customHeight="1">
      <c r="B31" s="164">
        <v>2019173</v>
      </c>
      <c r="C31" s="164" t="s">
        <v>943</v>
      </c>
      <c r="D31" s="166">
        <v>241</v>
      </c>
      <c r="E31" s="166" t="s">
        <v>513</v>
      </c>
      <c r="F31" s="164" t="s">
        <v>926</v>
      </c>
      <c r="G31" s="166" t="s">
        <v>925</v>
      </c>
      <c r="H31" s="166" t="s">
        <v>925</v>
      </c>
      <c r="J31" s="168" t="s">
        <v>7</v>
      </c>
      <c r="K31" s="221" t="e">
        <f>+'PF Adds'!#REF!</f>
        <v>#REF!</v>
      </c>
      <c r="L31" s="221" t="e">
        <f>+'PF Adds'!#REF!</f>
        <v>#REF!</v>
      </c>
      <c r="M31" s="166">
        <v>361.2</v>
      </c>
      <c r="N31" s="166">
        <v>45</v>
      </c>
      <c r="O31" s="166">
        <v>25</v>
      </c>
      <c r="Q31" s="170" t="e">
        <f t="shared" si="0"/>
        <v>#REF!</v>
      </c>
      <c r="R31" s="170" t="e">
        <f>ROUND(K31/N31,2)</f>
        <v>#REF!</v>
      </c>
      <c r="S31" s="170" t="e">
        <f>ROUND(K31/O31,2)</f>
        <v>#REF!</v>
      </c>
      <c r="U31" s="171">
        <v>0.25345000000000001</v>
      </c>
      <c r="V31" s="170" t="e">
        <f t="shared" si="3"/>
        <v>#REF!</v>
      </c>
      <c r="X31" s="164">
        <v>1350</v>
      </c>
      <c r="Y31" s="164">
        <v>762</v>
      </c>
      <c r="Z31" s="177">
        <v>150</v>
      </c>
      <c r="AA31" s="176" t="e">
        <f t="shared" si="16"/>
        <v>#REF!</v>
      </c>
      <c r="AB31" s="236" t="e">
        <f t="shared" si="5"/>
        <v>#REF!</v>
      </c>
      <c r="AC31" s="187" t="e">
        <f t="shared" si="4"/>
        <v>#REF!</v>
      </c>
      <c r="AE31" s="187" t="e">
        <f t="shared" si="13"/>
        <v>#REF!</v>
      </c>
      <c r="AG31" s="164">
        <v>15.7219</v>
      </c>
      <c r="AI31" s="187" t="e">
        <f t="shared" si="14"/>
        <v>#REF!</v>
      </c>
      <c r="AK31" s="189" t="e">
        <f t="shared" si="15"/>
        <v>#REF!</v>
      </c>
    </row>
    <row r="32" spans="1:37" ht="20.100000000000001" customHeight="1">
      <c r="A32" s="164">
        <v>11</v>
      </c>
      <c r="B32" s="164">
        <v>2019087</v>
      </c>
      <c r="C32" s="164" t="s">
        <v>927</v>
      </c>
      <c r="D32" s="166">
        <v>241</v>
      </c>
      <c r="E32" s="166" t="s">
        <v>513</v>
      </c>
      <c r="F32" s="164" t="s">
        <v>926</v>
      </c>
      <c r="G32" s="166" t="s">
        <v>925</v>
      </c>
      <c r="H32" s="166" t="s">
        <v>925</v>
      </c>
      <c r="J32" s="168" t="s">
        <v>7</v>
      </c>
      <c r="K32" s="221">
        <f>+'PF Adds'!G21</f>
        <v>444026</v>
      </c>
      <c r="L32" s="221" t="e">
        <f>+'PF Adds'!#REF!</f>
        <v>#REF!</v>
      </c>
      <c r="M32" s="166">
        <v>361.2</v>
      </c>
      <c r="N32" s="166">
        <v>45</v>
      </c>
      <c r="O32" s="166">
        <v>25</v>
      </c>
      <c r="Q32" s="170" t="e">
        <f t="shared" si="0"/>
        <v>#REF!</v>
      </c>
      <c r="R32" s="170" t="e">
        <f>ROUND(L32/N32,2)</f>
        <v>#REF!</v>
      </c>
      <c r="S32" s="170" t="e">
        <f>ROUND(L32/O32,2)</f>
        <v>#REF!</v>
      </c>
      <c r="U32" s="171">
        <v>0.25345000000000001</v>
      </c>
      <c r="V32" s="170" t="e">
        <f t="shared" si="3"/>
        <v>#REF!</v>
      </c>
      <c r="X32" s="164">
        <v>1350</v>
      </c>
      <c r="Y32" s="164">
        <v>762</v>
      </c>
      <c r="Z32" s="177">
        <v>150</v>
      </c>
      <c r="AA32" s="176">
        <f t="shared" si="16"/>
        <v>87406.692913385821</v>
      </c>
      <c r="AB32" s="236">
        <f t="shared" si="5"/>
        <v>87406.692913385821</v>
      </c>
      <c r="AC32" s="187" t="e">
        <f t="shared" si="4"/>
        <v>#REF!</v>
      </c>
      <c r="AE32" s="187" t="e">
        <f t="shared" si="13"/>
        <v>#REF!</v>
      </c>
      <c r="AG32" s="164">
        <v>15.7219</v>
      </c>
      <c r="AI32" s="187" t="e">
        <f t="shared" si="14"/>
        <v>#REF!</v>
      </c>
      <c r="AK32" s="189" t="e">
        <f t="shared" si="15"/>
        <v>#REF!</v>
      </c>
    </row>
    <row r="33" spans="1:37" ht="20.100000000000001" customHeight="1">
      <c r="B33" s="164">
        <v>2019145</v>
      </c>
      <c r="C33" s="164" t="s">
        <v>944</v>
      </c>
      <c r="D33" s="166">
        <v>250</v>
      </c>
      <c r="E33" s="166" t="s">
        <v>513</v>
      </c>
      <c r="F33" s="164" t="s">
        <v>934</v>
      </c>
      <c r="G33" s="166" t="s">
        <v>925</v>
      </c>
      <c r="H33" s="166" t="s">
        <v>6</v>
      </c>
      <c r="J33" s="168" t="s">
        <v>7</v>
      </c>
      <c r="K33" s="221">
        <f>+'PF Adds'!G19</f>
        <v>127907</v>
      </c>
      <c r="L33" s="221" t="e">
        <f>+'PF Adds'!#REF!</f>
        <v>#REF!</v>
      </c>
      <c r="M33" s="166">
        <v>370.3</v>
      </c>
      <c r="N33" s="166">
        <v>30</v>
      </c>
      <c r="O33" s="166">
        <v>25</v>
      </c>
      <c r="Q33" s="170">
        <f t="shared" si="0"/>
        <v>4263.57</v>
      </c>
      <c r="R33" s="170">
        <f>ROUND(K33/N33,2)</f>
        <v>4263.57</v>
      </c>
      <c r="S33" s="170">
        <f>ROUND(K33/O33,2)</f>
        <v>5116.28</v>
      </c>
      <c r="U33" s="171">
        <v>0.25345000000000001</v>
      </c>
      <c r="V33" s="170">
        <f t="shared" si="3"/>
        <v>852.71</v>
      </c>
      <c r="X33" s="164">
        <v>1375</v>
      </c>
      <c r="Y33" s="164">
        <v>599</v>
      </c>
      <c r="Z33" s="177">
        <v>234.75</v>
      </c>
      <c r="AA33" s="176">
        <f t="shared" si="16"/>
        <v>50127.159015025041</v>
      </c>
      <c r="AB33" s="236">
        <f t="shared" si="5"/>
        <v>50127.159015025041</v>
      </c>
      <c r="AC33" s="187" t="e">
        <f t="shared" si="4"/>
        <v>#REF!</v>
      </c>
      <c r="AE33" s="187" t="e">
        <f t="shared" si="13"/>
        <v>#REF!</v>
      </c>
      <c r="AG33" s="164">
        <v>15.7219</v>
      </c>
      <c r="AI33" s="187" t="e">
        <f t="shared" si="14"/>
        <v>#REF!</v>
      </c>
      <c r="AK33" s="189" t="e">
        <f t="shared" si="15"/>
        <v>#REF!</v>
      </c>
    </row>
    <row r="34" spans="1:37" ht="20.100000000000001" customHeight="1">
      <c r="B34" s="164">
        <v>2019173</v>
      </c>
      <c r="C34" s="164" t="s">
        <v>943</v>
      </c>
      <c r="D34" s="166">
        <v>241</v>
      </c>
      <c r="E34" s="166" t="s">
        <v>513</v>
      </c>
      <c r="F34" s="164" t="s">
        <v>926</v>
      </c>
      <c r="G34" s="166" t="s">
        <v>925</v>
      </c>
      <c r="H34" s="166" t="s">
        <v>925</v>
      </c>
      <c r="J34" s="168" t="s">
        <v>7</v>
      </c>
      <c r="K34" s="221" t="e">
        <f>+'PF Adds'!#REF!</f>
        <v>#REF!</v>
      </c>
      <c r="L34" s="221" t="e">
        <f>+'PF Adds'!#REF!</f>
        <v>#REF!</v>
      </c>
      <c r="M34" s="166">
        <v>370.3</v>
      </c>
      <c r="N34" s="166">
        <v>30</v>
      </c>
      <c r="O34" s="166">
        <v>25</v>
      </c>
      <c r="Q34" s="170" t="e">
        <f t="shared" si="0"/>
        <v>#REF!</v>
      </c>
      <c r="R34" s="170" t="e">
        <f>ROUND(K34/N34,2)</f>
        <v>#REF!</v>
      </c>
      <c r="S34" s="170" t="e">
        <f>ROUND(K34/O34,2)</f>
        <v>#REF!</v>
      </c>
      <c r="U34" s="171">
        <v>0.25345000000000001</v>
      </c>
      <c r="V34" s="170" t="e">
        <f t="shared" si="3"/>
        <v>#REF!</v>
      </c>
      <c r="X34" s="164">
        <v>1375</v>
      </c>
      <c r="Y34" s="164">
        <v>599</v>
      </c>
      <c r="Z34" s="177">
        <v>234.75</v>
      </c>
      <c r="AA34" s="176" t="e">
        <f t="shared" si="16"/>
        <v>#REF!</v>
      </c>
      <c r="AB34" s="236" t="e">
        <f t="shared" si="5"/>
        <v>#REF!</v>
      </c>
      <c r="AC34" s="187" t="e">
        <f t="shared" si="4"/>
        <v>#REF!</v>
      </c>
      <c r="AE34" s="187" t="e">
        <f t="shared" si="13"/>
        <v>#REF!</v>
      </c>
      <c r="AG34" s="164">
        <v>15.7219</v>
      </c>
      <c r="AI34" s="187" t="e">
        <f t="shared" si="14"/>
        <v>#REF!</v>
      </c>
      <c r="AK34" s="189" t="e">
        <f t="shared" si="15"/>
        <v>#REF!</v>
      </c>
    </row>
    <row r="35" spans="1:37" ht="20.100000000000001" customHeight="1">
      <c r="B35" s="164">
        <v>2019145</v>
      </c>
      <c r="C35" s="164" t="s">
        <v>944</v>
      </c>
      <c r="D35" s="166">
        <v>250</v>
      </c>
      <c r="E35" s="166" t="s">
        <v>513</v>
      </c>
      <c r="F35" s="164" t="s">
        <v>934</v>
      </c>
      <c r="G35" s="166" t="s">
        <v>925</v>
      </c>
      <c r="H35" s="166" t="s">
        <v>6</v>
      </c>
      <c r="J35" s="168" t="s">
        <v>7</v>
      </c>
      <c r="K35" s="221">
        <f>+'PF Adds'!G20</f>
        <v>2479877</v>
      </c>
      <c r="L35" s="221" t="e">
        <f>+'PF Adds'!#REF!</f>
        <v>#REF!</v>
      </c>
      <c r="M35" s="166">
        <v>371.3</v>
      </c>
      <c r="N35" s="166">
        <v>18</v>
      </c>
      <c r="O35" s="166">
        <v>25</v>
      </c>
      <c r="Q35" s="170">
        <f t="shared" si="0"/>
        <v>137770.94</v>
      </c>
      <c r="R35" s="170">
        <f>ROUND(K35/N35,2)</f>
        <v>137770.94</v>
      </c>
      <c r="S35" s="170">
        <f>ROUND(K35/O35,2)</f>
        <v>99195.08</v>
      </c>
      <c r="U35" s="171">
        <v>0.25345000000000001</v>
      </c>
      <c r="V35" s="170">
        <f t="shared" si="3"/>
        <v>-38575.86</v>
      </c>
      <c r="X35" s="164">
        <v>1380</v>
      </c>
      <c r="Y35" s="164">
        <v>1346</v>
      </c>
      <c r="Z35" s="177">
        <v>529</v>
      </c>
      <c r="AA35" s="176">
        <f t="shared" si="16"/>
        <v>974632.19390787522</v>
      </c>
      <c r="AB35" s="236">
        <f t="shared" si="5"/>
        <v>974632.19390787522</v>
      </c>
      <c r="AC35" s="187" t="e">
        <f t="shared" si="4"/>
        <v>#REF!</v>
      </c>
      <c r="AE35" s="187" t="e">
        <f t="shared" si="13"/>
        <v>#REF!</v>
      </c>
      <c r="AG35" s="164">
        <v>15.7219</v>
      </c>
      <c r="AI35" s="187" t="e">
        <f t="shared" si="14"/>
        <v>#REF!</v>
      </c>
      <c r="AK35" s="189" t="e">
        <f t="shared" si="15"/>
        <v>#REF!</v>
      </c>
    </row>
    <row r="36" spans="1:37" ht="18.75" customHeight="1">
      <c r="B36" s="164">
        <v>2019173</v>
      </c>
      <c r="C36" s="164" t="s">
        <v>943</v>
      </c>
      <c r="D36" s="166">
        <v>241</v>
      </c>
      <c r="E36" s="166" t="s">
        <v>513</v>
      </c>
      <c r="F36" s="164" t="s">
        <v>926</v>
      </c>
      <c r="G36" s="166" t="s">
        <v>925</v>
      </c>
      <c r="H36" s="166" t="s">
        <v>925</v>
      </c>
      <c r="J36" s="168" t="s">
        <v>7</v>
      </c>
      <c r="K36" s="221" t="e">
        <f>+'PF Adds'!#REF!</f>
        <v>#REF!</v>
      </c>
      <c r="L36" s="221" t="e">
        <f>+'PF Adds'!#REF!</f>
        <v>#REF!</v>
      </c>
      <c r="M36" s="166">
        <v>371.3</v>
      </c>
      <c r="N36" s="166">
        <v>18</v>
      </c>
      <c r="O36" s="166">
        <v>25</v>
      </c>
      <c r="Q36" s="170" t="e">
        <f t="shared" ref="Q36:Q65" si="17">+R36</f>
        <v>#REF!</v>
      </c>
      <c r="R36" s="170" t="e">
        <f>ROUND(K36/N36,2)</f>
        <v>#REF!</v>
      </c>
      <c r="S36" s="170" t="e">
        <f>ROUND(K36/O36,2)</f>
        <v>#REF!</v>
      </c>
      <c r="U36" s="171">
        <v>0.25345000000000001</v>
      </c>
      <c r="V36" s="170" t="e">
        <f t="shared" ref="V36:V65" si="18">+S36-R36</f>
        <v>#REF!</v>
      </c>
      <c r="X36" s="164">
        <v>1380</v>
      </c>
      <c r="Y36" s="164">
        <v>1346</v>
      </c>
      <c r="Z36" s="177">
        <v>529</v>
      </c>
      <c r="AA36" s="176" t="e">
        <f t="shared" si="16"/>
        <v>#REF!</v>
      </c>
      <c r="AB36" s="236" t="e">
        <f t="shared" si="5"/>
        <v>#REF!</v>
      </c>
      <c r="AC36" s="187" t="e">
        <f t="shared" ref="AC36:AC65" si="19">+L36-Q36-AA36+AB36</f>
        <v>#REF!</v>
      </c>
      <c r="AE36" s="187" t="e">
        <f t="shared" si="13"/>
        <v>#REF!</v>
      </c>
      <c r="AG36" s="164">
        <v>15.7219</v>
      </c>
      <c r="AI36" s="187" t="e">
        <f t="shared" si="14"/>
        <v>#REF!</v>
      </c>
      <c r="AK36" s="189" t="e">
        <f t="shared" si="15"/>
        <v>#REF!</v>
      </c>
    </row>
    <row r="37" spans="1:37" ht="20.100000000000001" customHeight="1">
      <c r="A37" s="164">
        <v>6</v>
      </c>
      <c r="B37" s="164">
        <v>2020080</v>
      </c>
      <c r="C37" s="164" t="s">
        <v>935</v>
      </c>
      <c r="D37" s="166">
        <v>250</v>
      </c>
      <c r="E37" s="166" t="s">
        <v>513</v>
      </c>
      <c r="F37" s="164" t="s">
        <v>934</v>
      </c>
      <c r="G37" s="166" t="s">
        <v>925</v>
      </c>
      <c r="H37" s="166" t="s">
        <v>6</v>
      </c>
      <c r="I37" s="164">
        <v>1145.5</v>
      </c>
      <c r="J37" s="168" t="s">
        <v>7</v>
      </c>
      <c r="K37" s="221" t="e">
        <f>+'PF Adds'!#REF!</f>
        <v>#REF!</v>
      </c>
      <c r="L37" s="221" t="e">
        <f>+'PF Adds'!#REF!</f>
        <v>#REF!</v>
      </c>
      <c r="M37" s="166">
        <v>380.4</v>
      </c>
      <c r="N37" s="166">
        <v>18</v>
      </c>
      <c r="O37" s="166">
        <v>25</v>
      </c>
      <c r="Q37" s="170" t="e">
        <f t="shared" si="17"/>
        <v>#REF!</v>
      </c>
      <c r="R37" s="170" t="e">
        <f>ROUND(L37/N37,2)</f>
        <v>#REF!</v>
      </c>
      <c r="S37" s="170" t="e">
        <f>ROUND(L37/O37,2)</f>
        <v>#REF!</v>
      </c>
      <c r="U37" s="171">
        <v>0.25345000000000001</v>
      </c>
      <c r="V37" s="170" t="e">
        <f t="shared" si="18"/>
        <v>#REF!</v>
      </c>
      <c r="X37" s="164">
        <v>1400</v>
      </c>
      <c r="Y37" s="164">
        <v>752</v>
      </c>
      <c r="Z37" s="177">
        <v>384.75</v>
      </c>
      <c r="AA37" s="176" t="e">
        <f t="shared" si="16"/>
        <v>#REF!</v>
      </c>
      <c r="AB37" s="236" t="e">
        <f t="shared" si="5"/>
        <v>#REF!</v>
      </c>
      <c r="AC37" s="187" t="e">
        <f t="shared" si="19"/>
        <v>#REF!</v>
      </c>
      <c r="AE37" s="187" t="e">
        <f t="shared" si="13"/>
        <v>#REF!</v>
      </c>
      <c r="AG37" s="164">
        <v>15.7219</v>
      </c>
      <c r="AI37" s="187" t="e">
        <f t="shared" si="14"/>
        <v>#REF!</v>
      </c>
      <c r="AK37" s="189" t="e">
        <f t="shared" si="15"/>
        <v>#REF!</v>
      </c>
    </row>
    <row r="38" spans="1:37" ht="20.100000000000001" customHeight="1">
      <c r="B38" s="164">
        <v>2019173</v>
      </c>
      <c r="C38" s="164" t="s">
        <v>943</v>
      </c>
      <c r="D38" s="166">
        <v>241</v>
      </c>
      <c r="E38" s="166" t="s">
        <v>513</v>
      </c>
      <c r="F38" s="164" t="s">
        <v>926</v>
      </c>
      <c r="G38" s="166" t="s">
        <v>925</v>
      </c>
      <c r="H38" s="166" t="s">
        <v>925</v>
      </c>
      <c r="J38" s="168" t="s">
        <v>7</v>
      </c>
      <c r="K38" s="221" t="e">
        <f>+'PF Adds'!#REF!</f>
        <v>#REF!</v>
      </c>
      <c r="L38" s="221" t="e">
        <f>+'PF Adds'!#REF!</f>
        <v>#REF!</v>
      </c>
      <c r="M38" s="166" t="s">
        <v>972</v>
      </c>
      <c r="N38" s="166">
        <v>30</v>
      </c>
      <c r="O38" s="166">
        <v>25</v>
      </c>
      <c r="Q38" s="170" t="e">
        <f t="shared" si="17"/>
        <v>#REF!</v>
      </c>
      <c r="R38" s="170" t="e">
        <f>ROUND(K38/N38,2)</f>
        <v>#REF!</v>
      </c>
      <c r="S38" s="170" t="e">
        <f>ROUND(K38/O38,2)</f>
        <v>#REF!</v>
      </c>
      <c r="U38" s="171">
        <v>0.25345000000000001</v>
      </c>
      <c r="V38" s="170" t="e">
        <f t="shared" si="18"/>
        <v>#REF!</v>
      </c>
      <c r="X38" s="164">
        <v>1353</v>
      </c>
      <c r="Y38" s="164">
        <v>873</v>
      </c>
      <c r="Z38" s="177">
        <v>279.5</v>
      </c>
      <c r="AA38" s="176" t="e">
        <f t="shared" si="16"/>
        <v>#REF!</v>
      </c>
      <c r="AB38" s="236" t="e">
        <f t="shared" si="5"/>
        <v>#REF!</v>
      </c>
      <c r="AC38" s="187" t="e">
        <f t="shared" si="19"/>
        <v>#REF!</v>
      </c>
      <c r="AE38" s="187" t="e">
        <f t="shared" si="13"/>
        <v>#REF!</v>
      </c>
      <c r="AG38" s="164">
        <v>15.7219</v>
      </c>
      <c r="AI38" s="187" t="e">
        <f t="shared" si="14"/>
        <v>#REF!</v>
      </c>
      <c r="AK38" s="189" t="e">
        <f t="shared" si="15"/>
        <v>#REF!</v>
      </c>
    </row>
    <row r="39" spans="1:37" ht="20.100000000000001" customHeight="1">
      <c r="B39" s="164">
        <v>2019145</v>
      </c>
      <c r="C39" s="164" t="s">
        <v>944</v>
      </c>
      <c r="D39" s="166">
        <v>250</v>
      </c>
      <c r="E39" s="166" t="s">
        <v>513</v>
      </c>
      <c r="F39" s="164" t="s">
        <v>934</v>
      </c>
      <c r="G39" s="166" t="s">
        <v>925</v>
      </c>
      <c r="H39" s="166" t="s">
        <v>6</v>
      </c>
      <c r="J39" s="168" t="s">
        <v>7</v>
      </c>
      <c r="K39" s="221">
        <f>+'PF Adds'!G18</f>
        <v>55750</v>
      </c>
      <c r="L39" s="221" t="e">
        <f>+'PF Adds'!#REF!</f>
        <v>#REF!</v>
      </c>
      <c r="M39" s="166" t="s">
        <v>972</v>
      </c>
      <c r="N39" s="166">
        <v>30</v>
      </c>
      <c r="O39" s="166">
        <v>25</v>
      </c>
      <c r="Q39" s="170">
        <f t="shared" si="17"/>
        <v>1858.33</v>
      </c>
      <c r="R39" s="170">
        <f>ROUND(K39/N39,2)</f>
        <v>1858.33</v>
      </c>
      <c r="S39" s="170">
        <f>ROUND(K39/O39,2)</f>
        <v>2230</v>
      </c>
      <c r="U39" s="171">
        <v>0.25345000000000001</v>
      </c>
      <c r="V39" s="170">
        <f t="shared" si="18"/>
        <v>371.67000000000007</v>
      </c>
      <c r="X39" s="164">
        <v>1353</v>
      </c>
      <c r="Y39" s="164">
        <v>873</v>
      </c>
      <c r="Z39" s="177">
        <v>279.5</v>
      </c>
      <c r="AA39" s="176">
        <f t="shared" si="16"/>
        <v>17848.940435280641</v>
      </c>
      <c r="AB39" s="236">
        <f t="shared" si="5"/>
        <v>17848.940435280641</v>
      </c>
      <c r="AC39" s="187" t="e">
        <f t="shared" si="19"/>
        <v>#REF!</v>
      </c>
      <c r="AE39" s="187" t="e">
        <f t="shared" si="13"/>
        <v>#REF!</v>
      </c>
      <c r="AG39" s="164">
        <v>15.7219</v>
      </c>
      <c r="AI39" s="187" t="e">
        <f t="shared" si="14"/>
        <v>#REF!</v>
      </c>
      <c r="AK39" s="189" t="e">
        <f t="shared" si="15"/>
        <v>#REF!</v>
      </c>
    </row>
    <row r="40" spans="1:37" ht="20.100000000000001" customHeight="1">
      <c r="A40" s="164">
        <v>11</v>
      </c>
      <c r="B40" s="164">
        <v>2019087</v>
      </c>
      <c r="C40" s="164" t="s">
        <v>927</v>
      </c>
      <c r="D40" s="166">
        <v>241</v>
      </c>
      <c r="E40" s="166" t="s">
        <v>513</v>
      </c>
      <c r="F40" s="164" t="s">
        <v>926</v>
      </c>
      <c r="G40" s="166" t="s">
        <v>925</v>
      </c>
      <c r="H40" s="166" t="s">
        <v>925</v>
      </c>
      <c r="J40" s="168" t="s">
        <v>7</v>
      </c>
      <c r="K40" s="221" t="e">
        <f>+'PF Adds'!#REF!</f>
        <v>#REF!</v>
      </c>
      <c r="L40" s="221" t="e">
        <f>+'PF Adds'!#REF!</f>
        <v>#REF!</v>
      </c>
      <c r="M40" s="166" t="s">
        <v>972</v>
      </c>
      <c r="N40" s="166">
        <v>30</v>
      </c>
      <c r="O40" s="166">
        <v>25</v>
      </c>
      <c r="Q40" s="170" t="e">
        <f t="shared" si="17"/>
        <v>#REF!</v>
      </c>
      <c r="R40" s="170" t="e">
        <f t="shared" ref="R40:R48" si="20">ROUND(L40/N40,2)</f>
        <v>#REF!</v>
      </c>
      <c r="S40" s="170" t="e">
        <f t="shared" ref="S40:S48" si="21">ROUND(L40/O40,2)</f>
        <v>#REF!</v>
      </c>
      <c r="U40" s="171">
        <v>0.25345000000000001</v>
      </c>
      <c r="V40" s="170" t="e">
        <f t="shared" si="18"/>
        <v>#REF!</v>
      </c>
      <c r="X40" s="164">
        <v>1353</v>
      </c>
      <c r="Y40" s="164">
        <v>873</v>
      </c>
      <c r="Z40" s="177">
        <v>279.5</v>
      </c>
      <c r="AA40" s="176" t="e">
        <f t="shared" si="16"/>
        <v>#REF!</v>
      </c>
      <c r="AB40" s="236" t="e">
        <f t="shared" si="5"/>
        <v>#REF!</v>
      </c>
      <c r="AC40" s="187" t="e">
        <f t="shared" si="19"/>
        <v>#REF!</v>
      </c>
      <c r="AE40" s="187" t="e">
        <f t="shared" si="13"/>
        <v>#REF!</v>
      </c>
      <c r="AG40" s="164">
        <v>15.7219</v>
      </c>
      <c r="AI40" s="187" t="e">
        <f t="shared" si="14"/>
        <v>#REF!</v>
      </c>
      <c r="AK40" s="189" t="e">
        <f t="shared" si="15"/>
        <v>#REF!</v>
      </c>
    </row>
    <row r="41" spans="1:37" ht="20.100000000000001" customHeight="1">
      <c r="A41" s="164">
        <v>21</v>
      </c>
      <c r="B41" s="164">
        <v>1</v>
      </c>
      <c r="C41" s="164" t="s">
        <v>956</v>
      </c>
      <c r="D41" s="166">
        <v>255</v>
      </c>
      <c r="E41" s="166" t="s">
        <v>514</v>
      </c>
      <c r="F41" s="164" t="s">
        <v>580</v>
      </c>
      <c r="G41" s="166" t="s">
        <v>925</v>
      </c>
      <c r="H41" s="166" t="s">
        <v>6</v>
      </c>
      <c r="I41" s="164">
        <v>175</v>
      </c>
      <c r="J41" s="168" t="s">
        <v>251</v>
      </c>
      <c r="K41" s="221" t="e">
        <f>+'PF Adds'!#REF!</f>
        <v>#REF!</v>
      </c>
      <c r="L41" s="221" t="e">
        <f>+'PF Adds'!#REF!</f>
        <v>#REF!</v>
      </c>
      <c r="M41" s="166">
        <v>307.2</v>
      </c>
      <c r="N41" s="166">
        <v>30</v>
      </c>
      <c r="O41" s="166">
        <v>25</v>
      </c>
      <c r="Q41" s="170" t="e">
        <f t="shared" si="17"/>
        <v>#REF!</v>
      </c>
      <c r="R41" s="170" t="e">
        <f t="shared" si="20"/>
        <v>#REF!</v>
      </c>
      <c r="S41" s="170" t="e">
        <f t="shared" si="21"/>
        <v>#REF!</v>
      </c>
      <c r="U41" s="171">
        <v>0.25345000000000001</v>
      </c>
      <c r="V41" s="170" t="e">
        <f t="shared" si="18"/>
        <v>#REF!</v>
      </c>
      <c r="X41" s="164">
        <v>1080</v>
      </c>
      <c r="Y41" s="164">
        <v>486</v>
      </c>
      <c r="Z41" s="177">
        <v>238.5</v>
      </c>
      <c r="AA41" s="176" t="e">
        <f t="shared" si="16"/>
        <v>#REF!</v>
      </c>
      <c r="AB41" s="236" t="e">
        <f t="shared" si="5"/>
        <v>#REF!</v>
      </c>
      <c r="AC41" s="187" t="e">
        <f t="shared" si="19"/>
        <v>#REF!</v>
      </c>
      <c r="AD41" s="192" t="e">
        <f t="shared" ref="AD41:AD49" si="22">+AC41</f>
        <v>#REF!</v>
      </c>
      <c r="AG41" s="164">
        <v>16.749500000000001</v>
      </c>
      <c r="AH41" s="187" t="e">
        <f t="shared" ref="AH41:AH49" si="23">+$AG41*AD41/1000</f>
        <v>#REF!</v>
      </c>
      <c r="AJ41" s="189" t="e">
        <f t="shared" ref="AJ41:AJ49" si="24">+AH41*0.96</f>
        <v>#REF!</v>
      </c>
    </row>
    <row r="42" spans="1:37" ht="20.100000000000001" customHeight="1">
      <c r="A42" s="164">
        <v>32</v>
      </c>
      <c r="B42" s="164">
        <v>2019110</v>
      </c>
      <c r="C42" s="164" t="s">
        <v>1006</v>
      </c>
      <c r="D42" s="166">
        <v>252</v>
      </c>
      <c r="E42" s="166" t="s">
        <v>514</v>
      </c>
      <c r="F42" s="164" t="s">
        <v>1005</v>
      </c>
      <c r="G42" s="166" t="s">
        <v>6</v>
      </c>
      <c r="I42" s="164">
        <v>100</v>
      </c>
      <c r="J42" s="168" t="s">
        <v>251</v>
      </c>
      <c r="K42" s="221" t="e">
        <f>+'PF Adds'!#REF!</f>
        <v>#REF!</v>
      </c>
      <c r="L42" s="221" t="e">
        <f>+'PF Adds'!#REF!</f>
        <v>#REF!</v>
      </c>
      <c r="M42" s="166">
        <v>310.2</v>
      </c>
      <c r="N42" s="166">
        <v>20</v>
      </c>
      <c r="O42" s="166">
        <v>25</v>
      </c>
      <c r="Q42" s="170" t="e">
        <f t="shared" si="17"/>
        <v>#REF!</v>
      </c>
      <c r="R42" s="170" t="e">
        <f t="shared" si="20"/>
        <v>#REF!</v>
      </c>
      <c r="S42" s="170" t="e">
        <f t="shared" si="21"/>
        <v>#REF!</v>
      </c>
      <c r="U42" s="171">
        <v>0.25345000000000001</v>
      </c>
      <c r="V42" s="170" t="e">
        <f t="shared" si="18"/>
        <v>#REF!</v>
      </c>
      <c r="X42" s="164">
        <v>1095</v>
      </c>
      <c r="Y42" s="164">
        <v>1346</v>
      </c>
      <c r="Z42" s="177">
        <v>529.5</v>
      </c>
      <c r="AA42" s="178"/>
      <c r="AB42" s="236">
        <f t="shared" si="5"/>
        <v>0</v>
      </c>
      <c r="AC42" s="187" t="e">
        <f t="shared" si="19"/>
        <v>#REF!</v>
      </c>
      <c r="AD42" s="192" t="e">
        <f t="shared" si="22"/>
        <v>#REF!</v>
      </c>
      <c r="AG42" s="164">
        <v>16.749500000000001</v>
      </c>
      <c r="AH42" s="187" t="e">
        <f t="shared" si="23"/>
        <v>#REF!</v>
      </c>
      <c r="AJ42" s="189" t="e">
        <f t="shared" si="24"/>
        <v>#REF!</v>
      </c>
    </row>
    <row r="43" spans="1:37" ht="20.100000000000001" customHeight="1">
      <c r="A43" s="164">
        <v>33</v>
      </c>
      <c r="B43" s="164">
        <v>2019111</v>
      </c>
      <c r="C43" s="164" t="s">
        <v>1004</v>
      </c>
      <c r="D43" s="166">
        <v>252</v>
      </c>
      <c r="E43" s="166" t="s">
        <v>514</v>
      </c>
      <c r="F43" s="164" t="s">
        <v>1003</v>
      </c>
      <c r="G43" s="166" t="s">
        <v>6</v>
      </c>
      <c r="I43" s="164">
        <v>100</v>
      </c>
      <c r="J43" s="168" t="s">
        <v>251</v>
      </c>
      <c r="K43" s="221" t="e">
        <f>+'PF Adds'!#REF!</f>
        <v>#REF!</v>
      </c>
      <c r="L43" s="221" t="e">
        <f>+'PF Adds'!#REF!</f>
        <v>#REF!</v>
      </c>
      <c r="M43" s="166">
        <v>310.2</v>
      </c>
      <c r="N43" s="166">
        <v>20</v>
      </c>
      <c r="O43" s="166">
        <v>25</v>
      </c>
      <c r="Q43" s="170" t="e">
        <f t="shared" si="17"/>
        <v>#REF!</v>
      </c>
      <c r="R43" s="170" t="e">
        <f t="shared" si="20"/>
        <v>#REF!</v>
      </c>
      <c r="S43" s="170" t="e">
        <f t="shared" si="21"/>
        <v>#REF!</v>
      </c>
      <c r="U43" s="171">
        <v>0.25345000000000001</v>
      </c>
      <c r="V43" s="170" t="e">
        <f t="shared" si="18"/>
        <v>#REF!</v>
      </c>
      <c r="X43" s="164">
        <v>1095</v>
      </c>
      <c r="Y43" s="164">
        <v>1346</v>
      </c>
      <c r="Z43" s="177">
        <v>529.5</v>
      </c>
      <c r="AA43" s="178"/>
      <c r="AB43" s="236">
        <f t="shared" si="5"/>
        <v>0</v>
      </c>
      <c r="AC43" s="187" t="e">
        <f t="shared" si="19"/>
        <v>#REF!</v>
      </c>
      <c r="AD43" s="192" t="e">
        <f t="shared" si="22"/>
        <v>#REF!</v>
      </c>
      <c r="AG43" s="164">
        <v>16.749500000000001</v>
      </c>
      <c r="AH43" s="187" t="e">
        <f t="shared" si="23"/>
        <v>#REF!</v>
      </c>
      <c r="AJ43" s="189" t="e">
        <f t="shared" si="24"/>
        <v>#REF!</v>
      </c>
    </row>
    <row r="44" spans="1:37" ht="20.100000000000001" customHeight="1">
      <c r="A44" s="164">
        <v>20</v>
      </c>
      <c r="B44" s="164">
        <v>2020030</v>
      </c>
      <c r="C44" s="164" t="s">
        <v>1000</v>
      </c>
      <c r="D44" s="166">
        <v>255</v>
      </c>
      <c r="E44" s="166" t="s">
        <v>514</v>
      </c>
      <c r="F44" s="164" t="s">
        <v>580</v>
      </c>
      <c r="G44" s="166" t="s">
        <v>6</v>
      </c>
      <c r="I44" s="177">
        <v>180.91900000000001</v>
      </c>
      <c r="J44" s="168" t="s">
        <v>251</v>
      </c>
      <c r="K44" s="221">
        <f>+'PF Adds'!G14</f>
        <v>380000</v>
      </c>
      <c r="L44" s="221" t="e">
        <f>+'PF Adds'!#REF!</f>
        <v>#REF!</v>
      </c>
      <c r="M44" s="166">
        <v>330.3</v>
      </c>
      <c r="N44" s="166">
        <v>37</v>
      </c>
      <c r="O44" s="166">
        <v>25</v>
      </c>
      <c r="Q44" s="170" t="e">
        <f t="shared" si="17"/>
        <v>#REF!</v>
      </c>
      <c r="R44" s="170" t="e">
        <f t="shared" si="20"/>
        <v>#REF!</v>
      </c>
      <c r="S44" s="170" t="e">
        <f t="shared" si="21"/>
        <v>#REF!</v>
      </c>
      <c r="U44" s="171">
        <v>0.25345000000000001</v>
      </c>
      <c r="V44" s="170" t="e">
        <f t="shared" si="18"/>
        <v>#REF!</v>
      </c>
      <c r="X44" s="164">
        <v>1120</v>
      </c>
      <c r="Y44" s="164">
        <v>762</v>
      </c>
      <c r="Z44" s="177">
        <v>236</v>
      </c>
      <c r="AA44" s="178"/>
      <c r="AB44" s="236">
        <f t="shared" si="5"/>
        <v>0</v>
      </c>
      <c r="AC44" s="187" t="e">
        <f t="shared" si="19"/>
        <v>#REF!</v>
      </c>
      <c r="AD44" s="192" t="e">
        <f t="shared" si="22"/>
        <v>#REF!</v>
      </c>
      <c r="AG44" s="164">
        <v>16.749500000000001</v>
      </c>
      <c r="AH44" s="187" t="e">
        <f t="shared" si="23"/>
        <v>#REF!</v>
      </c>
      <c r="AJ44" s="189" t="e">
        <f t="shared" si="24"/>
        <v>#REF!</v>
      </c>
    </row>
    <row r="45" spans="1:37" ht="20.100000000000001" customHeight="1">
      <c r="A45" s="164">
        <v>54</v>
      </c>
      <c r="B45" s="164">
        <v>1</v>
      </c>
      <c r="C45" s="164" t="s">
        <v>946</v>
      </c>
      <c r="D45" s="166">
        <v>252</v>
      </c>
      <c r="E45" s="166" t="s">
        <v>514</v>
      </c>
      <c r="F45" s="164" t="s">
        <v>945</v>
      </c>
      <c r="G45" s="166" t="s">
        <v>925</v>
      </c>
      <c r="H45" s="166" t="s">
        <v>6</v>
      </c>
      <c r="I45" s="164">
        <v>22</v>
      </c>
      <c r="J45" s="168" t="s">
        <v>251</v>
      </c>
      <c r="K45" s="221" t="e">
        <f>+'PF Adds'!#REF!</f>
        <v>#REF!</v>
      </c>
      <c r="L45" s="221" t="e">
        <f>+'PF Adds'!#REF!</f>
        <v>#REF!</v>
      </c>
      <c r="M45" s="166">
        <v>331.4</v>
      </c>
      <c r="N45" s="166">
        <v>43</v>
      </c>
      <c r="O45" s="166">
        <v>25</v>
      </c>
      <c r="Q45" s="170" t="e">
        <f t="shared" si="17"/>
        <v>#REF!</v>
      </c>
      <c r="R45" s="170" t="e">
        <f t="shared" si="20"/>
        <v>#REF!</v>
      </c>
      <c r="S45" s="170" t="e">
        <f t="shared" si="21"/>
        <v>#REF!</v>
      </c>
      <c r="U45" s="171">
        <v>0.25345000000000001</v>
      </c>
      <c r="V45" s="170" t="e">
        <f t="shared" si="18"/>
        <v>#REF!</v>
      </c>
      <c r="X45" s="164">
        <v>1125</v>
      </c>
      <c r="Y45" s="164">
        <v>762</v>
      </c>
      <c r="Z45" s="164">
        <v>164</v>
      </c>
      <c r="AA45" s="176" t="e">
        <f>K45*Z45/Y45</f>
        <v>#REF!</v>
      </c>
      <c r="AB45" s="236" t="e">
        <f t="shared" si="5"/>
        <v>#REF!</v>
      </c>
      <c r="AC45" s="187" t="e">
        <f t="shared" si="19"/>
        <v>#REF!</v>
      </c>
      <c r="AD45" s="192" t="e">
        <f t="shared" si="22"/>
        <v>#REF!</v>
      </c>
      <c r="AG45" s="164">
        <v>16.749500000000001</v>
      </c>
      <c r="AH45" s="187" t="e">
        <f t="shared" si="23"/>
        <v>#REF!</v>
      </c>
      <c r="AJ45" s="189" t="e">
        <f t="shared" si="24"/>
        <v>#REF!</v>
      </c>
    </row>
    <row r="46" spans="1:37" ht="20.100000000000001" customHeight="1">
      <c r="A46" s="164">
        <v>2</v>
      </c>
      <c r="B46" s="164">
        <v>1</v>
      </c>
      <c r="C46" s="191" t="s">
        <v>929</v>
      </c>
      <c r="D46" s="166">
        <v>255</v>
      </c>
      <c r="E46" s="166" t="s">
        <v>514</v>
      </c>
      <c r="F46" s="164" t="s">
        <v>580</v>
      </c>
      <c r="G46" s="166" t="s">
        <v>925</v>
      </c>
      <c r="H46" s="166" t="s">
        <v>6</v>
      </c>
      <c r="I46" s="164">
        <v>3500</v>
      </c>
      <c r="J46" s="168" t="s">
        <v>251</v>
      </c>
      <c r="K46" s="221" t="e">
        <f>+'PF Adds'!#REF!</f>
        <v>#REF!</v>
      </c>
      <c r="L46" s="221" t="e">
        <f>+'PF Adds'!#REF!</f>
        <v>#REF!</v>
      </c>
      <c r="M46" s="166">
        <v>331.4</v>
      </c>
      <c r="N46" s="166">
        <v>43</v>
      </c>
      <c r="O46" s="166">
        <v>25</v>
      </c>
      <c r="Q46" s="170" t="e">
        <f t="shared" si="17"/>
        <v>#REF!</v>
      </c>
      <c r="R46" s="170" t="e">
        <f t="shared" si="20"/>
        <v>#REF!</v>
      </c>
      <c r="S46" s="170" t="e">
        <f t="shared" si="21"/>
        <v>#REF!</v>
      </c>
      <c r="U46" s="171">
        <v>0.25345000000000001</v>
      </c>
      <c r="V46" s="170" t="e">
        <f t="shared" si="18"/>
        <v>#REF!</v>
      </c>
      <c r="X46" s="164">
        <v>1125</v>
      </c>
      <c r="Y46" s="164">
        <v>762</v>
      </c>
      <c r="Z46" s="177">
        <v>164</v>
      </c>
      <c r="AA46" s="176" t="e">
        <f>K46*Z46/Y46</f>
        <v>#REF!</v>
      </c>
      <c r="AB46" s="236" t="e">
        <f t="shared" si="5"/>
        <v>#REF!</v>
      </c>
      <c r="AC46" s="187" t="e">
        <f t="shared" si="19"/>
        <v>#REF!</v>
      </c>
      <c r="AD46" s="192" t="e">
        <f t="shared" si="22"/>
        <v>#REF!</v>
      </c>
      <c r="AG46" s="164">
        <v>16.749500000000001</v>
      </c>
      <c r="AH46" s="187" t="e">
        <f t="shared" si="23"/>
        <v>#REF!</v>
      </c>
      <c r="AJ46" s="189" t="e">
        <f t="shared" si="24"/>
        <v>#REF!</v>
      </c>
    </row>
    <row r="47" spans="1:37" ht="20.100000000000001" customHeight="1">
      <c r="A47" s="164">
        <v>28</v>
      </c>
      <c r="B47" s="164">
        <v>2018098</v>
      </c>
      <c r="C47" s="191" t="s">
        <v>973</v>
      </c>
      <c r="D47" s="166">
        <v>255</v>
      </c>
      <c r="E47" s="166" t="s">
        <v>514</v>
      </c>
      <c r="F47" s="164" t="s">
        <v>580</v>
      </c>
      <c r="G47" s="166" t="s">
        <v>6</v>
      </c>
      <c r="I47" s="164">
        <v>116.15015</v>
      </c>
      <c r="J47" s="168" t="s">
        <v>251</v>
      </c>
      <c r="K47" s="221" t="e">
        <f>+'PF Adds'!#REF!</f>
        <v>#REF!</v>
      </c>
      <c r="L47" s="221" t="e">
        <f>+'PF Adds'!#REF!</f>
        <v>#REF!</v>
      </c>
      <c r="M47" s="166">
        <v>331.4</v>
      </c>
      <c r="N47" s="166">
        <v>43</v>
      </c>
      <c r="O47" s="166">
        <v>25</v>
      </c>
      <c r="Q47" s="170" t="e">
        <f t="shared" si="17"/>
        <v>#REF!</v>
      </c>
      <c r="R47" s="170" t="e">
        <f t="shared" si="20"/>
        <v>#REF!</v>
      </c>
      <c r="S47" s="170" t="e">
        <f t="shared" si="21"/>
        <v>#REF!</v>
      </c>
      <c r="U47" s="171">
        <v>0.25345000000000001</v>
      </c>
      <c r="V47" s="170" t="e">
        <f t="shared" si="18"/>
        <v>#REF!</v>
      </c>
      <c r="X47" s="164">
        <v>1125</v>
      </c>
      <c r="Y47" s="164">
        <v>762</v>
      </c>
      <c r="Z47" s="177">
        <v>164</v>
      </c>
      <c r="AA47" s="178"/>
      <c r="AB47" s="236">
        <f t="shared" si="5"/>
        <v>0</v>
      </c>
      <c r="AC47" s="187" t="e">
        <f t="shared" si="19"/>
        <v>#REF!</v>
      </c>
      <c r="AD47" s="192" t="e">
        <f t="shared" si="22"/>
        <v>#REF!</v>
      </c>
      <c r="AG47" s="164">
        <v>16.749500000000001</v>
      </c>
      <c r="AH47" s="187" t="e">
        <f t="shared" si="23"/>
        <v>#REF!</v>
      </c>
      <c r="AJ47" s="189" t="e">
        <f t="shared" si="24"/>
        <v>#REF!</v>
      </c>
    </row>
    <row r="48" spans="1:37" ht="20.100000000000001" customHeight="1">
      <c r="A48" s="164">
        <v>18</v>
      </c>
      <c r="B48" s="164">
        <v>1</v>
      </c>
      <c r="C48" s="191" t="s">
        <v>928</v>
      </c>
      <c r="D48" s="166">
        <v>255</v>
      </c>
      <c r="E48" s="166" t="s">
        <v>514</v>
      </c>
      <c r="F48" s="164" t="s">
        <v>580</v>
      </c>
      <c r="G48" s="166" t="s">
        <v>925</v>
      </c>
      <c r="H48" s="166" t="s">
        <v>925</v>
      </c>
      <c r="I48" s="164">
        <v>220</v>
      </c>
      <c r="J48" s="168" t="s">
        <v>251</v>
      </c>
      <c r="K48" s="221" t="e">
        <f>+'PF Adds'!#REF!</f>
        <v>#REF!</v>
      </c>
      <c r="L48" s="221" t="e">
        <f>+'PF Adds'!#REF!</f>
        <v>#REF!</v>
      </c>
      <c r="M48" s="166">
        <v>331.4</v>
      </c>
      <c r="N48" s="166">
        <v>43</v>
      </c>
      <c r="O48" s="166">
        <v>25</v>
      </c>
      <c r="Q48" s="170" t="e">
        <f t="shared" si="17"/>
        <v>#REF!</v>
      </c>
      <c r="R48" s="170" t="e">
        <f t="shared" si="20"/>
        <v>#REF!</v>
      </c>
      <c r="S48" s="170" t="e">
        <f t="shared" si="21"/>
        <v>#REF!</v>
      </c>
      <c r="U48" s="171">
        <v>0.25345000000000001</v>
      </c>
      <c r="V48" s="170" t="e">
        <f t="shared" si="18"/>
        <v>#REF!</v>
      </c>
      <c r="X48" s="164">
        <v>1125</v>
      </c>
      <c r="Y48" s="164">
        <v>762</v>
      </c>
      <c r="Z48" s="177">
        <v>164</v>
      </c>
      <c r="AA48" s="176" t="e">
        <f>K48*Z48/Y48</f>
        <v>#REF!</v>
      </c>
      <c r="AB48" s="236" t="e">
        <f t="shared" si="5"/>
        <v>#REF!</v>
      </c>
      <c r="AC48" s="187" t="e">
        <f t="shared" si="19"/>
        <v>#REF!</v>
      </c>
      <c r="AD48" s="192" t="e">
        <f t="shared" si="22"/>
        <v>#REF!</v>
      </c>
      <c r="AG48" s="164">
        <v>16.749500000000001</v>
      </c>
      <c r="AH48" s="187" t="e">
        <f t="shared" si="23"/>
        <v>#REF!</v>
      </c>
      <c r="AJ48" s="189" t="e">
        <f t="shared" si="24"/>
        <v>#REF!</v>
      </c>
    </row>
    <row r="49" spans="1:37" ht="20.100000000000001" customHeight="1">
      <c r="A49" s="164">
        <v>1</v>
      </c>
      <c r="B49" s="164">
        <v>2019109</v>
      </c>
      <c r="C49" s="191" t="s">
        <v>938</v>
      </c>
      <c r="D49" s="166">
        <v>255</v>
      </c>
      <c r="E49" s="166" t="s">
        <v>514</v>
      </c>
      <c r="F49" s="164" t="s">
        <v>580</v>
      </c>
      <c r="G49" s="166" t="s">
        <v>925</v>
      </c>
      <c r="H49" s="166" t="s">
        <v>6</v>
      </c>
      <c r="I49" s="164">
        <v>6112.201</v>
      </c>
      <c r="J49" s="174" t="s">
        <v>251</v>
      </c>
      <c r="K49" s="221" t="e">
        <f>+'PF Adds'!#REF!</f>
        <v>#REF!</v>
      </c>
      <c r="L49" s="221" t="e">
        <f>+'PF Adds'!#REF!</f>
        <v>#REF!</v>
      </c>
      <c r="M49" s="166">
        <v>331.4</v>
      </c>
      <c r="N49" s="184">
        <v>42.916666666666664</v>
      </c>
      <c r="O49" s="166">
        <v>25</v>
      </c>
      <c r="Q49" s="170" t="e">
        <f t="shared" si="17"/>
        <v>#REF!</v>
      </c>
      <c r="R49" s="170" t="e">
        <f>ROUND(K49/N49,2)</f>
        <v>#REF!</v>
      </c>
      <c r="S49" s="170" t="e">
        <f>ROUND(K49/O49,2)</f>
        <v>#REF!</v>
      </c>
      <c r="U49" s="171">
        <v>0.25345000000000001</v>
      </c>
      <c r="V49" s="170" t="e">
        <f t="shared" si="18"/>
        <v>#REF!</v>
      </c>
      <c r="X49" s="164">
        <v>1125</v>
      </c>
      <c r="Y49" s="164">
        <v>762</v>
      </c>
      <c r="Z49" s="177">
        <v>164</v>
      </c>
      <c r="AA49" s="176" t="e">
        <f>K49*Z49/Y49</f>
        <v>#REF!</v>
      </c>
      <c r="AB49" s="236" t="e">
        <f t="shared" si="5"/>
        <v>#REF!</v>
      </c>
      <c r="AC49" s="187" t="e">
        <f t="shared" si="19"/>
        <v>#REF!</v>
      </c>
      <c r="AD49" s="192" t="e">
        <f t="shared" si="22"/>
        <v>#REF!</v>
      </c>
      <c r="AG49" s="164">
        <v>16.749500000000001</v>
      </c>
      <c r="AH49" s="187" t="e">
        <f t="shared" si="23"/>
        <v>#REF!</v>
      </c>
      <c r="AJ49" s="189" t="e">
        <f t="shared" si="24"/>
        <v>#REF!</v>
      </c>
    </row>
    <row r="50" spans="1:37" ht="20.100000000000001" customHeight="1">
      <c r="A50" s="164">
        <v>14</v>
      </c>
      <c r="B50" s="164">
        <v>1</v>
      </c>
      <c r="C50" s="191" t="s">
        <v>994</v>
      </c>
      <c r="D50" s="166">
        <v>255</v>
      </c>
      <c r="E50" s="166" t="s">
        <v>514</v>
      </c>
      <c r="F50" s="164" t="s">
        <v>580</v>
      </c>
      <c r="G50" s="166" t="s">
        <v>6</v>
      </c>
      <c r="I50" s="164">
        <v>260</v>
      </c>
      <c r="J50" s="168" t="s">
        <v>7</v>
      </c>
      <c r="K50" s="221" t="e">
        <f>+'PF Adds'!#REF!</f>
        <v>#REF!</v>
      </c>
      <c r="L50" s="221" t="e">
        <f>+'PF Adds'!#REF!</f>
        <v>#REF!</v>
      </c>
      <c r="M50" s="166">
        <v>360.2</v>
      </c>
      <c r="N50" s="166">
        <v>30</v>
      </c>
      <c r="O50" s="166">
        <v>25</v>
      </c>
      <c r="Q50" s="170" t="e">
        <f t="shared" si="17"/>
        <v>#REF!</v>
      </c>
      <c r="R50" s="170" t="e">
        <f t="shared" ref="R50:R57" si="25">ROUND(L50/N50,2)</f>
        <v>#REF!</v>
      </c>
      <c r="S50" s="170" t="e">
        <f t="shared" ref="S50:S57" si="26">ROUND(L50/O50,2)</f>
        <v>#REF!</v>
      </c>
      <c r="U50" s="171">
        <v>0.25345000000000001</v>
      </c>
      <c r="V50" s="170" t="e">
        <f t="shared" si="18"/>
        <v>#REF!</v>
      </c>
      <c r="X50" s="164">
        <v>1345</v>
      </c>
      <c r="Y50" s="164">
        <v>762</v>
      </c>
      <c r="Z50" s="177">
        <v>273</v>
      </c>
      <c r="AA50" s="178"/>
      <c r="AB50" s="236">
        <f t="shared" si="5"/>
        <v>0</v>
      </c>
      <c r="AC50" s="187" t="e">
        <f t="shared" si="19"/>
        <v>#REF!</v>
      </c>
      <c r="AE50" s="187" t="e">
        <f t="shared" ref="AE50:AE62" si="27">+AC50</f>
        <v>#REF!</v>
      </c>
      <c r="AG50" s="164">
        <v>16.749500000000001</v>
      </c>
      <c r="AI50" s="187" t="e">
        <f t="shared" ref="AI50:AI62" si="28">+$AG50*AE50/1000</f>
        <v>#REF!</v>
      </c>
      <c r="AK50" s="189" t="e">
        <f t="shared" ref="AK50:AK62" si="29">+AI50*0.96</f>
        <v>#REF!</v>
      </c>
    </row>
    <row r="51" spans="1:37" ht="20.100000000000001" customHeight="1">
      <c r="A51" s="164">
        <v>2</v>
      </c>
      <c r="B51" s="164">
        <v>1</v>
      </c>
      <c r="C51" s="191" t="s">
        <v>929</v>
      </c>
      <c r="D51" s="166">
        <v>255</v>
      </c>
      <c r="E51" s="166" t="s">
        <v>514</v>
      </c>
      <c r="F51" s="164" t="s">
        <v>580</v>
      </c>
      <c r="G51" s="166" t="s">
        <v>925</v>
      </c>
      <c r="H51" s="166" t="s">
        <v>6</v>
      </c>
      <c r="J51" s="168" t="s">
        <v>7</v>
      </c>
      <c r="K51" s="221" t="e">
        <f>+'PF Adds'!#REF!</f>
        <v>#REF!</v>
      </c>
      <c r="L51" s="221" t="e">
        <f>+'PF Adds'!#REF!</f>
        <v>#REF!</v>
      </c>
      <c r="M51" s="166">
        <v>360.2</v>
      </c>
      <c r="N51" s="166">
        <v>30</v>
      </c>
      <c r="O51" s="166">
        <v>25</v>
      </c>
      <c r="Q51" s="170" t="e">
        <f t="shared" si="17"/>
        <v>#REF!</v>
      </c>
      <c r="R51" s="170" t="e">
        <f t="shared" si="25"/>
        <v>#REF!</v>
      </c>
      <c r="S51" s="170" t="e">
        <f t="shared" si="26"/>
        <v>#REF!</v>
      </c>
      <c r="U51" s="171">
        <v>0.25345000000000001</v>
      </c>
      <c r="V51" s="170" t="e">
        <f t="shared" si="18"/>
        <v>#REF!</v>
      </c>
      <c r="X51" s="164">
        <v>1345</v>
      </c>
      <c r="Y51" s="164">
        <v>762</v>
      </c>
      <c r="Z51" s="177">
        <v>273</v>
      </c>
      <c r="AA51" s="176" t="e">
        <f>K51*Z51/Y51</f>
        <v>#REF!</v>
      </c>
      <c r="AB51" s="236" t="e">
        <f t="shared" si="5"/>
        <v>#REF!</v>
      </c>
      <c r="AC51" s="187" t="e">
        <f t="shared" si="19"/>
        <v>#REF!</v>
      </c>
      <c r="AE51" s="187" t="e">
        <f t="shared" si="27"/>
        <v>#REF!</v>
      </c>
      <c r="AG51" s="164">
        <v>16.749500000000001</v>
      </c>
      <c r="AI51" s="187" t="e">
        <f t="shared" si="28"/>
        <v>#REF!</v>
      </c>
      <c r="AK51" s="189" t="e">
        <f t="shared" si="29"/>
        <v>#REF!</v>
      </c>
    </row>
    <row r="52" spans="1:37" s="191" customFormat="1" ht="20.100000000000001" customHeight="1">
      <c r="A52" s="191">
        <v>37</v>
      </c>
      <c r="B52" s="219">
        <v>2019088</v>
      </c>
      <c r="C52" s="191" t="s">
        <v>915</v>
      </c>
      <c r="D52" s="195">
        <v>255</v>
      </c>
      <c r="E52" s="195" t="s">
        <v>514</v>
      </c>
      <c r="F52" s="191" t="s">
        <v>580</v>
      </c>
      <c r="G52" s="195" t="s">
        <v>6</v>
      </c>
      <c r="H52" s="195"/>
      <c r="I52" s="204">
        <f>+'PF Sched'!I94</f>
        <v>0</v>
      </c>
      <c r="J52" s="202" t="s">
        <v>7</v>
      </c>
      <c r="K52" s="229" t="e">
        <f>+'PF Adds'!#REF!</f>
        <v>#REF!</v>
      </c>
      <c r="L52" s="229" t="e">
        <f>+'PF Adds'!#REF!</f>
        <v>#REF!</v>
      </c>
      <c r="M52" s="195">
        <v>360.2</v>
      </c>
      <c r="N52" s="195">
        <v>30</v>
      </c>
      <c r="O52" s="195">
        <v>25</v>
      </c>
      <c r="Q52" s="194" t="e">
        <f t="shared" si="17"/>
        <v>#REF!</v>
      </c>
      <c r="R52" s="194" t="e">
        <f t="shared" si="25"/>
        <v>#REF!</v>
      </c>
      <c r="S52" s="194" t="e">
        <f t="shared" si="26"/>
        <v>#REF!</v>
      </c>
      <c r="U52" s="203">
        <v>0.25345000000000001</v>
      </c>
      <c r="V52" s="194" t="e">
        <f t="shared" si="18"/>
        <v>#REF!</v>
      </c>
      <c r="AA52" s="197"/>
      <c r="AB52" s="236">
        <f t="shared" si="5"/>
        <v>0</v>
      </c>
      <c r="AC52" s="187" t="e">
        <f>+L52-Q52-AA52+AB52</f>
        <v>#REF!</v>
      </c>
      <c r="AE52" s="187" t="e">
        <f>+AC52</f>
        <v>#REF!</v>
      </c>
      <c r="AF52" s="164"/>
      <c r="AG52" s="164">
        <v>16.749500000000001</v>
      </c>
      <c r="AH52" s="164"/>
      <c r="AI52" s="187" t="e">
        <f>+$AG52*AE52/1000</f>
        <v>#REF!</v>
      </c>
      <c r="AJ52" s="164"/>
      <c r="AK52" s="189" t="e">
        <f>+AI52*0.96</f>
        <v>#REF!</v>
      </c>
    </row>
    <row r="53" spans="1:37" ht="20.100000000000001" customHeight="1">
      <c r="A53" s="164">
        <v>28</v>
      </c>
      <c r="B53" s="164">
        <v>2018098</v>
      </c>
      <c r="C53" s="191" t="s">
        <v>973</v>
      </c>
      <c r="D53" s="166">
        <v>255</v>
      </c>
      <c r="E53" s="166" t="s">
        <v>514</v>
      </c>
      <c r="F53" s="164" t="s">
        <v>580</v>
      </c>
      <c r="G53" s="166" t="s">
        <v>6</v>
      </c>
      <c r="J53" s="168" t="s">
        <v>7</v>
      </c>
      <c r="K53" s="221" t="e">
        <f>+'PF Adds'!#REF!</f>
        <v>#REF!</v>
      </c>
      <c r="L53" s="221" t="e">
        <f>+'PF Adds'!#REF!</f>
        <v>#REF!</v>
      </c>
      <c r="M53" s="166">
        <v>360.2</v>
      </c>
      <c r="N53" s="166">
        <v>30</v>
      </c>
      <c r="O53" s="166">
        <v>25</v>
      </c>
      <c r="Q53" s="170" t="e">
        <f t="shared" si="17"/>
        <v>#REF!</v>
      </c>
      <c r="R53" s="170" t="e">
        <f t="shared" si="25"/>
        <v>#REF!</v>
      </c>
      <c r="S53" s="170" t="e">
        <f t="shared" si="26"/>
        <v>#REF!</v>
      </c>
      <c r="U53" s="171">
        <v>0.25345000000000001</v>
      </c>
      <c r="V53" s="170" t="e">
        <f t="shared" si="18"/>
        <v>#REF!</v>
      </c>
      <c r="X53" s="164">
        <v>1345</v>
      </c>
      <c r="Y53" s="164">
        <v>762</v>
      </c>
      <c r="Z53" s="177">
        <v>273</v>
      </c>
      <c r="AA53" s="178"/>
      <c r="AB53" s="236">
        <f t="shared" si="5"/>
        <v>0</v>
      </c>
      <c r="AC53" s="187" t="e">
        <f t="shared" si="19"/>
        <v>#REF!</v>
      </c>
      <c r="AE53" s="187" t="e">
        <f t="shared" si="27"/>
        <v>#REF!</v>
      </c>
      <c r="AG53" s="164">
        <v>16.749500000000001</v>
      </c>
      <c r="AI53" s="187" t="e">
        <f t="shared" si="28"/>
        <v>#REF!</v>
      </c>
      <c r="AK53" s="189" t="e">
        <f t="shared" si="29"/>
        <v>#REF!</v>
      </c>
    </row>
    <row r="54" spans="1:37" ht="20.100000000000001" customHeight="1">
      <c r="A54" s="164">
        <v>18</v>
      </c>
      <c r="B54" s="164">
        <v>1</v>
      </c>
      <c r="C54" s="191" t="s">
        <v>928</v>
      </c>
      <c r="D54" s="166">
        <v>255</v>
      </c>
      <c r="E54" s="166" t="s">
        <v>514</v>
      </c>
      <c r="F54" s="164" t="s">
        <v>580</v>
      </c>
      <c r="G54" s="166" t="s">
        <v>925</v>
      </c>
      <c r="H54" s="166" t="s">
        <v>925</v>
      </c>
      <c r="J54" s="168" t="s">
        <v>7</v>
      </c>
      <c r="K54" s="221" t="e">
        <f>+'PF Adds'!#REF!</f>
        <v>#REF!</v>
      </c>
      <c r="L54" s="221" t="e">
        <f>+'PF Adds'!#REF!</f>
        <v>#REF!</v>
      </c>
      <c r="M54" s="166">
        <v>360.2</v>
      </c>
      <c r="N54" s="166">
        <v>30</v>
      </c>
      <c r="O54" s="166">
        <v>25</v>
      </c>
      <c r="Q54" s="170" t="e">
        <f t="shared" si="17"/>
        <v>#REF!</v>
      </c>
      <c r="R54" s="170" t="e">
        <f t="shared" si="25"/>
        <v>#REF!</v>
      </c>
      <c r="S54" s="170" t="e">
        <f t="shared" si="26"/>
        <v>#REF!</v>
      </c>
      <c r="U54" s="171">
        <v>0.25345000000000001</v>
      </c>
      <c r="V54" s="170" t="e">
        <f t="shared" si="18"/>
        <v>#REF!</v>
      </c>
      <c r="X54" s="164">
        <v>1345</v>
      </c>
      <c r="Y54" s="164">
        <v>762</v>
      </c>
      <c r="Z54" s="177">
        <v>273</v>
      </c>
      <c r="AA54" s="176" t="e">
        <f>K54*Z54/Y54</f>
        <v>#REF!</v>
      </c>
      <c r="AB54" s="236" t="e">
        <f t="shared" si="5"/>
        <v>#REF!</v>
      </c>
      <c r="AC54" s="187" t="e">
        <f t="shared" si="19"/>
        <v>#REF!</v>
      </c>
      <c r="AE54" s="187" t="e">
        <f t="shared" si="27"/>
        <v>#REF!</v>
      </c>
      <c r="AG54" s="164">
        <v>16.749500000000001</v>
      </c>
      <c r="AI54" s="187" t="e">
        <f t="shared" si="28"/>
        <v>#REF!</v>
      </c>
      <c r="AK54" s="189" t="e">
        <f t="shared" si="29"/>
        <v>#REF!</v>
      </c>
    </row>
    <row r="55" spans="1:37" ht="20.100000000000001" customHeight="1">
      <c r="A55" s="164">
        <v>3</v>
      </c>
      <c r="B55" s="164">
        <v>1</v>
      </c>
      <c r="C55" s="164" t="s">
        <v>993</v>
      </c>
      <c r="D55" s="166">
        <v>255</v>
      </c>
      <c r="E55" s="166" t="s">
        <v>514</v>
      </c>
      <c r="F55" s="164" t="s">
        <v>580</v>
      </c>
      <c r="G55" s="166" t="s">
        <v>6</v>
      </c>
      <c r="I55" s="164">
        <v>2000</v>
      </c>
      <c r="J55" s="168" t="s">
        <v>7</v>
      </c>
      <c r="K55" s="221" t="e">
        <f>+'PF Adds'!#REF!</f>
        <v>#REF!</v>
      </c>
      <c r="L55" s="221" t="e">
        <f>+'PF Adds'!#REF!</f>
        <v>#REF!</v>
      </c>
      <c r="M55" s="166">
        <v>361.2</v>
      </c>
      <c r="N55" s="166">
        <v>45</v>
      </c>
      <c r="O55" s="166">
        <v>25</v>
      </c>
      <c r="Q55" s="170" t="e">
        <f t="shared" si="17"/>
        <v>#REF!</v>
      </c>
      <c r="R55" s="170" t="e">
        <f t="shared" si="25"/>
        <v>#REF!</v>
      </c>
      <c r="S55" s="170" t="e">
        <f t="shared" si="26"/>
        <v>#REF!</v>
      </c>
      <c r="U55" s="171">
        <v>0.25345000000000001</v>
      </c>
      <c r="V55" s="170" t="e">
        <f t="shared" si="18"/>
        <v>#REF!</v>
      </c>
      <c r="X55" s="164">
        <v>1350</v>
      </c>
      <c r="Y55" s="164">
        <v>762</v>
      </c>
      <c r="Z55" s="177">
        <v>150</v>
      </c>
      <c r="AA55" s="178"/>
      <c r="AB55" s="236">
        <f t="shared" si="5"/>
        <v>0</v>
      </c>
      <c r="AC55" s="187" t="e">
        <f t="shared" si="19"/>
        <v>#REF!</v>
      </c>
      <c r="AE55" s="187" t="e">
        <f t="shared" si="27"/>
        <v>#REF!</v>
      </c>
      <c r="AG55" s="164">
        <v>16.749500000000001</v>
      </c>
      <c r="AI55" s="187" t="e">
        <f t="shared" si="28"/>
        <v>#REF!</v>
      </c>
      <c r="AK55" s="189" t="e">
        <f t="shared" si="29"/>
        <v>#REF!</v>
      </c>
    </row>
    <row r="56" spans="1:37" ht="20.100000000000001" customHeight="1">
      <c r="A56" s="164">
        <v>16</v>
      </c>
      <c r="B56" s="164">
        <v>1</v>
      </c>
      <c r="C56" s="164" t="s">
        <v>991</v>
      </c>
      <c r="D56" s="166">
        <v>252</v>
      </c>
      <c r="E56" s="166" t="s">
        <v>514</v>
      </c>
      <c r="F56" s="164" t="s">
        <v>990</v>
      </c>
      <c r="G56" s="166" t="s">
        <v>6</v>
      </c>
      <c r="I56" s="164">
        <v>250</v>
      </c>
      <c r="J56" s="168" t="s">
        <v>7</v>
      </c>
      <c r="K56" s="221" t="e">
        <f>+'PF Adds'!#REF!</f>
        <v>#REF!</v>
      </c>
      <c r="L56" s="221" t="e">
        <f>+'PF Adds'!#REF!</f>
        <v>#REF!</v>
      </c>
      <c r="M56" s="166">
        <v>361.2</v>
      </c>
      <c r="N56" s="166">
        <v>45</v>
      </c>
      <c r="O56" s="166">
        <v>25</v>
      </c>
      <c r="Q56" s="170" t="e">
        <f t="shared" si="17"/>
        <v>#REF!</v>
      </c>
      <c r="R56" s="170" t="e">
        <f t="shared" si="25"/>
        <v>#REF!</v>
      </c>
      <c r="S56" s="170" t="e">
        <f t="shared" si="26"/>
        <v>#REF!</v>
      </c>
      <c r="U56" s="171">
        <v>0.25345000000000001</v>
      </c>
      <c r="V56" s="170" t="e">
        <f t="shared" si="18"/>
        <v>#REF!</v>
      </c>
      <c r="X56" s="164">
        <v>1350</v>
      </c>
      <c r="Y56" s="164">
        <v>762</v>
      </c>
      <c r="Z56" s="177">
        <v>150</v>
      </c>
      <c r="AA56" s="178"/>
      <c r="AB56" s="236">
        <f t="shared" si="5"/>
        <v>0</v>
      </c>
      <c r="AC56" s="187" t="e">
        <f t="shared" si="19"/>
        <v>#REF!</v>
      </c>
      <c r="AE56" s="187" t="e">
        <f t="shared" si="27"/>
        <v>#REF!</v>
      </c>
      <c r="AG56" s="164">
        <v>16.749500000000001</v>
      </c>
      <c r="AI56" s="187" t="e">
        <f t="shared" si="28"/>
        <v>#REF!</v>
      </c>
      <c r="AK56" s="189" t="e">
        <f t="shared" si="29"/>
        <v>#REF!</v>
      </c>
    </row>
    <row r="57" spans="1:37" ht="20.100000000000001" customHeight="1">
      <c r="A57" s="164">
        <v>12</v>
      </c>
      <c r="B57" s="164">
        <v>1</v>
      </c>
      <c r="C57" s="164" t="s">
        <v>941</v>
      </c>
      <c r="D57" s="166">
        <v>255</v>
      </c>
      <c r="E57" s="166" t="s">
        <v>514</v>
      </c>
      <c r="F57" s="164" t="s">
        <v>580</v>
      </c>
      <c r="G57" s="166" t="s">
        <v>925</v>
      </c>
      <c r="H57" s="166" t="s">
        <v>925</v>
      </c>
      <c r="I57" s="164">
        <v>340</v>
      </c>
      <c r="J57" s="168" t="s">
        <v>7</v>
      </c>
      <c r="K57" s="221">
        <f>+'PF Adds'!G22</f>
        <v>510040</v>
      </c>
      <c r="L57" s="221" t="e">
        <f>+'PF Adds'!#REF!</f>
        <v>#REF!</v>
      </c>
      <c r="M57" s="166">
        <v>370.3</v>
      </c>
      <c r="N57" s="166">
        <v>30</v>
      </c>
      <c r="O57" s="166">
        <v>25</v>
      </c>
      <c r="Q57" s="170" t="e">
        <f t="shared" si="17"/>
        <v>#REF!</v>
      </c>
      <c r="R57" s="170" t="e">
        <f t="shared" si="25"/>
        <v>#REF!</v>
      </c>
      <c r="S57" s="170" t="e">
        <f t="shared" si="26"/>
        <v>#REF!</v>
      </c>
      <c r="U57" s="171">
        <v>0.25345000000000001</v>
      </c>
      <c r="V57" s="170" t="e">
        <f t="shared" si="18"/>
        <v>#REF!</v>
      </c>
      <c r="X57" s="164">
        <v>1375</v>
      </c>
      <c r="Y57" s="164">
        <v>599</v>
      </c>
      <c r="Z57" s="177">
        <v>234.75</v>
      </c>
      <c r="AA57" s="176">
        <f>K57*Z57/Y57</f>
        <v>199886.2938230384</v>
      </c>
      <c r="AB57" s="236">
        <f t="shared" si="5"/>
        <v>199886.2938230384</v>
      </c>
      <c r="AC57" s="187" t="e">
        <f t="shared" si="19"/>
        <v>#REF!</v>
      </c>
      <c r="AE57" s="187" t="e">
        <f t="shared" si="27"/>
        <v>#REF!</v>
      </c>
      <c r="AG57" s="164">
        <v>16.749500000000001</v>
      </c>
      <c r="AI57" s="187" t="e">
        <f t="shared" si="28"/>
        <v>#REF!</v>
      </c>
      <c r="AK57" s="189" t="e">
        <f t="shared" si="29"/>
        <v>#REF!</v>
      </c>
    </row>
    <row r="58" spans="1:37" ht="20.100000000000001" customHeight="1">
      <c r="B58" s="164">
        <v>2019109</v>
      </c>
      <c r="C58" s="164" t="s">
        <v>938</v>
      </c>
      <c r="D58" s="166">
        <v>255</v>
      </c>
      <c r="E58" s="166" t="s">
        <v>514</v>
      </c>
      <c r="F58" s="164" t="s">
        <v>580</v>
      </c>
      <c r="G58" s="166" t="s">
        <v>925</v>
      </c>
      <c r="H58" s="166" t="s">
        <v>6</v>
      </c>
      <c r="J58" s="168" t="s">
        <v>7</v>
      </c>
      <c r="K58" s="221" t="e">
        <f>+'PF Adds'!#REF!</f>
        <v>#REF!</v>
      </c>
      <c r="L58" s="221" t="e">
        <f>+'PF Adds'!#REF!</f>
        <v>#REF!</v>
      </c>
      <c r="M58" s="166">
        <v>380.4</v>
      </c>
      <c r="N58" s="166">
        <v>18</v>
      </c>
      <c r="O58" s="166">
        <v>25</v>
      </c>
      <c r="Q58" s="170" t="e">
        <f t="shared" si="17"/>
        <v>#REF!</v>
      </c>
      <c r="R58" s="170" t="e">
        <f>ROUND(K58/N58,2)</f>
        <v>#REF!</v>
      </c>
      <c r="S58" s="170" t="e">
        <f>ROUND(K58/O58,2)</f>
        <v>#REF!</v>
      </c>
      <c r="U58" s="171">
        <v>0.25345000000000001</v>
      </c>
      <c r="V58" s="170" t="e">
        <f t="shared" si="18"/>
        <v>#REF!</v>
      </c>
      <c r="X58" s="164">
        <v>1400</v>
      </c>
      <c r="Y58" s="164">
        <v>752</v>
      </c>
      <c r="Z58" s="177">
        <v>384.75</v>
      </c>
      <c r="AA58" s="176" t="e">
        <f>K58*Z58/Y58</f>
        <v>#REF!</v>
      </c>
      <c r="AB58" s="236" t="e">
        <f t="shared" si="5"/>
        <v>#REF!</v>
      </c>
      <c r="AC58" s="187" t="e">
        <f t="shared" si="19"/>
        <v>#REF!</v>
      </c>
      <c r="AE58" s="187" t="e">
        <f t="shared" si="27"/>
        <v>#REF!</v>
      </c>
      <c r="AG58" s="164">
        <v>16.749500000000001</v>
      </c>
      <c r="AI58" s="187" t="e">
        <f t="shared" si="28"/>
        <v>#REF!</v>
      </c>
      <c r="AK58" s="189" t="e">
        <f t="shared" si="29"/>
        <v>#REF!</v>
      </c>
    </row>
    <row r="59" spans="1:37" ht="20.100000000000001" customHeight="1">
      <c r="A59" s="164">
        <v>4</v>
      </c>
      <c r="B59" s="164">
        <v>1</v>
      </c>
      <c r="C59" s="164" t="s">
        <v>936</v>
      </c>
      <c r="D59" s="166">
        <v>255</v>
      </c>
      <c r="E59" s="166" t="s">
        <v>514</v>
      </c>
      <c r="F59" s="164" t="s">
        <v>580</v>
      </c>
      <c r="G59" s="166" t="s">
        <v>925</v>
      </c>
      <c r="H59" s="166" t="s">
        <v>6</v>
      </c>
      <c r="I59" s="164">
        <v>2000</v>
      </c>
      <c r="J59" s="168" t="s">
        <v>7</v>
      </c>
      <c r="K59" s="221">
        <f>+'PF Adds'!G24</f>
        <v>503130</v>
      </c>
      <c r="L59" s="221" t="e">
        <f>+'PF Adds'!#REF!</f>
        <v>#REF!</v>
      </c>
      <c r="M59" s="166">
        <v>380.4</v>
      </c>
      <c r="N59" s="166">
        <v>18</v>
      </c>
      <c r="O59" s="166">
        <v>25</v>
      </c>
      <c r="Q59" s="170" t="e">
        <f t="shared" si="17"/>
        <v>#REF!</v>
      </c>
      <c r="R59" s="170" t="e">
        <f>ROUND(L59/N59,2)</f>
        <v>#REF!</v>
      </c>
      <c r="S59" s="170" t="e">
        <f>ROUND(L59/O59,2)</f>
        <v>#REF!</v>
      </c>
      <c r="U59" s="171">
        <v>0.25345000000000001</v>
      </c>
      <c r="V59" s="170" t="e">
        <f t="shared" si="18"/>
        <v>#REF!</v>
      </c>
      <c r="X59" s="164">
        <v>1400</v>
      </c>
      <c r="Y59" s="164">
        <v>752</v>
      </c>
      <c r="Z59" s="177">
        <v>384.75</v>
      </c>
      <c r="AA59" s="176">
        <f>K59*Z59/Y59</f>
        <v>257419.23869680852</v>
      </c>
      <c r="AB59" s="236">
        <f t="shared" si="5"/>
        <v>257419.23869680852</v>
      </c>
      <c r="AC59" s="187" t="e">
        <f t="shared" si="19"/>
        <v>#REF!</v>
      </c>
      <c r="AE59" s="187" t="e">
        <f t="shared" si="27"/>
        <v>#REF!</v>
      </c>
      <c r="AG59" s="164">
        <v>16.749500000000001</v>
      </c>
      <c r="AI59" s="187" t="e">
        <f t="shared" si="28"/>
        <v>#REF!</v>
      </c>
      <c r="AK59" s="189" t="e">
        <f t="shared" si="29"/>
        <v>#REF!</v>
      </c>
    </row>
    <row r="60" spans="1:37" ht="20.100000000000001" customHeight="1">
      <c r="A60" s="164">
        <v>13</v>
      </c>
      <c r="B60" s="164">
        <v>2018109</v>
      </c>
      <c r="C60" s="164" t="s">
        <v>988</v>
      </c>
      <c r="D60" s="166">
        <v>255</v>
      </c>
      <c r="E60" s="166" t="s">
        <v>514</v>
      </c>
      <c r="F60" s="164" t="s">
        <v>580</v>
      </c>
      <c r="G60" s="166" t="s">
        <v>6</v>
      </c>
      <c r="I60" s="164">
        <v>278.82</v>
      </c>
      <c r="J60" s="168" t="s">
        <v>7</v>
      </c>
      <c r="K60" s="221" t="e">
        <f>+'PF Adds'!#REF!</f>
        <v>#REF!</v>
      </c>
      <c r="L60" s="221" t="e">
        <f>+'PF Adds'!#REF!</f>
        <v>#REF!</v>
      </c>
      <c r="M60" s="166">
        <v>380.4</v>
      </c>
      <c r="N60" s="166">
        <v>18</v>
      </c>
      <c r="O60" s="166">
        <v>25</v>
      </c>
      <c r="Q60" s="170" t="e">
        <f t="shared" si="17"/>
        <v>#REF!</v>
      </c>
      <c r="R60" s="170" t="e">
        <f>ROUND(L60/N60,2)</f>
        <v>#REF!</v>
      </c>
      <c r="S60" s="170" t="e">
        <f>ROUND(L60/O60,2)</f>
        <v>#REF!</v>
      </c>
      <c r="U60" s="171">
        <v>0.25345000000000001</v>
      </c>
      <c r="V60" s="170" t="e">
        <f t="shared" si="18"/>
        <v>#REF!</v>
      </c>
      <c r="X60" s="164">
        <v>1400</v>
      </c>
      <c r="Y60" s="164">
        <v>752</v>
      </c>
      <c r="Z60" s="177">
        <v>384.75</v>
      </c>
      <c r="AA60" s="178"/>
      <c r="AB60" s="236">
        <f t="shared" si="5"/>
        <v>0</v>
      </c>
      <c r="AC60" s="187" t="e">
        <f t="shared" si="19"/>
        <v>#REF!</v>
      </c>
      <c r="AE60" s="187" t="e">
        <f t="shared" si="27"/>
        <v>#REF!</v>
      </c>
      <c r="AG60" s="164">
        <v>16.749500000000001</v>
      </c>
      <c r="AI60" s="187" t="e">
        <f t="shared" si="28"/>
        <v>#REF!</v>
      </c>
      <c r="AK60" s="189" t="e">
        <f t="shared" si="29"/>
        <v>#REF!</v>
      </c>
    </row>
    <row r="61" spans="1:37" ht="20.100000000000001" customHeight="1">
      <c r="A61" s="164">
        <v>19</v>
      </c>
      <c r="B61" s="164">
        <v>2020031</v>
      </c>
      <c r="C61" s="164" t="s">
        <v>986</v>
      </c>
      <c r="D61" s="166">
        <v>255</v>
      </c>
      <c r="E61" s="166" t="s">
        <v>514</v>
      </c>
      <c r="F61" s="164" t="s">
        <v>580</v>
      </c>
      <c r="G61" s="166" t="s">
        <v>6</v>
      </c>
      <c r="I61" s="164">
        <v>186.715</v>
      </c>
      <c r="J61" s="168" t="s">
        <v>7</v>
      </c>
      <c r="K61" s="221" t="e">
        <f>+'PF Adds'!#REF!</f>
        <v>#REF!</v>
      </c>
      <c r="L61" s="221" t="e">
        <f>+'PF Adds'!#REF!</f>
        <v>#REF!</v>
      </c>
      <c r="M61" s="166">
        <v>380.4</v>
      </c>
      <c r="N61" s="166">
        <v>18</v>
      </c>
      <c r="O61" s="166">
        <v>25</v>
      </c>
      <c r="Q61" s="170" t="e">
        <f t="shared" si="17"/>
        <v>#REF!</v>
      </c>
      <c r="R61" s="170" t="e">
        <f>ROUND(L61/N61,2)</f>
        <v>#REF!</v>
      </c>
      <c r="S61" s="170" t="e">
        <f>ROUND(L61/O61,2)</f>
        <v>#REF!</v>
      </c>
      <c r="U61" s="171">
        <v>0.25345000000000001</v>
      </c>
      <c r="V61" s="170" t="e">
        <f t="shared" si="18"/>
        <v>#REF!</v>
      </c>
      <c r="X61" s="164">
        <v>1400</v>
      </c>
      <c r="Y61" s="164">
        <v>752</v>
      </c>
      <c r="Z61" s="177">
        <v>384.75</v>
      </c>
      <c r="AA61" s="178"/>
      <c r="AB61" s="236">
        <f t="shared" si="5"/>
        <v>0</v>
      </c>
      <c r="AC61" s="187" t="e">
        <f t="shared" si="19"/>
        <v>#REF!</v>
      </c>
      <c r="AE61" s="187" t="e">
        <f t="shared" si="27"/>
        <v>#REF!</v>
      </c>
      <c r="AG61" s="164">
        <v>16.749500000000001</v>
      </c>
      <c r="AI61" s="187" t="e">
        <f t="shared" si="28"/>
        <v>#REF!</v>
      </c>
      <c r="AK61" s="189" t="e">
        <f t="shared" si="29"/>
        <v>#REF!</v>
      </c>
    </row>
    <row r="62" spans="1:37" ht="20.100000000000001" customHeight="1">
      <c r="B62" s="164">
        <v>2019109</v>
      </c>
      <c r="C62" s="164" t="s">
        <v>938</v>
      </c>
      <c r="D62" s="166">
        <v>255</v>
      </c>
      <c r="E62" s="166" t="s">
        <v>514</v>
      </c>
      <c r="F62" s="164" t="s">
        <v>580</v>
      </c>
      <c r="G62" s="166" t="s">
        <v>925</v>
      </c>
      <c r="H62" s="166" t="s">
        <v>6</v>
      </c>
      <c r="J62" s="168" t="s">
        <v>7</v>
      </c>
      <c r="K62" s="221" t="e">
        <f>+'PF Adds'!#REF!</f>
        <v>#REF!</v>
      </c>
      <c r="L62" s="221" t="e">
        <f>+'PF Adds'!#REF!</f>
        <v>#REF!</v>
      </c>
      <c r="M62" s="166">
        <v>381.4</v>
      </c>
      <c r="N62" s="166">
        <v>35</v>
      </c>
      <c r="O62" s="166">
        <v>25</v>
      </c>
      <c r="Q62" s="170" t="e">
        <f t="shared" si="17"/>
        <v>#REF!</v>
      </c>
      <c r="R62" s="170" t="e">
        <f>ROUND(K62/N62,2)</f>
        <v>#REF!</v>
      </c>
      <c r="S62" s="170" t="e">
        <f>ROUND(K62/O62,2)</f>
        <v>#REF!</v>
      </c>
      <c r="U62" s="171">
        <v>0.25345000000000001</v>
      </c>
      <c r="V62" s="170" t="e">
        <f t="shared" si="18"/>
        <v>#REF!</v>
      </c>
      <c r="X62" s="164">
        <v>1410</v>
      </c>
      <c r="Y62" s="164">
        <v>599</v>
      </c>
      <c r="Z62" s="177">
        <v>214</v>
      </c>
      <c r="AA62" s="176" t="e">
        <f>K62*Z62/Y62</f>
        <v>#REF!</v>
      </c>
      <c r="AB62" s="236" t="e">
        <f t="shared" si="5"/>
        <v>#REF!</v>
      </c>
      <c r="AC62" s="187" t="e">
        <f t="shared" si="19"/>
        <v>#REF!</v>
      </c>
      <c r="AE62" s="187" t="e">
        <f t="shared" si="27"/>
        <v>#REF!</v>
      </c>
      <c r="AG62" s="164">
        <v>16.749500000000001</v>
      </c>
      <c r="AI62" s="187" t="e">
        <f t="shared" si="28"/>
        <v>#REF!</v>
      </c>
      <c r="AK62" s="189" t="e">
        <f t="shared" si="29"/>
        <v>#REF!</v>
      </c>
    </row>
    <row r="63" spans="1:37" ht="20.100000000000001" customHeight="1">
      <c r="A63" s="164">
        <v>26</v>
      </c>
      <c r="B63" s="164">
        <v>2019078</v>
      </c>
      <c r="C63" s="164" t="s">
        <v>983</v>
      </c>
      <c r="D63" s="166">
        <v>246</v>
      </c>
      <c r="E63" s="164" t="s">
        <v>514</v>
      </c>
      <c r="F63" s="164" t="s">
        <v>574</v>
      </c>
      <c r="G63" s="166" t="s">
        <v>6</v>
      </c>
      <c r="H63" s="166" t="s">
        <v>6</v>
      </c>
      <c r="I63" s="164">
        <v>122.02354</v>
      </c>
      <c r="J63" s="168" t="s">
        <v>7</v>
      </c>
      <c r="K63" s="221" t="e">
        <f>+'PF Adds'!#REF!</f>
        <v>#REF!</v>
      </c>
      <c r="L63" s="221" t="e">
        <f>+'PF Adds'!#REF!</f>
        <v>#REF!</v>
      </c>
      <c r="M63" s="166">
        <v>396</v>
      </c>
      <c r="N63" s="166">
        <v>10</v>
      </c>
      <c r="O63" s="166">
        <v>25</v>
      </c>
      <c r="Q63" s="170" t="e">
        <f t="shared" si="17"/>
        <v>#REF!</v>
      </c>
      <c r="R63" s="170" t="e">
        <f>ROUND(L63/N63,2)</f>
        <v>#REF!</v>
      </c>
      <c r="S63" s="170" t="e">
        <f>ROUND(L63/O63,2)</f>
        <v>#REF!</v>
      </c>
      <c r="U63" s="171">
        <v>0.25345000000000001</v>
      </c>
      <c r="V63" s="170" t="e">
        <f t="shared" si="18"/>
        <v>#REF!</v>
      </c>
      <c r="X63" s="164">
        <v>1485</v>
      </c>
      <c r="Y63" s="164">
        <v>1346</v>
      </c>
      <c r="Z63" s="177">
        <v>704.25</v>
      </c>
      <c r="AA63" s="178"/>
      <c r="AB63" s="236">
        <f t="shared" si="5"/>
        <v>0</v>
      </c>
      <c r="AC63" s="187" t="e">
        <f t="shared" si="19"/>
        <v>#REF!</v>
      </c>
      <c r="AF63" s="187" t="e">
        <f>+AC63</f>
        <v>#REF!</v>
      </c>
      <c r="AG63" s="164">
        <v>16.749500000000001</v>
      </c>
    </row>
    <row r="64" spans="1:37" ht="20.100000000000001" customHeight="1">
      <c r="A64" s="164">
        <v>36</v>
      </c>
      <c r="B64" s="164">
        <v>2019076</v>
      </c>
      <c r="C64" s="164" t="s">
        <v>982</v>
      </c>
      <c r="D64" s="166">
        <v>252</v>
      </c>
      <c r="E64" s="166" t="s">
        <v>514</v>
      </c>
      <c r="F64" s="164" t="s">
        <v>981</v>
      </c>
      <c r="G64" s="166" t="s">
        <v>6</v>
      </c>
      <c r="H64" s="166" t="s">
        <v>6</v>
      </c>
      <c r="I64" s="164">
        <v>93.875799999999998</v>
      </c>
      <c r="J64" s="168" t="s">
        <v>7</v>
      </c>
      <c r="K64" s="221" t="e">
        <f>+'PF Adds'!#REF!</f>
        <v>#REF!</v>
      </c>
      <c r="L64" s="221" t="e">
        <f>+'PF Adds'!#REF!</f>
        <v>#REF!</v>
      </c>
      <c r="M64" s="166">
        <v>396</v>
      </c>
      <c r="N64" s="166">
        <v>10</v>
      </c>
      <c r="O64" s="166">
        <v>25</v>
      </c>
      <c r="Q64" s="170" t="e">
        <f t="shared" si="17"/>
        <v>#REF!</v>
      </c>
      <c r="R64" s="170" t="e">
        <f>ROUND(L64/N64,2)</f>
        <v>#REF!</v>
      </c>
      <c r="S64" s="170" t="e">
        <f>ROUND(L64/O64,2)</f>
        <v>#REF!</v>
      </c>
      <c r="U64" s="171">
        <v>0.25345000000000001</v>
      </c>
      <c r="V64" s="170" t="e">
        <f t="shared" si="18"/>
        <v>#REF!</v>
      </c>
      <c r="X64" s="164">
        <v>1485</v>
      </c>
      <c r="Y64" s="164">
        <v>1346</v>
      </c>
      <c r="Z64" s="177">
        <v>704.25</v>
      </c>
      <c r="AA64" s="178"/>
      <c r="AB64" s="236">
        <f t="shared" si="5"/>
        <v>0</v>
      </c>
      <c r="AC64" s="187" t="e">
        <f t="shared" si="19"/>
        <v>#REF!</v>
      </c>
      <c r="AF64" s="187" t="e">
        <f>+AC64</f>
        <v>#REF!</v>
      </c>
      <c r="AG64" s="164">
        <v>16.749500000000001</v>
      </c>
    </row>
    <row r="65" spans="1:37" ht="20.100000000000001" customHeight="1">
      <c r="A65" s="165"/>
      <c r="C65" s="165" t="s">
        <v>1211</v>
      </c>
      <c r="K65" s="173"/>
      <c r="L65" s="173" t="e">
        <f>+'PF Adds'!#REF!+'PF Adds'!#REF!</f>
        <v>#REF!</v>
      </c>
      <c r="M65" s="235" t="s">
        <v>1216</v>
      </c>
      <c r="N65" s="166">
        <v>6</v>
      </c>
      <c r="O65" s="166">
        <v>7</v>
      </c>
      <c r="Q65" s="170" t="e">
        <f t="shared" si="17"/>
        <v>#REF!</v>
      </c>
      <c r="R65" s="170" t="e">
        <f>ROUND(L65/N65,2)</f>
        <v>#REF!</v>
      </c>
      <c r="S65" s="166" t="e">
        <f>ROUND(L65/O65,2)</f>
        <v>#REF!</v>
      </c>
      <c r="U65" s="166"/>
      <c r="V65" s="166" t="e">
        <f t="shared" si="18"/>
        <v>#REF!</v>
      </c>
      <c r="AA65" s="165">
        <v>22529</v>
      </c>
      <c r="AB65" s="236">
        <f>+AA65-14000</f>
        <v>8529</v>
      </c>
      <c r="AC65" s="187" t="e">
        <f t="shared" si="19"/>
        <v>#REF!</v>
      </c>
      <c r="AF65" s="187" t="e">
        <f>+AC65</f>
        <v>#REF!</v>
      </c>
    </row>
    <row r="66" spans="1:37" ht="20.100000000000001" customHeight="1">
      <c r="J66" s="168"/>
      <c r="K66" s="169" t="e">
        <f>SUM(K4:K65)</f>
        <v>#REF!</v>
      </c>
      <c r="L66" s="223" t="e">
        <f>SUM(L4:L65)</f>
        <v>#REF!</v>
      </c>
      <c r="N66" s="166"/>
      <c r="O66" s="166"/>
      <c r="Q66" s="223" t="e">
        <f>SUM(Q4:Q65)</f>
        <v>#REF!</v>
      </c>
      <c r="R66" s="188" t="e">
        <f>-SUM(R4:R65)</f>
        <v>#REF!</v>
      </c>
      <c r="S66" s="169" t="e">
        <f>SUM(S4:S65)</f>
        <v>#REF!</v>
      </c>
      <c r="U66" s="171"/>
      <c r="V66" s="169" t="e">
        <f>SUM(V4:V65)</f>
        <v>#REF!</v>
      </c>
      <c r="AA66" s="223" t="e">
        <f>-SUM(AA4:AA65)</f>
        <v>#REF!</v>
      </c>
      <c r="AB66" s="223" t="e">
        <f>SUM(AB4:AB65)</f>
        <v>#REF!</v>
      </c>
      <c r="AC66" s="193" t="e">
        <f>SUM(AC4:AC65)</f>
        <v>#REF!</v>
      </c>
      <c r="AD66" s="193" t="e">
        <f>SUM(AD4:AD65)</f>
        <v>#REF!</v>
      </c>
      <c r="AE66" s="179" t="e">
        <f>SUM(AE4:AE65)</f>
        <v>#REF!</v>
      </c>
      <c r="AF66" s="186" t="e">
        <f>SUM(AF4:AF65)</f>
        <v>#REF!</v>
      </c>
      <c r="AH66" s="179" t="e">
        <f>SUM(AH4:AH65)</f>
        <v>#REF!</v>
      </c>
      <c r="AI66" s="179" t="e">
        <f>SUM(AI4:AI65)</f>
        <v>#REF!</v>
      </c>
      <c r="AJ66" s="179" t="e">
        <f>SUM(AJ4:AJ65)</f>
        <v>#REF!</v>
      </c>
      <c r="AK66" s="179" t="e">
        <f>SUM(AK4:AK65)</f>
        <v>#REF!</v>
      </c>
    </row>
    <row r="68" spans="1:37">
      <c r="AD68" s="193" t="e">
        <f>+'B 3'!G345</f>
        <v>#REF!</v>
      </c>
      <c r="AE68" s="179" t="e">
        <f>+'B 3'!H345</f>
        <v>#REF!</v>
      </c>
      <c r="AH68" s="185" t="e">
        <f>+(AH66/AD66)*1000</f>
        <v>#REF!</v>
      </c>
      <c r="AI68" s="185" t="e">
        <f>+(AI66/AE66)*1000</f>
        <v>#REF!</v>
      </c>
    </row>
    <row r="69" spans="1:37">
      <c r="AH69" s="164" t="e">
        <f>+AH68*0.96</f>
        <v>#REF!</v>
      </c>
      <c r="AI69" s="164" t="e">
        <f>+AI68*0.96</f>
        <v>#REF!</v>
      </c>
    </row>
    <row r="70" spans="1:37">
      <c r="AA70" s="164"/>
      <c r="AD70" s="194" t="e">
        <f>+AD66-AD68</f>
        <v>#REF!</v>
      </c>
      <c r="AE70" s="170" t="e">
        <f>+AE66-AE68</f>
        <v>#REF!</v>
      </c>
    </row>
    <row r="78" spans="1:37" ht="20.100000000000001" customHeight="1">
      <c r="A78" s="222">
        <v>35</v>
      </c>
      <c r="B78" s="222">
        <v>2018116</v>
      </c>
      <c r="C78" s="222" t="s">
        <v>924</v>
      </c>
      <c r="D78" s="224">
        <v>241</v>
      </c>
      <c r="E78" s="224" t="s">
        <v>513</v>
      </c>
      <c r="F78" s="222" t="s">
        <v>926</v>
      </c>
      <c r="G78" s="224" t="s">
        <v>6</v>
      </c>
      <c r="H78" s="224"/>
      <c r="I78" s="222">
        <v>95</v>
      </c>
      <c r="J78" s="228" t="s">
        <v>7</v>
      </c>
      <c r="K78" s="229">
        <v>95000</v>
      </c>
      <c r="L78" s="229">
        <v>95000</v>
      </c>
      <c r="M78" s="224">
        <v>360.2</v>
      </c>
      <c r="N78" s="224">
        <v>45</v>
      </c>
      <c r="O78" s="224">
        <v>25</v>
      </c>
      <c r="P78" s="222"/>
      <c r="Q78" s="229">
        <f>+R78</f>
        <v>2111.11</v>
      </c>
      <c r="R78" s="229">
        <f>ROUND(L78/N78,2)</f>
        <v>2111.11</v>
      </c>
      <c r="S78" s="229">
        <f>ROUND(L78/O78,2)</f>
        <v>3800</v>
      </c>
      <c r="T78" s="222"/>
      <c r="U78" s="231">
        <f>ROUND(0.055+(0.945*0.21),6)</f>
        <v>0.25345000000000001</v>
      </c>
      <c r="V78" s="229">
        <f>+S78-R78</f>
        <v>1688.8899999999999</v>
      </c>
      <c r="W78" s="222"/>
      <c r="X78" s="222">
        <v>1350</v>
      </c>
      <c r="Y78" s="222">
        <v>762</v>
      </c>
      <c r="Z78" s="232">
        <v>150</v>
      </c>
      <c r="AA78" s="233"/>
      <c r="AB78" s="233">
        <f>ROUND(AA78/N78,2)</f>
        <v>0</v>
      </c>
      <c r="AC78" s="234">
        <f>+L78-Q78-AA78+AB78</f>
        <v>92888.89</v>
      </c>
      <c r="AE78" s="187">
        <f>+AC78</f>
        <v>92888.89</v>
      </c>
      <c r="AG78" s="164">
        <v>15.7219</v>
      </c>
      <c r="AI78" s="187">
        <f>+$AG78*AE78/1000</f>
        <v>1460.3898396910001</v>
      </c>
      <c r="AK78" s="189">
        <f>+AI78*0.96</f>
        <v>1401.97424610336</v>
      </c>
    </row>
  </sheetData>
  <mergeCells count="1">
    <mergeCell ref="AG2:A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ransitionEntry="1" codeName="Sheet11">
    <tabColor rgb="FFFF0000"/>
    <pageSetUpPr fitToPage="1"/>
  </sheetPr>
  <dimension ref="A1:H55"/>
  <sheetViews>
    <sheetView topLeftCell="A7" workbookViewId="0"/>
  </sheetViews>
  <sheetFormatPr defaultColWidth="10.7109375" defaultRowHeight="12"/>
  <cols>
    <col min="1" max="1" width="3.7109375" style="243" customWidth="1"/>
    <col min="2" max="2" width="40.7109375" style="243" customWidth="1"/>
    <col min="3" max="6" width="13.28515625" style="243" customWidth="1"/>
    <col min="7" max="16384" width="10.7109375" style="243"/>
  </cols>
  <sheetData>
    <row r="1" spans="1:8">
      <c r="A1" s="250" t="s">
        <v>259</v>
      </c>
      <c r="B1" s="250"/>
      <c r="D1" s="269"/>
      <c r="E1" s="269"/>
      <c r="F1" s="412" t="s">
        <v>84</v>
      </c>
    </row>
    <row r="2" spans="1:8">
      <c r="A2" s="250"/>
      <c r="B2" s="250"/>
      <c r="D2" s="269"/>
      <c r="E2" s="269"/>
      <c r="F2" s="412"/>
    </row>
    <row r="3" spans="1:8">
      <c r="A3" s="250" t="s">
        <v>565</v>
      </c>
      <c r="B3" s="250"/>
      <c r="D3" s="269"/>
      <c r="E3" s="269"/>
      <c r="F3" s="413" t="s">
        <v>260</v>
      </c>
    </row>
    <row r="4" spans="1:8">
      <c r="A4" s="250" t="s">
        <v>705</v>
      </c>
      <c r="B4" s="250"/>
      <c r="D4" s="269"/>
      <c r="E4" s="269"/>
      <c r="F4" s="412" t="s">
        <v>150</v>
      </c>
    </row>
    <row r="5" spans="1:8">
      <c r="A5" s="250" t="s">
        <v>566</v>
      </c>
      <c r="B5" s="250"/>
      <c r="D5" s="250"/>
      <c r="E5" s="250"/>
      <c r="F5" s="412" t="s">
        <v>558</v>
      </c>
    </row>
    <row r="6" spans="1:8">
      <c r="A6" s="250"/>
      <c r="B6" s="250"/>
      <c r="C6" s="250"/>
      <c r="D6" s="250"/>
      <c r="E6" s="250"/>
      <c r="F6" s="250"/>
    </row>
    <row r="7" spans="1:8">
      <c r="A7" s="997" t="s">
        <v>456</v>
      </c>
      <c r="B7" s="998"/>
      <c r="C7" s="998"/>
      <c r="D7" s="359"/>
      <c r="E7" s="359"/>
    </row>
    <row r="8" spans="1:8" ht="12.75" thickBot="1">
      <c r="A8" s="998"/>
      <c r="B8" s="998"/>
      <c r="C8" s="998"/>
      <c r="D8" s="359"/>
      <c r="E8" s="359"/>
    </row>
    <row r="9" spans="1:8" ht="24.75" thickBot="1">
      <c r="A9" s="261"/>
      <c r="B9" s="261"/>
      <c r="C9" s="414" t="s">
        <v>438</v>
      </c>
      <c r="D9" s="414" t="s">
        <v>571</v>
      </c>
      <c r="E9" s="415" t="s">
        <v>1035</v>
      </c>
      <c r="F9" s="414" t="s">
        <v>777</v>
      </c>
    </row>
    <row r="10" spans="1:8">
      <c r="A10" s="250"/>
      <c r="B10" s="254" t="s">
        <v>202</v>
      </c>
      <c r="C10" s="315">
        <v>-2</v>
      </c>
      <c r="D10" s="316">
        <v>-3</v>
      </c>
      <c r="E10" s="315">
        <v>-4</v>
      </c>
      <c r="F10" s="316">
        <v>-5</v>
      </c>
      <c r="G10" s="316"/>
      <c r="H10" s="316"/>
    </row>
    <row r="11" spans="1:8">
      <c r="A11" s="254" t="s">
        <v>289</v>
      </c>
      <c r="B11" s="250"/>
      <c r="C11" s="254" t="s">
        <v>95</v>
      </c>
      <c r="D11" s="254" t="s">
        <v>95</v>
      </c>
      <c r="E11" s="254" t="s">
        <v>95</v>
      </c>
      <c r="F11" s="254" t="s">
        <v>95</v>
      </c>
    </row>
    <row r="12" spans="1:8" ht="12.75" thickBot="1">
      <c r="A12" s="298" t="s">
        <v>351</v>
      </c>
      <c r="B12" s="297" t="s">
        <v>352</v>
      </c>
      <c r="C12" s="297" t="s">
        <v>430</v>
      </c>
      <c r="D12" s="297" t="s">
        <v>430</v>
      </c>
      <c r="E12" s="297" t="s">
        <v>430</v>
      </c>
      <c r="F12" s="297" t="s">
        <v>430</v>
      </c>
    </row>
    <row r="13" spans="1:8">
      <c r="A13" s="256"/>
      <c r="C13" s="265"/>
      <c r="D13" s="265"/>
      <c r="E13" s="265"/>
      <c r="F13" s="265"/>
    </row>
    <row r="14" spans="1:8">
      <c r="A14" s="256">
        <v>1</v>
      </c>
      <c r="B14" s="250" t="s">
        <v>262</v>
      </c>
      <c r="C14" s="416" t="s">
        <v>256</v>
      </c>
      <c r="D14" s="416" t="s">
        <v>256</v>
      </c>
      <c r="E14" s="416" t="s">
        <v>256</v>
      </c>
      <c r="F14" s="416" t="s">
        <v>256</v>
      </c>
    </row>
    <row r="15" spans="1:8">
      <c r="A15" s="256">
        <f>A14+1</f>
        <v>2</v>
      </c>
      <c r="B15" s="250"/>
      <c r="C15" s="416"/>
      <c r="D15" s="416"/>
      <c r="E15" s="416"/>
      <c r="F15" s="416"/>
    </row>
    <row r="16" spans="1:8">
      <c r="A16" s="256">
        <f t="shared" ref="A16:A51" si="0">A15+1</f>
        <v>3</v>
      </c>
      <c r="B16" s="250" t="s">
        <v>263</v>
      </c>
      <c r="C16" s="305"/>
      <c r="E16" s="407"/>
      <c r="F16" s="407"/>
    </row>
    <row r="17" spans="1:6">
      <c r="A17" s="256">
        <f t="shared" si="0"/>
        <v>4</v>
      </c>
      <c r="B17" s="250"/>
      <c r="C17" s="305"/>
      <c r="E17" s="281"/>
      <c r="F17" s="281"/>
    </row>
    <row r="18" spans="1:6">
      <c r="A18" s="256">
        <f t="shared" si="0"/>
        <v>5</v>
      </c>
      <c r="B18" s="250" t="s">
        <v>264</v>
      </c>
      <c r="C18" s="305"/>
      <c r="E18" s="281"/>
      <c r="F18" s="281"/>
    </row>
    <row r="19" spans="1:6">
      <c r="A19" s="256">
        <f t="shared" si="0"/>
        <v>6</v>
      </c>
      <c r="B19" s="250"/>
      <c r="C19" s="305"/>
      <c r="E19" s="281"/>
      <c r="F19" s="281"/>
    </row>
    <row r="20" spans="1:6">
      <c r="A20" s="256">
        <f t="shared" si="0"/>
        <v>7</v>
      </c>
      <c r="B20" s="246" t="s">
        <v>255</v>
      </c>
      <c r="C20" s="305"/>
      <c r="E20" s="305"/>
      <c r="F20" s="305"/>
    </row>
    <row r="21" spans="1:6">
      <c r="A21" s="256">
        <f t="shared" si="0"/>
        <v>8</v>
      </c>
      <c r="B21" s="246"/>
      <c r="C21" s="281"/>
      <c r="E21" s="281"/>
      <c r="F21" s="281"/>
    </row>
    <row r="22" spans="1:6">
      <c r="A22" s="256">
        <f t="shared" si="0"/>
        <v>9</v>
      </c>
      <c r="B22" s="246" t="s">
        <v>211</v>
      </c>
      <c r="C22" s="281"/>
      <c r="E22" s="281"/>
      <c r="F22" s="281"/>
    </row>
    <row r="23" spans="1:6" ht="14.25">
      <c r="A23" s="256">
        <f t="shared" si="0"/>
        <v>10</v>
      </c>
      <c r="B23" s="246"/>
      <c r="C23" s="417"/>
      <c r="E23" s="417"/>
      <c r="F23" s="417"/>
    </row>
    <row r="24" spans="1:6">
      <c r="A24" s="256">
        <f t="shared" si="0"/>
        <v>11</v>
      </c>
      <c r="B24" s="246" t="s">
        <v>432</v>
      </c>
      <c r="C24" s="281"/>
      <c r="E24" s="287"/>
      <c r="F24" s="287"/>
    </row>
    <row r="25" spans="1:6" ht="14.25">
      <c r="A25" s="256">
        <f t="shared" si="0"/>
        <v>12</v>
      </c>
      <c r="B25" s="246"/>
      <c r="C25" s="418"/>
      <c r="D25" s="419"/>
      <c r="E25" s="419"/>
      <c r="F25" s="419"/>
    </row>
    <row r="26" spans="1:6">
      <c r="A26" s="256">
        <f t="shared" si="0"/>
        <v>13</v>
      </c>
      <c r="B26" s="246" t="s">
        <v>376</v>
      </c>
      <c r="C26" s="281"/>
      <c r="D26" s="287"/>
      <c r="E26" s="287"/>
      <c r="F26" s="287"/>
    </row>
    <row r="27" spans="1:6">
      <c r="A27" s="256">
        <f t="shared" si="0"/>
        <v>14</v>
      </c>
      <c r="B27" s="250"/>
      <c r="C27" s="281"/>
      <c r="D27" s="287"/>
      <c r="E27" s="287"/>
      <c r="F27" s="287"/>
    </row>
    <row r="28" spans="1:6">
      <c r="A28" s="256">
        <f t="shared" si="0"/>
        <v>15</v>
      </c>
      <c r="B28" s="250" t="s">
        <v>265</v>
      </c>
      <c r="C28" s="281"/>
      <c r="D28" s="287"/>
      <c r="E28" s="287"/>
      <c r="F28" s="287"/>
    </row>
    <row r="29" spans="1:6">
      <c r="A29" s="256">
        <f t="shared" si="0"/>
        <v>16</v>
      </c>
      <c r="B29" s="250"/>
      <c r="C29" s="407"/>
      <c r="D29" s="407"/>
      <c r="E29" s="407"/>
      <c r="F29" s="407"/>
    </row>
    <row r="30" spans="1:6" ht="12.75" thickBot="1">
      <c r="A30" s="256">
        <f t="shared" si="0"/>
        <v>17</v>
      </c>
      <c r="B30" s="250" t="s">
        <v>266</v>
      </c>
      <c r="C30" s="420" t="s">
        <v>256</v>
      </c>
      <c r="D30" s="420" t="s">
        <v>256</v>
      </c>
      <c r="E30" s="420" t="s">
        <v>256</v>
      </c>
      <c r="F30" s="420" t="s">
        <v>256</v>
      </c>
    </row>
    <row r="31" spans="1:6" ht="12.75" thickTop="1">
      <c r="A31" s="256">
        <f t="shared" si="0"/>
        <v>18</v>
      </c>
      <c r="B31" s="250"/>
      <c r="C31" s="281"/>
      <c r="D31" s="281"/>
      <c r="E31" s="281"/>
      <c r="F31" s="281"/>
    </row>
    <row r="32" spans="1:6">
      <c r="A32" s="256">
        <f t="shared" si="0"/>
        <v>19</v>
      </c>
      <c r="B32" s="250"/>
      <c r="C32" s="281"/>
      <c r="D32" s="281"/>
      <c r="E32" s="281"/>
      <c r="F32" s="281"/>
    </row>
    <row r="33" spans="1:6">
      <c r="A33" s="256">
        <f t="shared" si="0"/>
        <v>20</v>
      </c>
      <c r="B33" s="250"/>
      <c r="C33" s="281"/>
      <c r="D33" s="281"/>
      <c r="E33" s="281"/>
      <c r="F33" s="281"/>
    </row>
    <row r="34" spans="1:6">
      <c r="A34" s="256">
        <f t="shared" si="0"/>
        <v>21</v>
      </c>
      <c r="B34" s="250"/>
      <c r="C34" s="281"/>
      <c r="D34" s="281"/>
      <c r="E34" s="281"/>
      <c r="F34" s="281"/>
    </row>
    <row r="35" spans="1:6">
      <c r="A35" s="256">
        <f t="shared" si="0"/>
        <v>22</v>
      </c>
      <c r="B35" s="250" t="s">
        <v>267</v>
      </c>
      <c r="C35" s="416"/>
      <c r="D35" s="416"/>
      <c r="E35" s="416"/>
      <c r="F35" s="416"/>
    </row>
    <row r="36" spans="1:6">
      <c r="A36" s="256">
        <f t="shared" si="0"/>
        <v>23</v>
      </c>
      <c r="B36" s="250"/>
      <c r="C36" s="281"/>
      <c r="D36" s="281"/>
      <c r="E36" s="281"/>
      <c r="F36" s="281"/>
    </row>
    <row r="37" spans="1:6">
      <c r="A37" s="256">
        <f t="shared" si="0"/>
        <v>24</v>
      </c>
      <c r="B37" s="250" t="s">
        <v>263</v>
      </c>
      <c r="C37" s="305">
        <f>SUM(D37:F37)</f>
        <v>3381495</v>
      </c>
      <c r="D37" s="407">
        <v>2276645</v>
      </c>
      <c r="E37" s="407">
        <v>26073</v>
      </c>
      <c r="F37" s="407">
        <v>1078777</v>
      </c>
    </row>
    <row r="38" spans="1:6">
      <c r="A38" s="256">
        <f t="shared" si="0"/>
        <v>25</v>
      </c>
      <c r="B38" s="250"/>
      <c r="C38" s="305"/>
      <c r="D38" s="281"/>
      <c r="E38" s="281"/>
      <c r="F38" s="281"/>
    </row>
    <row r="39" spans="1:6">
      <c r="A39" s="256">
        <f t="shared" si="0"/>
        <v>26</v>
      </c>
      <c r="B39" s="250" t="s">
        <v>264</v>
      </c>
      <c r="C39" s="305">
        <f>SUM(D39:F39)</f>
        <v>7621</v>
      </c>
      <c r="D39" s="281">
        <v>5448</v>
      </c>
      <c r="E39" s="281">
        <v>2173</v>
      </c>
      <c r="F39" s="281">
        <v>0</v>
      </c>
    </row>
    <row r="40" spans="1:6">
      <c r="A40" s="256">
        <f t="shared" si="0"/>
        <v>27</v>
      </c>
      <c r="B40" s="250"/>
      <c r="C40" s="305"/>
      <c r="D40" s="281"/>
      <c r="E40" s="281"/>
      <c r="F40" s="281"/>
    </row>
    <row r="41" spans="1:6">
      <c r="A41" s="256">
        <f t="shared" si="0"/>
        <v>28</v>
      </c>
      <c r="B41" s="246" t="s">
        <v>255</v>
      </c>
      <c r="C41" s="305">
        <f>SUM(D41:F41)</f>
        <v>-1275440</v>
      </c>
      <c r="D41" s="305">
        <v>-906034</v>
      </c>
      <c r="E41" s="305">
        <v>-18414</v>
      </c>
      <c r="F41" s="305">
        <v>-350992</v>
      </c>
    </row>
    <row r="42" spans="1:6">
      <c r="A42" s="256">
        <f t="shared" si="0"/>
        <v>29</v>
      </c>
      <c r="B42" s="246"/>
      <c r="C42" s="305"/>
      <c r="D42" s="281"/>
      <c r="E42" s="281"/>
      <c r="F42" s="281"/>
    </row>
    <row r="43" spans="1:6">
      <c r="A43" s="256">
        <f t="shared" si="0"/>
        <v>30</v>
      </c>
      <c r="B43" s="246" t="s">
        <v>211</v>
      </c>
      <c r="C43" s="305">
        <f>SUM(D43:F43)</f>
        <v>-1611180</v>
      </c>
      <c r="D43" s="281">
        <v>-958741</v>
      </c>
      <c r="E43" s="281">
        <v>-1552</v>
      </c>
      <c r="F43" s="281">
        <v>-650887</v>
      </c>
    </row>
    <row r="44" spans="1:6" ht="14.25">
      <c r="A44" s="256">
        <f t="shared" si="0"/>
        <v>31</v>
      </c>
      <c r="B44" s="246"/>
      <c r="C44" s="421"/>
      <c r="D44" s="417"/>
      <c r="E44" s="417"/>
      <c r="F44" s="417"/>
    </row>
    <row r="45" spans="1:6">
      <c r="A45" s="256">
        <f t="shared" si="0"/>
        <v>32</v>
      </c>
      <c r="B45" s="246" t="s">
        <v>432</v>
      </c>
      <c r="C45" s="305">
        <f>SUM(D45:F45)</f>
        <v>426432</v>
      </c>
      <c r="D45" s="287">
        <v>331876</v>
      </c>
      <c r="E45" s="287">
        <v>538</v>
      </c>
      <c r="F45" s="287">
        <v>94018</v>
      </c>
    </row>
    <row r="46" spans="1:6" ht="14.25">
      <c r="A46" s="256">
        <f t="shared" si="0"/>
        <v>33</v>
      </c>
      <c r="B46" s="246"/>
      <c r="C46" s="422"/>
      <c r="D46" s="287"/>
      <c r="E46" s="287"/>
      <c r="F46" s="287"/>
    </row>
    <row r="47" spans="1:6">
      <c r="A47" s="256">
        <f t="shared" si="0"/>
        <v>34</v>
      </c>
      <c r="B47" s="246" t="s">
        <v>376</v>
      </c>
      <c r="C47" s="305"/>
      <c r="D47" s="287"/>
      <c r="E47" s="287"/>
      <c r="F47" s="287"/>
    </row>
    <row r="48" spans="1:6">
      <c r="A48" s="256">
        <f t="shared" si="0"/>
        <v>35</v>
      </c>
      <c r="B48" s="250"/>
      <c r="C48" s="305"/>
      <c r="D48" s="287"/>
      <c r="E48" s="287"/>
      <c r="F48" s="287"/>
    </row>
    <row r="49" spans="1:6">
      <c r="A49" s="256">
        <f t="shared" si="0"/>
        <v>36</v>
      </c>
      <c r="B49" s="250" t="s">
        <v>265</v>
      </c>
      <c r="C49" s="305"/>
      <c r="D49" s="287"/>
      <c r="E49" s="287"/>
      <c r="F49" s="287"/>
    </row>
    <row r="50" spans="1:6">
      <c r="A50" s="256">
        <f t="shared" si="0"/>
        <v>37</v>
      </c>
      <c r="B50" s="250"/>
      <c r="C50" s="244"/>
      <c r="D50" s="287"/>
      <c r="E50" s="287"/>
      <c r="F50" s="287"/>
    </row>
    <row r="51" spans="1:6" ht="12.75" thickBot="1">
      <c r="A51" s="256">
        <f t="shared" si="0"/>
        <v>38</v>
      </c>
      <c r="B51" s="250" t="s">
        <v>266</v>
      </c>
      <c r="C51" s="420">
        <f>SUM(C37:C50)</f>
        <v>928928</v>
      </c>
      <c r="D51" s="420">
        <f>SUM(D37:D50)</f>
        <v>749194</v>
      </c>
      <c r="E51" s="420">
        <f>SUM(E37:E50)</f>
        <v>8818</v>
      </c>
      <c r="F51" s="420">
        <f>SUM(F37:F50)</f>
        <v>170916</v>
      </c>
    </row>
    <row r="52" spans="1:6" ht="12.75" thickTop="1">
      <c r="A52" s="256"/>
      <c r="B52" s="250"/>
      <c r="C52" s="287"/>
      <c r="D52" s="287"/>
      <c r="E52" s="287"/>
      <c r="F52" s="287"/>
    </row>
    <row r="53" spans="1:6">
      <c r="A53" s="256"/>
      <c r="B53" s="250" t="s">
        <v>508</v>
      </c>
    </row>
    <row r="54" spans="1:6">
      <c r="A54" s="256"/>
      <c r="B54" s="250" t="s">
        <v>286</v>
      </c>
    </row>
    <row r="55" spans="1:6">
      <c r="A55" s="250"/>
      <c r="B55" s="250"/>
    </row>
  </sheetData>
  <mergeCells count="1">
    <mergeCell ref="A7:C8"/>
  </mergeCells>
  <phoneticPr fontId="41" type="noConversion"/>
  <printOptions horizontalCentered="1"/>
  <pageMargins left="0.5" right="0.25" top="0.5" bottom="0.25" header="0.05" footer="0.05"/>
  <pageSetup orientation="portrait" r:id="rId1"/>
  <colBreaks count="1" manualBreakCount="1">
    <brk id="4" max="5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05">
    <tabColor rgb="FFFF0000"/>
    <pageSetUpPr fitToPage="1"/>
  </sheetPr>
  <dimension ref="A1:L65"/>
  <sheetViews>
    <sheetView workbookViewId="0"/>
  </sheetViews>
  <sheetFormatPr defaultColWidth="10.7109375" defaultRowHeight="12"/>
  <cols>
    <col min="1" max="1" width="4.28515625" style="243" customWidth="1"/>
    <col min="2" max="2" width="36.28515625" style="243" bestFit="1" customWidth="1"/>
    <col min="3" max="3" width="11.7109375" style="243" customWidth="1"/>
    <col min="4" max="4" width="11.7109375" style="244" customWidth="1"/>
    <col min="5" max="7" width="11.7109375" style="243" customWidth="1"/>
    <col min="8" max="16384" width="10.7109375" style="243"/>
  </cols>
  <sheetData>
    <row r="1" spans="1:7" ht="11.1" customHeight="1">
      <c r="A1" s="250" t="s">
        <v>100</v>
      </c>
      <c r="B1" s="250"/>
      <c r="D1" s="388"/>
      <c r="G1" s="259" t="s">
        <v>84</v>
      </c>
    </row>
    <row r="2" spans="1:7" ht="11.1" customHeight="1">
      <c r="A2" s="250" t="s">
        <v>114</v>
      </c>
      <c r="B2" s="250"/>
      <c r="D2" s="388"/>
      <c r="G2" s="259"/>
    </row>
    <row r="3" spans="1:7" ht="11.1" customHeight="1">
      <c r="A3" s="250"/>
      <c r="B3" s="53"/>
      <c r="D3" s="389"/>
      <c r="G3" s="313" t="s">
        <v>101</v>
      </c>
    </row>
    <row r="4" spans="1:7" ht="12.75" customHeight="1">
      <c r="A4" s="250" t="s">
        <v>565</v>
      </c>
      <c r="B4" s="53"/>
      <c r="C4" s="997" t="s">
        <v>99</v>
      </c>
      <c r="D4" s="997"/>
      <c r="G4" s="259" t="s">
        <v>156</v>
      </c>
    </row>
    <row r="5" spans="1:7" ht="11.1" customHeight="1">
      <c r="A5" s="250" t="s">
        <v>705</v>
      </c>
      <c r="B5" s="53"/>
      <c r="C5" s="997"/>
      <c r="D5" s="997"/>
      <c r="G5" s="259" t="s">
        <v>558</v>
      </c>
    </row>
    <row r="6" spans="1:7" ht="11.1" customHeight="1">
      <c r="A6" s="250" t="s">
        <v>566</v>
      </c>
      <c r="B6" s="250"/>
      <c r="C6" s="997"/>
      <c r="D6" s="997"/>
      <c r="G6" s="259"/>
    </row>
    <row r="7" spans="1:7" ht="11.1" customHeight="1">
      <c r="A7" s="282" t="s">
        <v>248</v>
      </c>
      <c r="B7" s="53"/>
      <c r="C7" s="284"/>
      <c r="D7" s="253"/>
      <c r="G7" s="259" t="s">
        <v>173</v>
      </c>
    </row>
    <row r="8" spans="1:7" ht="11.1" customHeight="1" thickBot="1">
      <c r="A8" s="261"/>
      <c r="B8" s="261"/>
      <c r="C8" s="261"/>
      <c r="D8" s="390"/>
      <c r="E8" s="261"/>
      <c r="F8" s="261"/>
      <c r="G8" s="261"/>
    </row>
    <row r="9" spans="1:7" ht="10.5" customHeight="1">
      <c r="A9" s="250"/>
      <c r="B9" s="258" t="s">
        <v>202</v>
      </c>
      <c r="C9" s="360">
        <v>-2</v>
      </c>
      <c r="D9" s="391" t="s">
        <v>204</v>
      </c>
      <c r="E9" s="294">
        <v>-4</v>
      </c>
      <c r="F9" s="294">
        <v>-5</v>
      </c>
      <c r="G9" s="294">
        <v>-6</v>
      </c>
    </row>
    <row r="10" spans="1:7" ht="14.25">
      <c r="A10" s="254" t="s">
        <v>289</v>
      </c>
      <c r="B10" s="258"/>
      <c r="C10" s="254" t="s">
        <v>434</v>
      </c>
      <c r="D10" s="369"/>
      <c r="E10" s="254" t="s">
        <v>296</v>
      </c>
      <c r="F10" s="258" t="s">
        <v>93</v>
      </c>
      <c r="G10" s="254" t="s">
        <v>93</v>
      </c>
    </row>
    <row r="11" spans="1:7" ht="12.75" thickBot="1">
      <c r="A11" s="298" t="s">
        <v>351</v>
      </c>
      <c r="B11" s="298" t="s">
        <v>94</v>
      </c>
      <c r="C11" s="297" t="s">
        <v>136</v>
      </c>
      <c r="D11" s="372" t="s">
        <v>354</v>
      </c>
      <c r="E11" s="392" t="s">
        <v>95</v>
      </c>
      <c r="F11" s="298" t="s">
        <v>96</v>
      </c>
      <c r="G11" s="297" t="s">
        <v>97</v>
      </c>
    </row>
    <row r="12" spans="1:7" ht="11.1" customHeight="1">
      <c r="A12" s="361">
        <v>1</v>
      </c>
      <c r="B12" s="250" t="s">
        <v>98</v>
      </c>
      <c r="C12" s="281"/>
      <c r="D12" s="305"/>
      <c r="E12" s="281"/>
      <c r="F12" s="393"/>
      <c r="G12" s="281"/>
    </row>
    <row r="13" spans="1:7" ht="11.1" customHeight="1">
      <c r="A13" s="361">
        <f t="shared" ref="A13:A64" si="0">A12+1</f>
        <v>2</v>
      </c>
      <c r="B13" s="243" t="s">
        <v>129</v>
      </c>
      <c r="C13" s="281">
        <v>468996</v>
      </c>
      <c r="D13" s="305"/>
      <c r="E13" s="281">
        <f>SUM(C13:D13)</f>
        <v>468996</v>
      </c>
      <c r="F13" s="393"/>
      <c r="G13" s="394" t="str">
        <f t="shared" ref="G13:G57" si="1">IF(F13=0,"",ROUND(E13*F13,0))</f>
        <v/>
      </c>
    </row>
    <row r="14" spans="1:7" ht="11.1" customHeight="1">
      <c r="A14" s="361">
        <f t="shared" si="0"/>
        <v>3</v>
      </c>
      <c r="B14" s="243" t="s">
        <v>130</v>
      </c>
      <c r="C14" s="281">
        <v>84969</v>
      </c>
      <c r="D14" s="305"/>
      <c r="E14" s="281">
        <f>SUM(C14:D14)</f>
        <v>84969</v>
      </c>
      <c r="F14" s="393"/>
      <c r="G14" s="394" t="str">
        <f t="shared" si="1"/>
        <v/>
      </c>
    </row>
    <row r="15" spans="1:7" ht="11.1" customHeight="1">
      <c r="A15" s="361">
        <f t="shared" si="0"/>
        <v>4</v>
      </c>
      <c r="B15" s="243" t="s">
        <v>131</v>
      </c>
      <c r="C15" s="281">
        <v>7725</v>
      </c>
      <c r="D15" s="305"/>
      <c r="E15" s="281">
        <f>SUM(C15:D15)</f>
        <v>7725</v>
      </c>
      <c r="F15" s="393"/>
      <c r="G15" s="394" t="str">
        <f t="shared" si="1"/>
        <v/>
      </c>
    </row>
    <row r="16" spans="1:7" ht="11.1" customHeight="1">
      <c r="A16" s="361">
        <f t="shared" si="0"/>
        <v>5</v>
      </c>
      <c r="B16" s="250" t="s">
        <v>132</v>
      </c>
      <c r="C16" s="281"/>
      <c r="D16" s="305"/>
      <c r="E16" s="281"/>
      <c r="F16" s="393"/>
      <c r="G16" s="394" t="str">
        <f t="shared" si="1"/>
        <v/>
      </c>
    </row>
    <row r="17" spans="1:7" ht="11.1" customHeight="1">
      <c r="A17" s="361">
        <f t="shared" si="0"/>
        <v>6</v>
      </c>
      <c r="B17" s="243" t="s">
        <v>133</v>
      </c>
      <c r="C17" s="281">
        <v>0</v>
      </c>
      <c r="D17" s="305"/>
      <c r="E17" s="281">
        <f t="shared" ref="E17:E26" si="2">SUM(C17:D17)</f>
        <v>0</v>
      </c>
      <c r="F17" s="393"/>
      <c r="G17" s="394" t="str">
        <f t="shared" si="1"/>
        <v/>
      </c>
    </row>
    <row r="18" spans="1:7" ht="11.1" customHeight="1">
      <c r="A18" s="361">
        <f t="shared" si="0"/>
        <v>7</v>
      </c>
      <c r="B18" s="243" t="s">
        <v>134</v>
      </c>
      <c r="C18" s="281">
        <v>716485</v>
      </c>
      <c r="D18" s="305">
        <f>'A 3'!E103</f>
        <v>583.75520833333337</v>
      </c>
      <c r="E18" s="281">
        <f t="shared" si="2"/>
        <v>717068.75520833337</v>
      </c>
      <c r="F18" s="393"/>
      <c r="G18" s="394" t="str">
        <f t="shared" si="1"/>
        <v/>
      </c>
    </row>
    <row r="19" spans="1:7" ht="11.1" customHeight="1">
      <c r="A19" s="361">
        <f t="shared" si="0"/>
        <v>8</v>
      </c>
      <c r="B19" s="243" t="s">
        <v>135</v>
      </c>
      <c r="C19" s="281">
        <v>0</v>
      </c>
      <c r="D19" s="305"/>
      <c r="E19" s="281">
        <f t="shared" si="2"/>
        <v>0</v>
      </c>
      <c r="F19" s="393"/>
      <c r="G19" s="394" t="str">
        <f t="shared" si="1"/>
        <v/>
      </c>
    </row>
    <row r="20" spans="1:7" ht="11.1" customHeight="1">
      <c r="A20" s="361">
        <f t="shared" si="0"/>
        <v>9</v>
      </c>
      <c r="B20" s="243" t="s">
        <v>377</v>
      </c>
      <c r="C20" s="281">
        <v>0</v>
      </c>
      <c r="D20" s="305"/>
      <c r="E20" s="281">
        <f t="shared" si="2"/>
        <v>0</v>
      </c>
      <c r="F20" s="393"/>
      <c r="G20" s="394" t="str">
        <f t="shared" si="1"/>
        <v/>
      </c>
    </row>
    <row r="21" spans="1:7" ht="11.1" customHeight="1">
      <c r="A21" s="361">
        <f t="shared" si="0"/>
        <v>10</v>
      </c>
      <c r="B21" s="243" t="s">
        <v>378</v>
      </c>
      <c r="C21" s="281">
        <v>2636937</v>
      </c>
      <c r="D21" s="305" t="e">
        <f>'A 3'!E104+'A 3'!E177+'A 3'!E197</f>
        <v>#REF!</v>
      </c>
      <c r="E21" s="281" t="e">
        <f t="shared" si="2"/>
        <v>#REF!</v>
      </c>
      <c r="F21" s="393"/>
      <c r="G21" s="394" t="str">
        <f t="shared" si="1"/>
        <v/>
      </c>
    </row>
    <row r="22" spans="1:7" ht="11.1" customHeight="1">
      <c r="A22" s="361">
        <f t="shared" si="0"/>
        <v>11</v>
      </c>
      <c r="B22" s="243" t="s">
        <v>379</v>
      </c>
      <c r="C22" s="281">
        <v>40035</v>
      </c>
      <c r="D22" s="305"/>
      <c r="E22" s="281">
        <f t="shared" si="2"/>
        <v>40035</v>
      </c>
      <c r="F22" s="393"/>
      <c r="G22" s="394" t="str">
        <f t="shared" si="1"/>
        <v/>
      </c>
    </row>
    <row r="23" spans="1:7" ht="11.1" customHeight="1">
      <c r="A23" s="361">
        <f t="shared" si="0"/>
        <v>12</v>
      </c>
      <c r="B23" s="243" t="s">
        <v>380</v>
      </c>
      <c r="C23" s="281">
        <v>395519</v>
      </c>
      <c r="D23" s="305" t="e">
        <f>'A 3'!E105+'A 3'!E178</f>
        <v>#REF!</v>
      </c>
      <c r="E23" s="281" t="e">
        <f t="shared" si="2"/>
        <v>#REF!</v>
      </c>
      <c r="F23" s="393"/>
      <c r="G23" s="394" t="str">
        <f t="shared" si="1"/>
        <v/>
      </c>
    </row>
    <row r="24" spans="1:7" ht="11.1" customHeight="1">
      <c r="A24" s="361">
        <f t="shared" si="0"/>
        <v>13</v>
      </c>
      <c r="B24" s="243" t="s">
        <v>381</v>
      </c>
      <c r="C24" s="281">
        <v>283610</v>
      </c>
      <c r="D24" s="305" t="e">
        <f>'A 3'!E106+'A 3'!E179+'A 3'!E198</f>
        <v>#REF!</v>
      </c>
      <c r="E24" s="281" t="e">
        <f t="shared" si="2"/>
        <v>#REF!</v>
      </c>
      <c r="F24" s="393"/>
      <c r="G24" s="394" t="str">
        <f t="shared" si="1"/>
        <v/>
      </c>
    </row>
    <row r="25" spans="1:7" ht="11.1" customHeight="1">
      <c r="A25" s="361">
        <f t="shared" si="0"/>
        <v>14</v>
      </c>
      <c r="B25" s="243" t="s">
        <v>382</v>
      </c>
      <c r="C25" s="281">
        <v>17704</v>
      </c>
      <c r="D25" s="305">
        <f>'A 3'!E107</f>
        <v>1463.0916666666667</v>
      </c>
      <c r="E25" s="281">
        <f t="shared" si="2"/>
        <v>19167.091666666667</v>
      </c>
      <c r="F25" s="393"/>
      <c r="G25" s="394" t="str">
        <f t="shared" si="1"/>
        <v/>
      </c>
    </row>
    <row r="26" spans="1:7" ht="11.1" customHeight="1">
      <c r="A26" s="361">
        <f t="shared" si="0"/>
        <v>15</v>
      </c>
      <c r="B26" s="243" t="s">
        <v>383</v>
      </c>
      <c r="C26" s="281">
        <v>11957</v>
      </c>
      <c r="D26" s="305"/>
      <c r="E26" s="281">
        <f t="shared" si="2"/>
        <v>11957</v>
      </c>
      <c r="F26" s="393"/>
      <c r="G26" s="394" t="str">
        <f t="shared" si="1"/>
        <v/>
      </c>
    </row>
    <row r="27" spans="1:7" ht="11.1" customHeight="1">
      <c r="A27" s="361">
        <f t="shared" si="0"/>
        <v>16</v>
      </c>
      <c r="B27" s="250" t="s">
        <v>384</v>
      </c>
      <c r="C27" s="281"/>
      <c r="D27" s="305"/>
      <c r="E27" s="281"/>
      <c r="F27" s="393"/>
      <c r="G27" s="394" t="str">
        <f t="shared" si="1"/>
        <v/>
      </c>
    </row>
    <row r="28" spans="1:7" ht="11.1" customHeight="1">
      <c r="A28" s="361">
        <f t="shared" si="0"/>
        <v>17</v>
      </c>
      <c r="B28" s="243" t="s">
        <v>385</v>
      </c>
      <c r="C28" s="281">
        <v>0</v>
      </c>
      <c r="D28" s="305"/>
      <c r="E28" s="281">
        <f t="shared" ref="E28:E33" si="3">SUM(C28:D28)</f>
        <v>0</v>
      </c>
      <c r="F28" s="393"/>
      <c r="G28" s="394" t="str">
        <f t="shared" si="1"/>
        <v/>
      </c>
    </row>
    <row r="29" spans="1:7" ht="11.1" customHeight="1">
      <c r="A29" s="361">
        <f t="shared" si="0"/>
        <v>18</v>
      </c>
      <c r="B29" s="243" t="s">
        <v>386</v>
      </c>
      <c r="C29" s="281">
        <v>2757885</v>
      </c>
      <c r="D29" s="305">
        <f>'A 3'!E108</f>
        <v>33520.572916666664</v>
      </c>
      <c r="E29" s="281">
        <f t="shared" si="3"/>
        <v>2791405.5729166665</v>
      </c>
      <c r="F29" s="393"/>
      <c r="G29" s="394" t="str">
        <f t="shared" si="1"/>
        <v/>
      </c>
    </row>
    <row r="30" spans="1:7" ht="11.1" customHeight="1">
      <c r="A30" s="361">
        <f t="shared" si="0"/>
        <v>19</v>
      </c>
      <c r="B30" s="243" t="s">
        <v>30</v>
      </c>
      <c r="C30" s="281">
        <v>0</v>
      </c>
      <c r="D30" s="305">
        <f>'A 3'!E109</f>
        <v>4505.208333333333</v>
      </c>
      <c r="E30" s="281">
        <f t="shared" si="3"/>
        <v>4505.208333333333</v>
      </c>
      <c r="F30" s="393"/>
      <c r="G30" s="394" t="str">
        <f t="shared" si="1"/>
        <v/>
      </c>
    </row>
    <row r="31" spans="1:7" ht="11.1" customHeight="1">
      <c r="A31" s="361">
        <f t="shared" si="0"/>
        <v>20</v>
      </c>
      <c r="B31" s="243" t="s">
        <v>31</v>
      </c>
      <c r="C31" s="281">
        <v>4102821</v>
      </c>
      <c r="D31" s="305"/>
      <c r="E31" s="281">
        <f t="shared" si="3"/>
        <v>4102821</v>
      </c>
      <c r="F31" s="393"/>
      <c r="G31" s="394" t="str">
        <f t="shared" si="1"/>
        <v/>
      </c>
    </row>
    <row r="32" spans="1:7" ht="11.1" customHeight="1">
      <c r="A32" s="361">
        <f t="shared" si="0"/>
        <v>21</v>
      </c>
      <c r="B32" s="243" t="s">
        <v>387</v>
      </c>
      <c r="C32" s="281">
        <v>3832651</v>
      </c>
      <c r="D32" s="305" t="e">
        <f>'A 3'!E110+'A 3'!E180+'A 3'!E199</f>
        <v>#REF!</v>
      </c>
      <c r="E32" s="281" t="e">
        <f t="shared" si="3"/>
        <v>#REF!</v>
      </c>
      <c r="F32" s="393"/>
      <c r="G32" s="394" t="str">
        <f t="shared" si="1"/>
        <v/>
      </c>
    </row>
    <row r="33" spans="1:7" ht="11.1" customHeight="1">
      <c r="A33" s="361">
        <f t="shared" si="0"/>
        <v>22</v>
      </c>
      <c r="B33" s="243" t="s">
        <v>388</v>
      </c>
      <c r="C33" s="281">
        <v>5724</v>
      </c>
      <c r="D33" s="305"/>
      <c r="E33" s="281">
        <f t="shared" si="3"/>
        <v>5724</v>
      </c>
      <c r="F33" s="393"/>
      <c r="G33" s="394" t="str">
        <f t="shared" si="1"/>
        <v/>
      </c>
    </row>
    <row r="34" spans="1:7" ht="11.1" customHeight="1">
      <c r="A34" s="361">
        <f t="shared" si="0"/>
        <v>23</v>
      </c>
      <c r="B34" s="250" t="s">
        <v>389</v>
      </c>
      <c r="C34" s="281"/>
      <c r="D34" s="305"/>
      <c r="E34" s="281"/>
      <c r="F34" s="393"/>
      <c r="G34" s="394" t="str">
        <f t="shared" si="1"/>
        <v/>
      </c>
    </row>
    <row r="35" spans="1:7" ht="11.1" customHeight="1">
      <c r="A35" s="361">
        <f t="shared" si="0"/>
        <v>24</v>
      </c>
      <c r="B35" s="243" t="s">
        <v>390</v>
      </c>
      <c r="C35" s="281">
        <v>0</v>
      </c>
      <c r="D35" s="305"/>
      <c r="E35" s="281">
        <f t="shared" ref="E35:E44" si="4">SUM(C35:D35)</f>
        <v>0</v>
      </c>
      <c r="F35" s="393"/>
      <c r="G35" s="394" t="str">
        <f t="shared" si="1"/>
        <v/>
      </c>
    </row>
    <row r="36" spans="1:7" ht="11.1" customHeight="1">
      <c r="A36" s="361">
        <f t="shared" si="0"/>
        <v>25</v>
      </c>
      <c r="B36" s="243" t="s">
        <v>391</v>
      </c>
      <c r="C36" s="281">
        <v>692</v>
      </c>
      <c r="D36" s="305">
        <f>'A 3'!E111</f>
        <v>29.505208333333332</v>
      </c>
      <c r="E36" s="281">
        <f t="shared" si="4"/>
        <v>721.50520833333337</v>
      </c>
      <c r="F36" s="393"/>
      <c r="G36" s="394" t="str">
        <f t="shared" si="1"/>
        <v/>
      </c>
    </row>
    <row r="37" spans="1:7" ht="11.1" customHeight="1">
      <c r="A37" s="361">
        <f t="shared" si="0"/>
        <v>26</v>
      </c>
      <c r="B37" s="243" t="s">
        <v>61</v>
      </c>
      <c r="C37" s="281">
        <v>98666</v>
      </c>
      <c r="D37" s="305"/>
      <c r="E37" s="281">
        <f t="shared" si="4"/>
        <v>98666</v>
      </c>
      <c r="F37" s="393"/>
      <c r="G37" s="394" t="str">
        <f>IF(F37=0,"",ROUND(E37*F37,0))</f>
        <v/>
      </c>
    </row>
    <row r="38" spans="1:7" ht="11.1" customHeight="1">
      <c r="A38" s="361">
        <f t="shared" si="0"/>
        <v>27</v>
      </c>
      <c r="B38" s="243" t="s">
        <v>392</v>
      </c>
      <c r="C38" s="281">
        <v>2178588</v>
      </c>
      <c r="D38" s="305" t="e">
        <f>'A 3'!E112+'A 3'!E181+'A 3'!E200</f>
        <v>#REF!</v>
      </c>
      <c r="E38" s="281" t="e">
        <f t="shared" si="4"/>
        <v>#REF!</v>
      </c>
      <c r="F38" s="393"/>
      <c r="G38" s="394" t="str">
        <f t="shared" si="1"/>
        <v/>
      </c>
    </row>
    <row r="39" spans="1:7" ht="11.1" customHeight="1">
      <c r="A39" s="361">
        <f t="shared" si="0"/>
        <v>28</v>
      </c>
      <c r="B39" s="243" t="s">
        <v>393</v>
      </c>
      <c r="C39" s="281">
        <v>13925943</v>
      </c>
      <c r="D39" s="305" t="e">
        <f>'A 3'!E113+'A 3'!E182+'A 3'!E201</f>
        <v>#REF!</v>
      </c>
      <c r="E39" s="281" t="e">
        <f t="shared" si="4"/>
        <v>#REF!</v>
      </c>
      <c r="F39" s="393"/>
      <c r="G39" s="394" t="str">
        <f t="shared" si="1"/>
        <v/>
      </c>
    </row>
    <row r="40" spans="1:7" ht="11.1" customHeight="1">
      <c r="A40" s="361">
        <f t="shared" si="0"/>
        <v>29</v>
      </c>
      <c r="B40" s="243" t="s">
        <v>394</v>
      </c>
      <c r="C40" s="281">
        <v>2643959</v>
      </c>
      <c r="D40" s="305">
        <f>'A 3'!E114</f>
        <v>8632.1124999999993</v>
      </c>
      <c r="E40" s="281">
        <f t="shared" si="4"/>
        <v>2652591.1124999998</v>
      </c>
      <c r="F40" s="393"/>
      <c r="G40" s="394" t="str">
        <f t="shared" si="1"/>
        <v/>
      </c>
    </row>
    <row r="41" spans="1:7" ht="11.1" customHeight="1">
      <c r="A41" s="361">
        <f t="shared" si="0"/>
        <v>30</v>
      </c>
      <c r="B41" s="243" t="s">
        <v>395</v>
      </c>
      <c r="C41" s="281">
        <v>4083492</v>
      </c>
      <c r="D41" s="305">
        <f>'A 3'!E115</f>
        <v>10690.399999999998</v>
      </c>
      <c r="E41" s="281">
        <f t="shared" si="4"/>
        <v>4094182.4</v>
      </c>
      <c r="F41" s="393"/>
      <c r="G41" s="394" t="str">
        <f t="shared" si="1"/>
        <v/>
      </c>
    </row>
    <row r="42" spans="1:7" ht="11.1" customHeight="1">
      <c r="A42" s="361">
        <f t="shared" si="0"/>
        <v>31</v>
      </c>
      <c r="B42" s="243" t="s">
        <v>396</v>
      </c>
      <c r="C42" s="281">
        <v>928254</v>
      </c>
      <c r="D42" s="305">
        <f>'A 3'!E116</f>
        <v>2327.9259259259261</v>
      </c>
      <c r="E42" s="281">
        <f t="shared" si="4"/>
        <v>930581.92592592596</v>
      </c>
      <c r="F42" s="393"/>
      <c r="G42" s="394" t="str">
        <f t="shared" si="1"/>
        <v/>
      </c>
    </row>
    <row r="43" spans="1:7" ht="11.1" customHeight="1">
      <c r="A43" s="361">
        <f t="shared" si="0"/>
        <v>32</v>
      </c>
      <c r="B43" s="362" t="s">
        <v>11</v>
      </c>
      <c r="C43" s="281">
        <v>44157</v>
      </c>
      <c r="D43" s="305">
        <f>'A 3'!E117</f>
        <v>3634.0555555555561</v>
      </c>
      <c r="E43" s="281">
        <f t="shared" si="4"/>
        <v>47791.055555555555</v>
      </c>
      <c r="F43" s="393"/>
      <c r="G43" s="394" t="str">
        <f t="shared" si="1"/>
        <v/>
      </c>
    </row>
    <row r="44" spans="1:7" ht="11.1" customHeight="1">
      <c r="A44" s="361">
        <f t="shared" si="0"/>
        <v>33</v>
      </c>
      <c r="B44" s="243" t="s">
        <v>397</v>
      </c>
      <c r="C44" s="281">
        <v>8622</v>
      </c>
      <c r="D44" s="305"/>
      <c r="E44" s="281">
        <f t="shared" si="4"/>
        <v>8622</v>
      </c>
      <c r="F44" s="393"/>
      <c r="G44" s="394" t="str">
        <f t="shared" si="1"/>
        <v/>
      </c>
    </row>
    <row r="45" spans="1:7" ht="11.1" customHeight="1">
      <c r="A45" s="361">
        <f t="shared" si="0"/>
        <v>34</v>
      </c>
      <c r="B45" s="250" t="s">
        <v>298</v>
      </c>
      <c r="C45" s="281"/>
      <c r="D45" s="305"/>
      <c r="E45" s="281"/>
      <c r="F45" s="393"/>
      <c r="G45" s="394" t="str">
        <f t="shared" si="1"/>
        <v/>
      </c>
    </row>
    <row r="46" spans="1:7" ht="11.1" customHeight="1">
      <c r="A46" s="361">
        <f t="shared" si="0"/>
        <v>35</v>
      </c>
      <c r="B46" s="243" t="s">
        <v>398</v>
      </c>
      <c r="C46" s="281">
        <v>0</v>
      </c>
      <c r="D46" s="305"/>
      <c r="E46" s="281">
        <f t="shared" ref="E46:E58" si="5">SUM(C46:D46)</f>
        <v>0</v>
      </c>
      <c r="F46" s="393"/>
      <c r="G46" s="394" t="str">
        <f t="shared" si="1"/>
        <v/>
      </c>
    </row>
    <row r="47" spans="1:7" ht="11.1" customHeight="1">
      <c r="A47" s="361">
        <f t="shared" si="0"/>
        <v>36</v>
      </c>
      <c r="B47" s="362" t="s">
        <v>528</v>
      </c>
      <c r="C47" s="281">
        <v>849577</v>
      </c>
      <c r="D47" s="305">
        <f>'A 3'!E118</f>
        <v>20365.065104166668</v>
      </c>
      <c r="E47" s="281">
        <f t="shared" si="5"/>
        <v>869942.06510416663</v>
      </c>
      <c r="F47" s="393"/>
      <c r="G47" s="394"/>
    </row>
    <row r="48" spans="1:7" ht="11.1" customHeight="1">
      <c r="A48" s="361">
        <f t="shared" si="0"/>
        <v>37</v>
      </c>
      <c r="B48" s="362" t="s">
        <v>527</v>
      </c>
      <c r="C48" s="281">
        <v>434712</v>
      </c>
      <c r="D48" s="305"/>
      <c r="E48" s="281">
        <f t="shared" si="5"/>
        <v>434712</v>
      </c>
      <c r="F48" s="393"/>
      <c r="G48" s="394" t="str">
        <f t="shared" si="1"/>
        <v/>
      </c>
    </row>
    <row r="49" spans="1:12" ht="11.1" customHeight="1">
      <c r="A49" s="361">
        <f t="shared" si="0"/>
        <v>38</v>
      </c>
      <c r="B49" s="243" t="s">
        <v>399</v>
      </c>
      <c r="C49" s="281">
        <v>7632770</v>
      </c>
      <c r="D49" s="305">
        <f>'A 3'!E89+'A 3'!E119</f>
        <v>-3517792.8384633334</v>
      </c>
      <c r="E49" s="281">
        <f t="shared" si="5"/>
        <v>4114977.1615366666</v>
      </c>
      <c r="F49" s="393"/>
      <c r="G49" s="394" t="str">
        <f t="shared" si="1"/>
        <v/>
      </c>
    </row>
    <row r="50" spans="1:12" ht="11.1" customHeight="1">
      <c r="A50" s="361">
        <f t="shared" si="0"/>
        <v>39</v>
      </c>
      <c r="B50" s="243" t="s">
        <v>400</v>
      </c>
      <c r="C50" s="281">
        <v>2667628</v>
      </c>
      <c r="D50" s="305" t="e">
        <f>'A 3'!E90+'A 3'!E120+'A 3'!E183+'A 3'!E202</f>
        <v>#REF!</v>
      </c>
      <c r="E50" s="281" t="e">
        <f t="shared" si="5"/>
        <v>#REF!</v>
      </c>
      <c r="F50" s="393"/>
      <c r="G50" s="394" t="str">
        <f t="shared" si="1"/>
        <v/>
      </c>
    </row>
    <row r="51" spans="1:12" ht="11.1" customHeight="1">
      <c r="A51" s="361">
        <f t="shared" si="0"/>
        <v>40</v>
      </c>
      <c r="B51" s="243" t="s">
        <v>401</v>
      </c>
      <c r="C51" s="281">
        <v>-1323</v>
      </c>
      <c r="D51" s="305"/>
      <c r="E51" s="281">
        <f t="shared" si="5"/>
        <v>-1323</v>
      </c>
      <c r="F51" s="393"/>
      <c r="G51" s="394" t="str">
        <f t="shared" si="1"/>
        <v/>
      </c>
    </row>
    <row r="52" spans="1:12" ht="11.1" customHeight="1">
      <c r="A52" s="361">
        <f t="shared" si="0"/>
        <v>41</v>
      </c>
      <c r="B52" s="243" t="s">
        <v>402</v>
      </c>
      <c r="C52" s="281">
        <v>851424</v>
      </c>
      <c r="D52" s="305">
        <f>'A 3'!E121</f>
        <v>339.71354166666663</v>
      </c>
      <c r="E52" s="281">
        <f t="shared" si="5"/>
        <v>851763.71354166663</v>
      </c>
      <c r="F52" s="393"/>
      <c r="G52" s="394" t="str">
        <f t="shared" si="1"/>
        <v/>
      </c>
    </row>
    <row r="53" spans="1:12" ht="11.1" customHeight="1">
      <c r="A53" s="361">
        <f t="shared" si="0"/>
        <v>42</v>
      </c>
      <c r="B53" s="243" t="s">
        <v>403</v>
      </c>
      <c r="C53" s="281">
        <v>46134</v>
      </c>
      <c r="D53" s="305">
        <f>'A 3'!E122</f>
        <v>108.47222222222223</v>
      </c>
      <c r="E53" s="281">
        <f t="shared" si="5"/>
        <v>46242.472222222219</v>
      </c>
      <c r="F53" s="393"/>
      <c r="G53" s="394" t="str">
        <f t="shared" si="1"/>
        <v/>
      </c>
    </row>
    <row r="54" spans="1:12" ht="11.1" customHeight="1">
      <c r="A54" s="361">
        <f t="shared" si="0"/>
        <v>43</v>
      </c>
      <c r="B54" s="243" t="s">
        <v>109</v>
      </c>
      <c r="C54" s="281">
        <v>-27802</v>
      </c>
      <c r="D54" s="305">
        <f>'A 3'!E123</f>
        <v>1511.2638888888885</v>
      </c>
      <c r="E54" s="281">
        <f t="shared" si="5"/>
        <v>-26290.736111111113</v>
      </c>
      <c r="F54" s="393"/>
      <c r="G54" s="394" t="str">
        <f t="shared" si="1"/>
        <v/>
      </c>
    </row>
    <row r="55" spans="1:12" ht="11.1" customHeight="1">
      <c r="A55" s="361">
        <f t="shared" si="0"/>
        <v>44</v>
      </c>
      <c r="B55" s="243" t="s">
        <v>110</v>
      </c>
      <c r="C55" s="281">
        <v>166020</v>
      </c>
      <c r="D55" s="305">
        <f>'A 3'!E124</f>
        <v>235.89166666666671</v>
      </c>
      <c r="E55" s="281">
        <f t="shared" si="5"/>
        <v>166255.89166666666</v>
      </c>
      <c r="F55" s="395"/>
      <c r="G55" s="394" t="str">
        <f t="shared" si="1"/>
        <v/>
      </c>
    </row>
    <row r="56" spans="1:12" ht="11.1" customHeight="1">
      <c r="A56" s="361">
        <f t="shared" si="0"/>
        <v>45</v>
      </c>
      <c r="B56" s="243" t="s">
        <v>111</v>
      </c>
      <c r="C56" s="281">
        <v>15637</v>
      </c>
      <c r="D56" s="305"/>
      <c r="E56" s="281">
        <f t="shared" si="5"/>
        <v>15637</v>
      </c>
      <c r="F56" s="395"/>
      <c r="G56" s="394" t="str">
        <f t="shared" si="1"/>
        <v/>
      </c>
    </row>
    <row r="57" spans="1:12" ht="11.1" customHeight="1">
      <c r="A57" s="361">
        <f t="shared" si="0"/>
        <v>46</v>
      </c>
      <c r="B57" s="243" t="s">
        <v>112</v>
      </c>
      <c r="C57" s="281">
        <v>-512384</v>
      </c>
      <c r="D57" s="305"/>
      <c r="E57" s="281">
        <f t="shared" si="5"/>
        <v>-512384</v>
      </c>
      <c r="F57" s="395"/>
      <c r="G57" s="394" t="str">
        <f t="shared" si="1"/>
        <v/>
      </c>
    </row>
    <row r="58" spans="1:12" ht="11.1" customHeight="1">
      <c r="A58" s="361">
        <f t="shared" si="0"/>
        <v>47</v>
      </c>
      <c r="C58" s="394"/>
      <c r="D58" s="301"/>
      <c r="E58" s="281">
        <f t="shared" si="5"/>
        <v>0</v>
      </c>
      <c r="F58" s="395"/>
      <c r="G58" s="394"/>
    </row>
    <row r="59" spans="1:12" ht="11.1" customHeight="1" thickBot="1">
      <c r="A59" s="361">
        <f t="shared" si="0"/>
        <v>48</v>
      </c>
      <c r="B59" s="260" t="s">
        <v>433</v>
      </c>
      <c r="C59" s="396">
        <f>SUM(C13:C58)</f>
        <v>51397784</v>
      </c>
      <c r="D59" s="397" t="e">
        <f>SUM(D13:D58)</f>
        <v>#REF!</v>
      </c>
      <c r="E59" s="396" t="e">
        <f>SUM(E13:E58)</f>
        <v>#REF!</v>
      </c>
      <c r="F59" s="398" t="s">
        <v>256</v>
      </c>
      <c r="G59" s="399" t="s">
        <v>256</v>
      </c>
      <c r="H59" s="335" t="e">
        <f>SUM(D59:D59)</f>
        <v>#REF!</v>
      </c>
      <c r="I59" s="335" t="e">
        <f>SUM(D59:D59)</f>
        <v>#REF!</v>
      </c>
    </row>
    <row r="60" spans="1:12" s="252" customFormat="1" ht="12.75" thickTop="1">
      <c r="A60" s="361">
        <f t="shared" si="0"/>
        <v>49</v>
      </c>
      <c r="B60" s="364" t="s">
        <v>652</v>
      </c>
      <c r="C60" s="349"/>
      <c r="D60" s="349"/>
      <c r="E60" s="349"/>
      <c r="F60" s="349"/>
      <c r="G60" s="349"/>
      <c r="H60" s="349"/>
      <c r="I60" s="337"/>
      <c r="J60" s="349"/>
      <c r="K60" s="349"/>
      <c r="L60" s="349"/>
    </row>
    <row r="61" spans="1:12" s="252" customFormat="1">
      <c r="A61" s="361">
        <f t="shared" si="0"/>
        <v>50</v>
      </c>
      <c r="B61" s="400" t="s">
        <v>399</v>
      </c>
      <c r="C61" s="401">
        <v>-3549897</v>
      </c>
      <c r="D61" s="401"/>
      <c r="E61" s="401">
        <f>C61+D61</f>
        <v>-3549897</v>
      </c>
      <c r="F61" s="349"/>
      <c r="G61" s="349"/>
      <c r="H61" s="349"/>
      <c r="I61" s="337"/>
      <c r="J61" s="349"/>
      <c r="K61" s="349"/>
      <c r="L61" s="349"/>
    </row>
    <row r="62" spans="1:12" s="252" customFormat="1">
      <c r="A62" s="361">
        <f>A60+1</f>
        <v>50</v>
      </c>
      <c r="B62" s="400" t="s">
        <v>400</v>
      </c>
      <c r="C62" s="401">
        <v>-1275896</v>
      </c>
      <c r="D62" s="401"/>
      <c r="E62" s="401">
        <f>C62+D62</f>
        <v>-1275896</v>
      </c>
      <c r="F62" s="349"/>
      <c r="G62" s="349"/>
      <c r="H62" s="349"/>
      <c r="I62" s="337"/>
      <c r="J62" s="349"/>
      <c r="K62" s="349"/>
      <c r="L62" s="349"/>
    </row>
    <row r="63" spans="1:12" s="252" customFormat="1">
      <c r="A63" s="361">
        <f>A61+1</f>
        <v>51</v>
      </c>
      <c r="B63" s="400" t="s">
        <v>112</v>
      </c>
      <c r="C63" s="401">
        <v>0</v>
      </c>
      <c r="D63" s="401"/>
      <c r="E63" s="401">
        <f>C63+D63</f>
        <v>0</v>
      </c>
      <c r="F63" s="349"/>
      <c r="G63" s="349"/>
      <c r="H63" s="349"/>
      <c r="I63" s="337"/>
      <c r="J63" s="349"/>
      <c r="K63" s="349"/>
      <c r="L63" s="349"/>
    </row>
    <row r="64" spans="1:12" s="252" customFormat="1" ht="12.75" thickBot="1">
      <c r="A64" s="361">
        <f t="shared" si="0"/>
        <v>52</v>
      </c>
      <c r="B64" s="402" t="s">
        <v>653</v>
      </c>
      <c r="C64" s="403">
        <f>SUM(C61:C63)</f>
        <v>-4825793</v>
      </c>
      <c r="D64" s="403">
        <f>SUM(D61:D63)</f>
        <v>0</v>
      </c>
      <c r="E64" s="403">
        <f>SUM(E61:E63)</f>
        <v>-4825793</v>
      </c>
      <c r="F64" s="349"/>
      <c r="G64" s="349"/>
      <c r="H64" s="349"/>
      <c r="I64" s="337"/>
      <c r="J64" s="349"/>
      <c r="K64" s="349"/>
      <c r="L64" s="349"/>
    </row>
    <row r="65" spans="1:12" s="252" customFormat="1" ht="12.75" thickTop="1">
      <c r="A65" s="404"/>
      <c r="B65" s="243"/>
      <c r="C65" s="243"/>
      <c r="D65" s="244"/>
      <c r="E65" s="243"/>
      <c r="F65" s="349"/>
      <c r="G65" s="349"/>
      <c r="H65" s="349"/>
      <c r="I65" s="337"/>
      <c r="J65" s="349"/>
      <c r="K65" s="349"/>
      <c r="L65" s="349"/>
    </row>
  </sheetData>
  <mergeCells count="1">
    <mergeCell ref="C4:D6"/>
  </mergeCells>
  <phoneticPr fontId="41" type="noConversion"/>
  <printOptions horizontalCentered="1"/>
  <pageMargins left="0.5" right="0.25" top="0.5" bottom="0.25" header="0.05" footer="0.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84"/>
  <sheetViews>
    <sheetView topLeftCell="A97" workbookViewId="0">
      <selection activeCell="K39" sqref="K39"/>
    </sheetView>
  </sheetViews>
  <sheetFormatPr defaultColWidth="10.7109375" defaultRowHeight="12.75"/>
  <cols>
    <col min="1" max="1" width="6.7109375" style="575" customWidth="1"/>
    <col min="2" max="2" width="29.7109375" style="575" customWidth="1"/>
    <col min="3" max="3" width="5.7109375" style="611" hidden="1" customWidth="1"/>
    <col min="4" max="6" width="14.7109375" style="575" customWidth="1"/>
    <col min="7" max="7" width="12" style="575" customWidth="1"/>
    <col min="8" max="8" width="10.7109375" style="575" customWidth="1"/>
    <col min="9" max="9" width="10.7109375" style="576" customWidth="1"/>
    <col min="10" max="16384" width="10.7109375" style="576"/>
  </cols>
  <sheetData>
    <row r="1" spans="1:7">
      <c r="A1" s="571"/>
      <c r="B1" s="571"/>
      <c r="C1" s="572"/>
      <c r="D1" s="573" t="s">
        <v>630</v>
      </c>
      <c r="E1" s="574"/>
    </row>
    <row r="2" spans="1:7">
      <c r="A2" s="577" t="s">
        <v>644</v>
      </c>
      <c r="B2" s="572"/>
      <c r="C2" s="572"/>
      <c r="D2" s="578"/>
    </row>
    <row r="3" spans="1:7">
      <c r="A3" s="577" t="s">
        <v>631</v>
      </c>
      <c r="B3" s="571"/>
      <c r="C3" s="572"/>
      <c r="D3" s="579"/>
    </row>
    <row r="4" spans="1:7" ht="15">
      <c r="A4" s="580"/>
      <c r="B4" s="581"/>
      <c r="C4" s="581"/>
      <c r="D4" s="582" t="s">
        <v>632</v>
      </c>
      <c r="E4" s="583" t="s">
        <v>251</v>
      </c>
      <c r="F4" s="583" t="s">
        <v>252</v>
      </c>
    </row>
    <row r="5" spans="1:7">
      <c r="A5" s="584"/>
      <c r="B5" s="585" t="s">
        <v>633</v>
      </c>
      <c r="C5" s="572"/>
    </row>
    <row r="6" spans="1:7">
      <c r="A6" s="584"/>
      <c r="B6" s="571" t="s">
        <v>340</v>
      </c>
      <c r="C6" s="572" t="s">
        <v>634</v>
      </c>
      <c r="D6" s="586">
        <v>73576</v>
      </c>
      <c r="E6" s="587">
        <f>$D6*E$23</f>
        <v>32412.461919501075</v>
      </c>
      <c r="F6" s="587">
        <f>$D6*F$23</f>
        <v>41163.538080498925</v>
      </c>
      <c r="G6" s="588">
        <f>E6+F6-D6</f>
        <v>0</v>
      </c>
    </row>
    <row r="7" spans="1:7">
      <c r="A7" s="584"/>
      <c r="B7" s="571" t="s">
        <v>645</v>
      </c>
      <c r="C7" s="572" t="s">
        <v>634</v>
      </c>
      <c r="D7" s="586">
        <v>4340540</v>
      </c>
      <c r="E7" s="587">
        <f>$D7*E$23</f>
        <v>1912139.6577698053</v>
      </c>
      <c r="F7" s="587">
        <f>$D7*F$23</f>
        <v>2428400.3422301947</v>
      </c>
      <c r="G7" s="588">
        <f>E7+F7-D7</f>
        <v>0</v>
      </c>
    </row>
    <row r="8" spans="1:7">
      <c r="A8" s="584"/>
      <c r="B8" s="246" t="s">
        <v>886</v>
      </c>
      <c r="C8" s="572" t="s">
        <v>635</v>
      </c>
      <c r="D8" s="589">
        <v>30175504</v>
      </c>
      <c r="E8" s="590">
        <f>$D8*E$26</f>
        <v>13121324.123224409</v>
      </c>
      <c r="F8" s="590">
        <f>$D8*F$26</f>
        <v>17054179.876775593</v>
      </c>
      <c r="G8" s="588"/>
    </row>
    <row r="9" spans="1:7">
      <c r="A9" s="584"/>
      <c r="B9" s="571" t="s">
        <v>448</v>
      </c>
      <c r="C9" s="572" t="s">
        <v>635</v>
      </c>
      <c r="D9" s="586">
        <v>103329</v>
      </c>
      <c r="E9" s="587">
        <f>$D9*E$26</f>
        <v>44930.92477688707</v>
      </c>
      <c r="F9" s="587">
        <f>$D9*F$26</f>
        <v>58398.075223112937</v>
      </c>
      <c r="G9" s="588">
        <f>E9+F9-D9</f>
        <v>0</v>
      </c>
    </row>
    <row r="10" spans="1:7">
      <c r="A10" s="584"/>
      <c r="B10" s="571" t="s">
        <v>636</v>
      </c>
      <c r="C10" s="572" t="s">
        <v>637</v>
      </c>
      <c r="D10" s="586">
        <v>19853</v>
      </c>
      <c r="E10" s="587">
        <f>$D10*E$29</f>
        <v>10351.531101409535</v>
      </c>
      <c r="F10" s="587">
        <f>$D10*F$29</f>
        <v>9501.468898590465</v>
      </c>
      <c r="G10" s="588">
        <f>E10+F10-D10</f>
        <v>0</v>
      </c>
    </row>
    <row r="11" spans="1:7">
      <c r="A11" s="584"/>
      <c r="B11" s="571" t="s">
        <v>888</v>
      </c>
      <c r="C11" s="572" t="s">
        <v>637</v>
      </c>
      <c r="D11" s="589"/>
      <c r="E11" s="590"/>
      <c r="F11" s="590"/>
      <c r="G11" s="588"/>
    </row>
    <row r="12" spans="1:7">
      <c r="A12" s="584"/>
      <c r="B12" s="571" t="s">
        <v>243</v>
      </c>
      <c r="C12" s="572" t="s">
        <v>637</v>
      </c>
      <c r="D12" s="586">
        <v>1777926</v>
      </c>
      <c r="E12" s="587">
        <f>$D12*E$29</f>
        <v>927026.45872183796</v>
      </c>
      <c r="F12" s="587">
        <f>$D12*F$29</f>
        <v>850899.54127816204</v>
      </c>
      <c r="G12" s="588"/>
    </row>
    <row r="13" spans="1:7">
      <c r="A13" s="584"/>
      <c r="B13" s="571"/>
      <c r="C13" s="572"/>
      <c r="D13" s="586"/>
      <c r="E13" s="587"/>
      <c r="F13" s="587"/>
    </row>
    <row r="14" spans="1:7">
      <c r="A14" s="584"/>
      <c r="B14" s="585" t="s">
        <v>638</v>
      </c>
      <c r="C14" s="572"/>
      <c r="D14" s="586"/>
      <c r="E14" s="587"/>
      <c r="F14" s="587"/>
      <c r="G14" s="588"/>
    </row>
    <row r="15" spans="1:7">
      <c r="A15" s="584"/>
      <c r="B15" s="571" t="s">
        <v>4</v>
      </c>
      <c r="C15" s="572" t="s">
        <v>637</v>
      </c>
      <c r="D15" s="586">
        <v>-1391342</v>
      </c>
      <c r="E15" s="587">
        <f>$D15*E$29</f>
        <v>-725458.11644070654</v>
      </c>
      <c r="F15" s="587">
        <f>$D15*F$29</f>
        <v>-665883.88355929346</v>
      </c>
      <c r="G15" s="588">
        <f>E15+F15-D15</f>
        <v>0</v>
      </c>
    </row>
    <row r="16" spans="1:7">
      <c r="A16" s="584"/>
      <c r="B16" s="571" t="s">
        <v>5</v>
      </c>
      <c r="C16" s="572" t="s">
        <v>637</v>
      </c>
      <c r="D16" s="586">
        <v>-782441</v>
      </c>
      <c r="E16" s="587">
        <f>$D16*E$29</f>
        <v>-407971.70938991476</v>
      </c>
      <c r="F16" s="587">
        <f>$D16*F$29</f>
        <v>-374469.29061008524</v>
      </c>
      <c r="G16" s="588">
        <f>E16+F16-D16</f>
        <v>0</v>
      </c>
    </row>
    <row r="17" spans="1:7">
      <c r="A17" s="584"/>
      <c r="B17" s="269" t="s">
        <v>887</v>
      </c>
      <c r="C17" s="572" t="s">
        <v>635</v>
      </c>
      <c r="D17" s="591">
        <v>-16730645</v>
      </c>
      <c r="E17" s="590">
        <f>$D17*E$26</f>
        <v>-7275047.1984031759</v>
      </c>
      <c r="F17" s="590">
        <f>$D17*F$26</f>
        <v>-9455597.8015968241</v>
      </c>
      <c r="G17" s="588"/>
    </row>
    <row r="18" spans="1:7">
      <c r="A18" s="584"/>
      <c r="B18" s="571" t="s">
        <v>415</v>
      </c>
      <c r="C18" s="572" t="s">
        <v>637</v>
      </c>
      <c r="D18" s="586">
        <v>-78919</v>
      </c>
      <c r="E18" s="587">
        <f>$D18*E$29</f>
        <v>-41149.069812730522</v>
      </c>
      <c r="F18" s="587">
        <f>$D18*F$29</f>
        <v>-37769.930187269478</v>
      </c>
      <c r="G18" s="588">
        <f>E18+F18-D18</f>
        <v>0</v>
      </c>
    </row>
    <row r="19" spans="1:7">
      <c r="A19" s="584"/>
      <c r="B19" s="571" t="s">
        <v>639</v>
      </c>
      <c r="C19" s="572" t="s">
        <v>637</v>
      </c>
      <c r="D19" s="592">
        <v>-14325</v>
      </c>
      <c r="E19" s="587">
        <f>$D19*E$29</f>
        <v>-7469.1826438166318</v>
      </c>
      <c r="F19" s="587">
        <f>$D19*F$29</f>
        <v>-6855.8173561833682</v>
      </c>
      <c r="G19" s="588">
        <f>E19+F19-D19</f>
        <v>0</v>
      </c>
    </row>
    <row r="20" spans="1:7">
      <c r="A20" s="584"/>
      <c r="B20" s="571"/>
      <c r="C20" s="572"/>
      <c r="D20" s="593"/>
    </row>
    <row r="21" spans="1:7">
      <c r="A21" s="584"/>
      <c r="B21" s="594"/>
      <c r="C21" s="595"/>
      <c r="D21" s="596"/>
      <c r="E21" s="597"/>
      <c r="F21" s="598"/>
    </row>
    <row r="22" spans="1:7">
      <c r="A22" s="584"/>
      <c r="B22" s="599" t="s">
        <v>640</v>
      </c>
      <c r="C22" s="572"/>
      <c r="D22" s="588">
        <f>E22+F22</f>
        <v>37219515.75</v>
      </c>
      <c r="E22" s="588">
        <v>16396326.749335999</v>
      </c>
      <c r="F22" s="600">
        <v>20823189.000663999</v>
      </c>
    </row>
    <row r="23" spans="1:7">
      <c r="A23" s="584"/>
      <c r="B23" s="599"/>
      <c r="C23" s="572"/>
      <c r="D23" s="601">
        <f>E23+F23</f>
        <v>1</v>
      </c>
      <c r="E23" s="601">
        <f>E22/$D22</f>
        <v>0.44053036206780843</v>
      </c>
      <c r="F23" s="602">
        <f>F22/$D22</f>
        <v>0.55946963793219151</v>
      </c>
    </row>
    <row r="24" spans="1:7">
      <c r="A24" s="584"/>
      <c r="B24" s="599"/>
      <c r="C24" s="572"/>
      <c r="D24" s="601"/>
      <c r="E24" s="601"/>
      <c r="F24" s="602"/>
    </row>
    <row r="25" spans="1:7">
      <c r="A25" s="584"/>
      <c r="B25" s="599" t="s">
        <v>641</v>
      </c>
      <c r="C25" s="572"/>
      <c r="D25" s="588">
        <f>E25+F25</f>
        <v>274494905.76547122</v>
      </c>
      <c r="E25" s="588">
        <v>119359617.94449857</v>
      </c>
      <c r="F25" s="600">
        <v>155135287.82097268</v>
      </c>
    </row>
    <row r="26" spans="1:7">
      <c r="A26" s="584"/>
      <c r="B26" s="599"/>
      <c r="C26" s="572"/>
      <c r="D26" s="601">
        <f>E26+F26</f>
        <v>1</v>
      </c>
      <c r="E26" s="601">
        <f>E25/$D25</f>
        <v>0.43483363602557917</v>
      </c>
      <c r="F26" s="602">
        <f>F25/$D25</f>
        <v>0.56516636397442088</v>
      </c>
    </row>
    <row r="27" spans="1:7">
      <c r="A27" s="584"/>
      <c r="B27" s="599"/>
      <c r="C27" s="572"/>
      <c r="D27" s="601"/>
      <c r="E27" s="601"/>
      <c r="F27" s="602"/>
    </row>
    <row r="28" spans="1:7">
      <c r="A28" s="584"/>
      <c r="B28" s="603" t="s">
        <v>642</v>
      </c>
      <c r="C28" s="604"/>
      <c r="D28" s="605">
        <f>E28+F28</f>
        <v>67320.100000000006</v>
      </c>
      <c r="E28" s="605">
        <v>35101.300000000003</v>
      </c>
      <c r="F28" s="605">
        <v>32218.799999999999</v>
      </c>
    </row>
    <row r="29" spans="1:7">
      <c r="A29" s="571"/>
      <c r="B29" s="599"/>
      <c r="C29" s="572"/>
      <c r="D29" s="601">
        <f>E29+F29</f>
        <v>1</v>
      </c>
      <c r="E29" s="601">
        <f>E28/$D28</f>
        <v>0.52140891056311567</v>
      </c>
      <c r="F29" s="602">
        <f>F28/$D28</f>
        <v>0.47859108943688433</v>
      </c>
    </row>
    <row r="30" spans="1:7">
      <c r="A30" s="571"/>
      <c r="B30" s="606"/>
      <c r="C30" s="607"/>
      <c r="D30" s="608"/>
      <c r="E30" s="608"/>
      <c r="F30" s="609"/>
    </row>
    <row r="31" spans="1:7">
      <c r="A31" s="584"/>
      <c r="B31" s="584"/>
      <c r="C31" s="572"/>
      <c r="D31" s="584"/>
    </row>
    <row r="32" spans="1:7" ht="15">
      <c r="A32" s="584"/>
      <c r="B32" s="581"/>
      <c r="C32" s="581"/>
      <c r="D32" s="582" t="s">
        <v>632</v>
      </c>
      <c r="E32" s="583" t="s">
        <v>251</v>
      </c>
      <c r="F32" s="583" t="s">
        <v>252</v>
      </c>
    </row>
    <row r="33" spans="1:7">
      <c r="A33" s="584"/>
      <c r="B33" s="585" t="s">
        <v>633</v>
      </c>
      <c r="C33" s="572"/>
    </row>
    <row r="34" spans="1:7">
      <c r="A34" s="584"/>
      <c r="B34" s="571" t="s">
        <v>340</v>
      </c>
      <c r="C34" s="572" t="s">
        <v>634</v>
      </c>
      <c r="D34" s="257">
        <v>73576</v>
      </c>
      <c r="E34" s="587">
        <f>$D34*E$23</f>
        <v>32412.461919501075</v>
      </c>
      <c r="F34" s="587">
        <f>$D34*F$23</f>
        <v>41163.538080498925</v>
      </c>
    </row>
    <row r="35" spans="1:7">
      <c r="A35" s="584"/>
      <c r="B35" s="571" t="s">
        <v>645</v>
      </c>
      <c r="C35" s="572" t="s">
        <v>634</v>
      </c>
      <c r="D35" s="257">
        <v>4340540</v>
      </c>
      <c r="E35" s="587">
        <f>$D35*E$23</f>
        <v>1912139.6577698053</v>
      </c>
      <c r="F35" s="587">
        <f>$D35*F$23</f>
        <v>2428400.3422301947</v>
      </c>
    </row>
    <row r="36" spans="1:7">
      <c r="A36" s="584"/>
      <c r="B36" s="246" t="s">
        <v>886</v>
      </c>
      <c r="C36" s="572" t="s">
        <v>635</v>
      </c>
      <c r="D36" s="589">
        <v>30175504</v>
      </c>
      <c r="E36" s="590">
        <f>$D36*E$54</f>
        <v>13121324.123224409</v>
      </c>
      <c r="F36" s="590">
        <f>$D36*F$54</f>
        <v>17054179.876775593</v>
      </c>
      <c r="G36" s="588"/>
    </row>
    <row r="37" spans="1:7">
      <c r="A37" s="584"/>
      <c r="B37" s="571" t="s">
        <v>448</v>
      </c>
      <c r="C37" s="572" t="s">
        <v>635</v>
      </c>
      <c r="D37" s="257">
        <v>103329</v>
      </c>
      <c r="E37" s="587">
        <f>$D37*E$26</f>
        <v>44930.92477688707</v>
      </c>
      <c r="F37" s="587">
        <f>$D37*F$26</f>
        <v>58398.075223112937</v>
      </c>
    </row>
    <row r="38" spans="1:7">
      <c r="A38" s="584"/>
      <c r="B38" s="571" t="s">
        <v>636</v>
      </c>
      <c r="C38" s="572" t="s">
        <v>637</v>
      </c>
      <c r="D38" s="257">
        <v>19853</v>
      </c>
      <c r="E38" s="587">
        <f>$D38*E$29</f>
        <v>10351.531101409535</v>
      </c>
      <c r="F38" s="587">
        <f>$D38*F$29</f>
        <v>9501.468898590465</v>
      </c>
    </row>
    <row r="39" spans="1:7">
      <c r="A39" s="584"/>
      <c r="B39" s="571" t="s">
        <v>888</v>
      </c>
      <c r="C39" s="572" t="s">
        <v>637</v>
      </c>
      <c r="D39" s="610"/>
      <c r="E39" s="590"/>
      <c r="F39" s="590"/>
      <c r="G39" s="588"/>
    </row>
    <row r="40" spans="1:7">
      <c r="A40" s="584"/>
      <c r="B40" s="571" t="s">
        <v>243</v>
      </c>
      <c r="C40" s="572" t="s">
        <v>637</v>
      </c>
      <c r="D40" s="257">
        <v>1777926</v>
      </c>
      <c r="E40" s="587">
        <f>$D40*E$29</f>
        <v>927026.45872183796</v>
      </c>
      <c r="F40" s="587">
        <f>$D40*F$29</f>
        <v>850899.54127816204</v>
      </c>
    </row>
    <row r="41" spans="1:7">
      <c r="A41" s="584"/>
      <c r="B41" s="571"/>
      <c r="C41" s="572"/>
      <c r="D41" s="576"/>
      <c r="E41" s="587"/>
      <c r="F41" s="587"/>
    </row>
    <row r="42" spans="1:7">
      <c r="A42" s="584"/>
      <c r="B42" s="585" t="s">
        <v>638</v>
      </c>
      <c r="C42" s="572"/>
      <c r="D42" s="257"/>
      <c r="E42" s="587"/>
      <c r="F42" s="587"/>
    </row>
    <row r="43" spans="1:7">
      <c r="A43" s="584"/>
      <c r="B43" s="571" t="s">
        <v>4</v>
      </c>
      <c r="C43" s="572" t="s">
        <v>637</v>
      </c>
      <c r="D43" s="257">
        <v>-1391342</v>
      </c>
      <c r="E43" s="587">
        <f t="shared" ref="E43:F47" si="0">$D43*E$29</f>
        <v>-725458.11644070654</v>
      </c>
      <c r="F43" s="587">
        <f t="shared" si="0"/>
        <v>-665883.88355929346</v>
      </c>
    </row>
    <row r="44" spans="1:7">
      <c r="A44" s="584"/>
      <c r="B44" s="269" t="s">
        <v>887</v>
      </c>
      <c r="C44" s="572" t="s">
        <v>635</v>
      </c>
      <c r="D44" s="591">
        <v>-16730645</v>
      </c>
      <c r="E44" s="590">
        <f>$D44*E$54</f>
        <v>-7275047.1984031759</v>
      </c>
      <c r="F44" s="590">
        <f>$D44*F$54</f>
        <v>-9455597.8015968241</v>
      </c>
      <c r="G44" s="588"/>
    </row>
    <row r="45" spans="1:7">
      <c r="A45" s="571"/>
      <c r="B45" s="571" t="s">
        <v>5</v>
      </c>
      <c r="C45" s="572" t="s">
        <v>637</v>
      </c>
      <c r="D45" s="257">
        <v>-782441</v>
      </c>
      <c r="E45" s="587">
        <f t="shared" si="0"/>
        <v>-407971.70938991476</v>
      </c>
      <c r="F45" s="587">
        <f t="shared" si="0"/>
        <v>-374469.29061008524</v>
      </c>
    </row>
    <row r="46" spans="1:7">
      <c r="A46" s="584" t="s">
        <v>643</v>
      </c>
      <c r="B46" s="571" t="s">
        <v>415</v>
      </c>
      <c r="C46" s="572" t="s">
        <v>637</v>
      </c>
      <c r="D46" s="257">
        <v>-78919</v>
      </c>
      <c r="E46" s="587">
        <f t="shared" si="0"/>
        <v>-41149.069812730522</v>
      </c>
      <c r="F46" s="587">
        <f t="shared" si="0"/>
        <v>-37769.930187269478</v>
      </c>
    </row>
    <row r="47" spans="1:7">
      <c r="A47" s="571"/>
      <c r="B47" s="571" t="s">
        <v>639</v>
      </c>
      <c r="C47" s="572" t="s">
        <v>637</v>
      </c>
      <c r="D47" s="277">
        <v>-14325</v>
      </c>
      <c r="E47" s="587">
        <f t="shared" si="0"/>
        <v>-7469.1826438166318</v>
      </c>
      <c r="F47" s="587">
        <f t="shared" si="0"/>
        <v>-6855.8173561833682</v>
      </c>
    </row>
    <row r="48" spans="1:7">
      <c r="A48" s="571"/>
      <c r="B48" s="571"/>
      <c r="C48" s="572"/>
      <c r="D48" s="593"/>
      <c r="E48" s="576"/>
    </row>
    <row r="49" spans="1:15">
      <c r="A49" s="571"/>
      <c r="B49" s="594"/>
      <c r="C49" s="595"/>
      <c r="D49" s="596"/>
      <c r="E49" s="597"/>
      <c r="F49" s="598"/>
    </row>
    <row r="50" spans="1:15">
      <c r="A50" s="571"/>
      <c r="B50" s="599" t="s">
        <v>640</v>
      </c>
      <c r="C50" s="572"/>
      <c r="D50" s="588">
        <f>E50+F50</f>
        <v>37219515.75</v>
      </c>
      <c r="E50" s="588">
        <v>16396326.749335999</v>
      </c>
      <c r="F50" s="600">
        <v>20823189.000663999</v>
      </c>
    </row>
    <row r="51" spans="1:15">
      <c r="A51" s="571"/>
      <c r="B51" s="599"/>
      <c r="C51" s="572"/>
      <c r="D51" s="601">
        <f>E51+F51</f>
        <v>1</v>
      </c>
      <c r="E51" s="601">
        <f>E50/$D50</f>
        <v>0.44053036206780843</v>
      </c>
      <c r="F51" s="602">
        <f>F50/$D50</f>
        <v>0.55946963793219151</v>
      </c>
    </row>
    <row r="52" spans="1:15">
      <c r="B52" s="599"/>
      <c r="C52" s="572"/>
      <c r="D52" s="601"/>
      <c r="E52" s="601"/>
      <c r="F52" s="602"/>
    </row>
    <row r="53" spans="1:15">
      <c r="B53" s="599" t="s">
        <v>641</v>
      </c>
      <c r="C53" s="572"/>
      <c r="D53" s="588">
        <f>E53+F53</f>
        <v>274494905.76547122</v>
      </c>
      <c r="E53" s="588">
        <v>119359617.94449857</v>
      </c>
      <c r="F53" s="600">
        <v>155135287.82097268</v>
      </c>
    </row>
    <row r="54" spans="1:15">
      <c r="B54" s="599"/>
      <c r="C54" s="572"/>
      <c r="D54" s="601">
        <f>E54+F54</f>
        <v>1</v>
      </c>
      <c r="E54" s="601">
        <f>E53/$D53</f>
        <v>0.43483363602557917</v>
      </c>
      <c r="F54" s="602">
        <f>F53/$D53</f>
        <v>0.56516636397442088</v>
      </c>
    </row>
    <row r="55" spans="1:15">
      <c r="B55" s="599"/>
      <c r="C55" s="572"/>
      <c r="D55" s="601"/>
      <c r="E55" s="601"/>
      <c r="F55" s="602"/>
    </row>
    <row r="56" spans="1:15">
      <c r="B56" s="603" t="s">
        <v>642</v>
      </c>
      <c r="C56" s="604"/>
      <c r="D56" s="605">
        <f>E56+F56</f>
        <v>67320.100000000006</v>
      </c>
      <c r="E56" s="605">
        <v>35101.300000000003</v>
      </c>
      <c r="F56" s="605">
        <v>32218.799999999999</v>
      </c>
    </row>
    <row r="57" spans="1:15">
      <c r="B57" s="599"/>
      <c r="C57" s="572"/>
      <c r="D57" s="601">
        <f>E57+F57</f>
        <v>1</v>
      </c>
      <c r="E57" s="601">
        <f>E56/$D56</f>
        <v>0.52140891056311567</v>
      </c>
      <c r="F57" s="602">
        <f>F56/$D56</f>
        <v>0.47859108943688433</v>
      </c>
    </row>
    <row r="58" spans="1:15">
      <c r="B58" s="606"/>
      <c r="C58" s="607"/>
      <c r="D58" s="608"/>
      <c r="E58" s="608"/>
      <c r="F58" s="609"/>
    </row>
    <row r="59" spans="1:15">
      <c r="J59" s="612"/>
      <c r="K59" s="612"/>
      <c r="L59" s="612"/>
      <c r="M59" s="612"/>
      <c r="N59" s="612"/>
      <c r="O59" s="612"/>
    </row>
    <row r="60" spans="1:15">
      <c r="J60" s="612"/>
      <c r="K60" s="1000"/>
      <c r="L60" s="1000"/>
      <c r="M60" s="1000"/>
      <c r="N60" s="612"/>
      <c r="O60" s="612"/>
    </row>
    <row r="61" spans="1:15">
      <c r="D61" s="999">
        <v>2017</v>
      </c>
      <c r="E61" s="999"/>
      <c r="F61" s="999"/>
      <c r="G61" s="999">
        <v>2015</v>
      </c>
      <c r="H61" s="999"/>
      <c r="I61" s="999"/>
      <c r="J61" s="612"/>
      <c r="K61" s="612"/>
      <c r="L61" s="612"/>
      <c r="M61" s="612"/>
      <c r="N61" s="612"/>
      <c r="O61" s="612"/>
    </row>
    <row r="62" spans="1:15">
      <c r="B62" s="613" t="s">
        <v>1071</v>
      </c>
      <c r="E62" s="614" t="s">
        <v>1080</v>
      </c>
      <c r="F62" s="614" t="s">
        <v>1079</v>
      </c>
      <c r="G62" s="614"/>
      <c r="H62" s="614" t="s">
        <v>1078</v>
      </c>
      <c r="I62" s="614" t="s">
        <v>1079</v>
      </c>
      <c r="J62" s="615"/>
      <c r="K62" s="612"/>
      <c r="L62" s="612"/>
      <c r="M62" s="612"/>
      <c r="N62" s="612"/>
      <c r="O62" s="612"/>
    </row>
    <row r="63" spans="1:15">
      <c r="B63" s="575" t="s">
        <v>1072</v>
      </c>
      <c r="D63" s="616">
        <v>911826</v>
      </c>
      <c r="E63" s="617">
        <f>+D63/$D$67</f>
        <v>0.1829162535053101</v>
      </c>
      <c r="F63" s="617">
        <f>+D63/$D$66</f>
        <v>4.7426452345576374E-2</v>
      </c>
      <c r="G63" s="616">
        <v>877289</v>
      </c>
      <c r="H63" s="617">
        <f>+G63/$G$67</f>
        <v>0.52296596297166187</v>
      </c>
      <c r="I63" s="617">
        <f>+G63/$G$66</f>
        <v>5.4789802311442933E-2</v>
      </c>
      <c r="J63" s="618"/>
      <c r="K63" s="612"/>
      <c r="L63" s="612"/>
      <c r="M63" s="612"/>
      <c r="N63" s="612"/>
      <c r="O63" s="612"/>
    </row>
    <row r="64" spans="1:15">
      <c r="B64" s="575" t="s">
        <v>1073</v>
      </c>
      <c r="D64" s="616">
        <v>317978</v>
      </c>
      <c r="E64" s="617">
        <f>+D64/$D$67</f>
        <v>6.3787767026945372E-2</v>
      </c>
      <c r="F64" s="619">
        <f>+D64/$D$66</f>
        <v>1.6538866476654191E-2</v>
      </c>
      <c r="G64" s="616">
        <v>317978</v>
      </c>
      <c r="H64" s="617">
        <f>+G64/$G$67</f>
        <v>0.18955175657486084</v>
      </c>
      <c r="I64" s="619">
        <f>+G64/$G$66</f>
        <v>1.9858851255843857E-2</v>
      </c>
      <c r="J64" s="620"/>
      <c r="K64" s="612"/>
      <c r="L64" s="612"/>
      <c r="M64" s="612"/>
      <c r="N64" s="612"/>
      <c r="O64" s="612"/>
    </row>
    <row r="65" spans="2:15">
      <c r="B65" s="575" t="s">
        <v>1074</v>
      </c>
      <c r="D65" s="616">
        <v>1095946</v>
      </c>
      <c r="E65" s="617">
        <f>+D65/$D$67</f>
        <v>0.21985152470332123</v>
      </c>
      <c r="F65" s="617">
        <f>+D65/$D$66</f>
        <v>5.7003014546991471E-2</v>
      </c>
      <c r="G65" s="616">
        <v>923671</v>
      </c>
      <c r="H65" s="617">
        <f>+G65/$G$67</f>
        <v>0.55061501282245406</v>
      </c>
      <c r="I65" s="617">
        <f>+G65/$G$66</f>
        <v>5.7686522332792048E-2</v>
      </c>
      <c r="J65" s="618"/>
      <c r="K65" s="612"/>
      <c r="L65" s="612"/>
      <c r="M65" s="612"/>
      <c r="N65" s="612"/>
      <c r="O65" s="612"/>
    </row>
    <row r="66" spans="2:15">
      <c r="B66" s="575" t="s">
        <v>1076</v>
      </c>
      <c r="D66" s="616">
        <v>19226106</v>
      </c>
      <c r="E66" s="617"/>
      <c r="F66" s="621"/>
      <c r="G66" s="616">
        <v>16011903</v>
      </c>
      <c r="J66" s="612"/>
      <c r="K66" s="612"/>
      <c r="L66" s="612"/>
      <c r="M66" s="612"/>
      <c r="N66" s="612"/>
      <c r="O66" s="612"/>
    </row>
    <row r="67" spans="2:15">
      <c r="B67" s="575" t="s">
        <v>1075</v>
      </c>
      <c r="D67" s="616">
        <v>4984937</v>
      </c>
      <c r="E67" s="617"/>
      <c r="F67" s="621"/>
      <c r="G67" s="616">
        <f>2601197-923671</f>
        <v>1677526</v>
      </c>
      <c r="J67" s="612"/>
      <c r="K67" s="612"/>
      <c r="L67" s="612"/>
      <c r="M67" s="612"/>
      <c r="N67" s="612"/>
      <c r="O67" s="612"/>
    </row>
    <row r="68" spans="2:15">
      <c r="B68" s="575" t="s">
        <v>1077</v>
      </c>
      <c r="D68" s="616">
        <f>+D67+D65</f>
        <v>6080883</v>
      </c>
      <c r="E68" s="617"/>
      <c r="F68" s="621"/>
      <c r="G68" s="616">
        <v>2601197</v>
      </c>
    </row>
    <row r="69" spans="2:15">
      <c r="D69" s="616"/>
      <c r="F69" s="616"/>
    </row>
    <row r="70" spans="2:15">
      <c r="D70" s="616"/>
      <c r="F70" s="616"/>
    </row>
    <row r="71" spans="2:15">
      <c r="B71" s="613" t="s">
        <v>1082</v>
      </c>
      <c r="D71" s="616"/>
      <c r="F71" s="616"/>
    </row>
    <row r="72" spans="2:15">
      <c r="B72" s="575" t="s">
        <v>1072</v>
      </c>
      <c r="D72" s="616">
        <f>+D6</f>
        <v>73576</v>
      </c>
      <c r="E72" s="617">
        <f>+D72/$D$76</f>
        <v>5.3721240898001697E-4</v>
      </c>
      <c r="F72" s="617">
        <f>+D72/$D$75</f>
        <v>2.680414042469095E-4</v>
      </c>
      <c r="G72" s="616">
        <f>+D72</f>
        <v>73576</v>
      </c>
      <c r="H72" s="617">
        <f>+G72/$D$76</f>
        <v>5.3721240898001697E-4</v>
      </c>
      <c r="I72" s="617">
        <f>+G72/$D$75</f>
        <v>2.680414042469095E-4</v>
      </c>
    </row>
    <row r="73" spans="2:15">
      <c r="B73" s="575" t="s">
        <v>1081</v>
      </c>
      <c r="D73" s="616">
        <f>+D75*F64</f>
        <v>4539834.5949769029</v>
      </c>
      <c r="E73" s="617">
        <f>+D73/$D$76</f>
        <v>3.3147432303174428E-2</v>
      </c>
      <c r="F73" s="619">
        <f>+D73/$D$75</f>
        <v>1.6538866476654191E-2</v>
      </c>
      <c r="G73" s="616">
        <f>+G75*0.02</f>
        <v>5489898.1153094247</v>
      </c>
      <c r="H73" s="617">
        <f>+G73/$D$76</f>
        <v>4.0084285522184293E-2</v>
      </c>
      <c r="I73" s="619">
        <f>+G73/$D$75</f>
        <v>0.02</v>
      </c>
    </row>
    <row r="74" spans="2:15">
      <c r="B74" s="575" t="s">
        <v>1083</v>
      </c>
      <c r="D74" s="616">
        <f>SUM(D7:D19)-D8-D17+D73</f>
        <v>8514455.594976902</v>
      </c>
      <c r="E74" s="617">
        <f>+D74/$D$76</f>
        <v>6.2167978706791964E-2</v>
      </c>
      <c r="F74" s="619">
        <f>+D74/$D$75</f>
        <v>3.101862882020719E-2</v>
      </c>
      <c r="G74" s="616">
        <f>SUM(D7:D19)-D8-D17+G73</f>
        <v>9464519.1153094247</v>
      </c>
      <c r="H74" s="617">
        <f>+G74/$D$76</f>
        <v>6.910483192580183E-2</v>
      </c>
      <c r="I74" s="619">
        <f>+G74/$D$75</f>
        <v>3.4479762343553003E-2</v>
      </c>
    </row>
    <row r="75" spans="2:15">
      <c r="B75" s="575" t="s">
        <v>1084</v>
      </c>
      <c r="D75" s="616">
        <v>274494905.76547122</v>
      </c>
      <c r="E75" s="617"/>
      <c r="G75" s="616">
        <v>274494905.76547122</v>
      </c>
      <c r="H75" s="617"/>
      <c r="I75" s="575"/>
    </row>
    <row r="76" spans="2:15">
      <c r="B76" s="575" t="s">
        <v>1085</v>
      </c>
      <c r="D76" s="616">
        <v>136958861.65342999</v>
      </c>
      <c r="E76" s="617"/>
      <c r="G76" s="616">
        <v>136958861.65342999</v>
      </c>
      <c r="H76" s="617"/>
      <c r="I76" s="575"/>
    </row>
    <row r="77" spans="2:15">
      <c r="B77" s="575" t="s">
        <v>1086</v>
      </c>
      <c r="D77" s="616">
        <v>145473317.24840689</v>
      </c>
      <c r="E77" s="617"/>
      <c r="G77" s="616">
        <v>146423380.7687394</v>
      </c>
      <c r="H77" s="617"/>
      <c r="I77" s="575"/>
    </row>
    <row r="78" spans="2:15">
      <c r="I78" s="575"/>
    </row>
    <row r="79" spans="2:15" ht="13.5" thickBot="1">
      <c r="B79" s="613" t="s">
        <v>1087</v>
      </c>
      <c r="I79" s="575"/>
    </row>
    <row r="80" spans="2:15">
      <c r="B80" s="575" t="s">
        <v>1088</v>
      </c>
      <c r="D80" s="588">
        <f>+D72</f>
        <v>73576</v>
      </c>
      <c r="G80" s="854">
        <f>+G72</f>
        <v>73576</v>
      </c>
      <c r="I80" s="575"/>
    </row>
    <row r="81" spans="2:9">
      <c r="B81" s="575" t="s">
        <v>1089</v>
      </c>
      <c r="D81" s="588">
        <f>+D73</f>
        <v>4539834.5949769029</v>
      </c>
      <c r="G81" s="855">
        <f>+G73</f>
        <v>5489898.1153094247</v>
      </c>
      <c r="I81" s="575"/>
    </row>
    <row r="82" spans="2:9">
      <c r="B82" s="575" t="s">
        <v>277</v>
      </c>
      <c r="D82" s="588">
        <f>+D81-D80</f>
        <v>4466258.5949769029</v>
      </c>
      <c r="G82" s="855">
        <f>+G81-G80</f>
        <v>5416322.1153094247</v>
      </c>
      <c r="I82" s="575"/>
    </row>
    <row r="83" spans="2:9">
      <c r="B83" s="575" t="s">
        <v>1091</v>
      </c>
      <c r="D83" s="588">
        <f>+D82*E54</f>
        <v>1942079.4642843013</v>
      </c>
      <c r="G83" s="855">
        <f>+G82*E54</f>
        <v>2355199.0392857534</v>
      </c>
      <c r="I83" s="575"/>
    </row>
    <row r="84" spans="2:9" ht="13.5" thickBot="1">
      <c r="B84" s="575" t="s">
        <v>1090</v>
      </c>
      <c r="D84" s="588">
        <f>+D82*F54</f>
        <v>2524179.1306926021</v>
      </c>
      <c r="G84" s="856">
        <f>+G82*F54</f>
        <v>3061123.0760236718</v>
      </c>
      <c r="I84" s="575"/>
    </row>
  </sheetData>
  <mergeCells count="3">
    <mergeCell ref="D61:F61"/>
    <mergeCell ref="G61:I61"/>
    <mergeCell ref="K60:M6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E69"/>
  <sheetViews>
    <sheetView workbookViewId="0"/>
  </sheetViews>
  <sheetFormatPr defaultColWidth="10.7109375" defaultRowHeight="12"/>
  <cols>
    <col min="1" max="1" width="3.28515625" style="242" customWidth="1"/>
    <col min="2" max="2" width="33.42578125" style="242" customWidth="1"/>
    <col min="3" max="7" width="10.7109375" style="242" customWidth="1"/>
    <col min="8" max="10" width="10.7109375" style="328" customWidth="1"/>
    <col min="11" max="11" width="3.28515625" style="243" customWidth="1"/>
    <col min="12" max="12" width="33.42578125" style="243" customWidth="1"/>
    <col min="13" max="21" width="10.7109375" style="328" customWidth="1"/>
    <col min="22" max="22" width="3.28515625" style="243" customWidth="1"/>
    <col min="23" max="23" width="33.42578125" style="243" customWidth="1"/>
    <col min="24" max="29" width="10.7109375" style="328" customWidth="1"/>
    <col min="30" max="31" width="11.7109375" style="243" customWidth="1"/>
    <col min="32" max="16384" width="10.7109375" style="243"/>
  </cols>
  <sheetData>
    <row r="1" spans="1:31">
      <c r="A1" s="246" t="s">
        <v>409</v>
      </c>
      <c r="B1" s="246"/>
      <c r="C1" s="246"/>
      <c r="D1" s="246"/>
      <c r="F1" s="306"/>
      <c r="H1" s="252"/>
      <c r="I1" s="252"/>
      <c r="J1" s="307" t="s">
        <v>84</v>
      </c>
      <c r="K1" s="250" t="s">
        <v>409</v>
      </c>
      <c r="L1" s="250"/>
      <c r="M1" s="308"/>
      <c r="N1" s="252"/>
      <c r="O1" s="308"/>
      <c r="P1" s="252"/>
      <c r="Q1" s="252"/>
      <c r="R1" s="308"/>
      <c r="S1" s="308"/>
      <c r="T1" s="252"/>
      <c r="U1" s="307" t="s">
        <v>84</v>
      </c>
      <c r="V1" s="250" t="s">
        <v>409</v>
      </c>
      <c r="W1" s="250"/>
      <c r="X1" s="308"/>
      <c r="Y1" s="252"/>
      <c r="Z1" s="259"/>
      <c r="AA1" s="308"/>
      <c r="AB1" s="252"/>
      <c r="AC1" s="307" t="s">
        <v>84</v>
      </c>
    </row>
    <row r="2" spans="1:31">
      <c r="A2" s="246" t="s">
        <v>114</v>
      </c>
      <c r="B2" s="246"/>
      <c r="C2" s="246"/>
      <c r="D2" s="246"/>
      <c r="F2" s="306"/>
      <c r="H2" s="252"/>
      <c r="I2" s="252"/>
      <c r="J2" s="309"/>
      <c r="K2" s="250" t="s">
        <v>114</v>
      </c>
      <c r="L2" s="250"/>
      <c r="M2" s="310"/>
      <c r="N2" s="252"/>
      <c r="O2" s="310"/>
      <c r="P2" s="252"/>
      <c r="Q2" s="252"/>
      <c r="R2" s="310"/>
      <c r="S2" s="310"/>
      <c r="T2" s="252"/>
      <c r="U2" s="309"/>
      <c r="V2" s="250" t="s">
        <v>114</v>
      </c>
      <c r="W2" s="250"/>
      <c r="X2" s="310"/>
      <c r="Y2" s="252"/>
      <c r="Z2" s="259"/>
      <c r="AA2" s="310"/>
      <c r="AB2" s="252"/>
      <c r="AC2" s="309"/>
    </row>
    <row r="3" spans="1:31">
      <c r="A3" s="246"/>
      <c r="B3" s="246"/>
      <c r="C3" s="246"/>
      <c r="D3" s="246"/>
      <c r="F3" s="291"/>
      <c r="H3" s="252"/>
      <c r="I3" s="252"/>
      <c r="J3" s="311" t="s">
        <v>1036</v>
      </c>
      <c r="K3" s="250"/>
      <c r="L3" s="250"/>
      <c r="M3" s="312"/>
      <c r="N3" s="252"/>
      <c r="O3" s="312"/>
      <c r="P3" s="252"/>
      <c r="Q3" s="252"/>
      <c r="R3" s="312"/>
      <c r="S3" s="312"/>
      <c r="T3" s="252"/>
      <c r="U3" s="311" t="s">
        <v>1036</v>
      </c>
      <c r="V3" s="250"/>
      <c r="W3" s="250"/>
      <c r="X3" s="312"/>
      <c r="Y3" s="252"/>
      <c r="Z3" s="313"/>
      <c r="AA3" s="312"/>
      <c r="AB3" s="252"/>
      <c r="AC3" s="311" t="s">
        <v>1036</v>
      </c>
    </row>
    <row r="4" spans="1:31">
      <c r="A4" s="246" t="s">
        <v>565</v>
      </c>
      <c r="B4" s="246"/>
      <c r="C4" s="246"/>
      <c r="D4" s="246"/>
      <c r="F4" s="272"/>
      <c r="H4" s="252"/>
      <c r="I4" s="252"/>
      <c r="J4" s="313" t="s">
        <v>85</v>
      </c>
      <c r="K4" s="250" t="s">
        <v>565</v>
      </c>
      <c r="L4" s="250"/>
      <c r="M4" s="312"/>
      <c r="N4" s="252"/>
      <c r="O4" s="312"/>
      <c r="P4" s="252"/>
      <c r="Q4" s="252"/>
      <c r="R4" s="312"/>
      <c r="S4" s="312"/>
      <c r="T4" s="252"/>
      <c r="U4" s="313" t="s">
        <v>246</v>
      </c>
      <c r="V4" s="250" t="s">
        <v>565</v>
      </c>
      <c r="W4" s="250"/>
      <c r="X4" s="312"/>
      <c r="Y4" s="252"/>
      <c r="Z4" s="259"/>
      <c r="AA4" s="312"/>
      <c r="AB4" s="252"/>
      <c r="AC4" s="313" t="s">
        <v>247</v>
      </c>
    </row>
    <row r="5" spans="1:31">
      <c r="A5" s="246" t="s">
        <v>705</v>
      </c>
      <c r="B5" s="246"/>
      <c r="C5" s="246"/>
      <c r="D5" s="246"/>
      <c r="F5" s="246"/>
      <c r="H5" s="252"/>
      <c r="I5" s="252"/>
      <c r="J5" s="259" t="s">
        <v>558</v>
      </c>
      <c r="K5" s="250" t="s">
        <v>705</v>
      </c>
      <c r="L5" s="250"/>
      <c r="M5" s="308"/>
      <c r="N5" s="252"/>
      <c r="O5" s="308"/>
      <c r="P5" s="252"/>
      <c r="Q5" s="252"/>
      <c r="R5" s="308"/>
      <c r="S5" s="308"/>
      <c r="T5" s="252"/>
      <c r="U5" s="259" t="s">
        <v>558</v>
      </c>
      <c r="V5" s="250" t="s">
        <v>705</v>
      </c>
      <c r="W5" s="250"/>
      <c r="X5" s="308"/>
      <c r="Y5" s="252"/>
      <c r="Z5" s="259"/>
      <c r="AA5" s="308"/>
      <c r="AB5" s="252"/>
      <c r="AC5" s="259" t="s">
        <v>558</v>
      </c>
    </row>
    <row r="6" spans="1:31">
      <c r="A6" s="246" t="s">
        <v>566</v>
      </c>
      <c r="B6" s="246"/>
      <c r="C6" s="246"/>
      <c r="D6" s="246"/>
      <c r="F6" s="246"/>
      <c r="H6" s="252"/>
      <c r="I6" s="252"/>
      <c r="J6" s="259"/>
      <c r="K6" s="250" t="s">
        <v>566</v>
      </c>
      <c r="L6" s="250"/>
      <c r="M6" s="308"/>
      <c r="N6" s="252"/>
      <c r="O6" s="308"/>
      <c r="P6" s="252"/>
      <c r="Q6" s="252"/>
      <c r="R6" s="308"/>
      <c r="S6" s="308"/>
      <c r="T6" s="252"/>
      <c r="U6" s="308"/>
      <c r="V6" s="250" t="s">
        <v>566</v>
      </c>
      <c r="W6" s="250"/>
      <c r="X6" s="308"/>
      <c r="Y6" s="252"/>
      <c r="Z6" s="259"/>
      <c r="AA6" s="308"/>
      <c r="AB6" s="252"/>
      <c r="AC6" s="259"/>
    </row>
    <row r="7" spans="1:31">
      <c r="A7" s="272" t="s">
        <v>285</v>
      </c>
      <c r="B7" s="246"/>
      <c r="C7" s="246"/>
      <c r="D7" s="246"/>
      <c r="F7" s="246"/>
      <c r="H7" s="252"/>
      <c r="I7" s="252"/>
      <c r="J7" s="259"/>
      <c r="K7" s="282" t="s">
        <v>285</v>
      </c>
      <c r="L7" s="250"/>
      <c r="M7" s="308"/>
      <c r="N7" s="252"/>
      <c r="O7" s="308"/>
      <c r="P7" s="252"/>
      <c r="Q7" s="252"/>
      <c r="R7" s="308"/>
      <c r="S7" s="308"/>
      <c r="T7" s="252"/>
      <c r="U7" s="308"/>
      <c r="V7" s="282" t="s">
        <v>285</v>
      </c>
      <c r="W7" s="250"/>
      <c r="X7" s="308"/>
      <c r="Y7" s="252"/>
      <c r="Z7" s="259"/>
      <c r="AA7" s="308"/>
      <c r="AB7" s="252"/>
      <c r="AC7" s="259"/>
    </row>
    <row r="8" spans="1:31">
      <c r="A8" s="246"/>
      <c r="B8" s="246"/>
      <c r="C8" s="246"/>
      <c r="D8" s="246"/>
      <c r="E8" s="246"/>
      <c r="F8" s="246"/>
      <c r="G8" s="246"/>
      <c r="H8" s="252"/>
      <c r="I8" s="252"/>
      <c r="J8" s="308"/>
      <c r="K8" s="250"/>
      <c r="L8" s="250"/>
      <c r="M8" s="308"/>
      <c r="N8" s="252"/>
      <c r="O8" s="308"/>
      <c r="P8" s="252"/>
      <c r="Q8" s="252"/>
      <c r="R8" s="308"/>
      <c r="S8" s="308"/>
      <c r="T8" s="252"/>
      <c r="U8" s="308"/>
      <c r="V8" s="250"/>
      <c r="W8" s="250"/>
      <c r="X8" s="308"/>
      <c r="Y8" s="252"/>
      <c r="Z8" s="259"/>
      <c r="AA8" s="308"/>
      <c r="AB8" s="252"/>
      <c r="AC8" s="259"/>
    </row>
    <row r="9" spans="1:31" ht="12.75" customHeight="1">
      <c r="A9" s="556" t="s">
        <v>1039</v>
      </c>
      <c r="B9" s="556"/>
      <c r="C9" s="556"/>
      <c r="D9" s="556"/>
      <c r="E9" s="837"/>
      <c r="F9" s="837"/>
      <c r="G9" s="837"/>
      <c r="H9" s="252"/>
      <c r="I9" s="252"/>
      <c r="J9" s="310"/>
      <c r="K9" s="310"/>
      <c r="L9" s="310"/>
      <c r="M9" s="310"/>
      <c r="N9" s="252"/>
      <c r="O9" s="310"/>
      <c r="P9" s="252"/>
      <c r="Q9" s="252"/>
      <c r="R9" s="310"/>
      <c r="S9" s="310"/>
      <c r="T9" s="252"/>
      <c r="U9" s="310"/>
      <c r="V9" s="310"/>
      <c r="W9" s="310"/>
      <c r="X9" s="310"/>
      <c r="Y9" s="252"/>
      <c r="Z9" s="259"/>
      <c r="AA9" s="310"/>
      <c r="AB9" s="252"/>
      <c r="AC9" s="259"/>
    </row>
    <row r="10" spans="1:31" ht="12.75" thickBot="1">
      <c r="A10" s="556"/>
      <c r="B10" s="556"/>
      <c r="C10" s="556"/>
      <c r="D10" s="556"/>
      <c r="E10" s="837"/>
      <c r="F10" s="837"/>
      <c r="G10" s="837"/>
      <c r="H10" s="252"/>
      <c r="I10" s="252"/>
      <c r="J10" s="308"/>
      <c r="K10" s="308"/>
      <c r="L10" s="308"/>
      <c r="M10" s="308"/>
      <c r="N10" s="252"/>
      <c r="O10" s="308"/>
      <c r="P10" s="252"/>
      <c r="Q10" s="252"/>
      <c r="R10" s="308"/>
      <c r="S10" s="308"/>
      <c r="T10" s="252"/>
      <c r="U10" s="308"/>
      <c r="V10" s="308"/>
      <c r="W10" s="308"/>
      <c r="X10" s="308"/>
      <c r="Y10" s="252"/>
      <c r="Z10" s="259"/>
      <c r="AA10" s="308"/>
      <c r="AB10" s="252"/>
      <c r="AC10" s="259"/>
    </row>
    <row r="11" spans="1:31" ht="12.75" thickBot="1">
      <c r="A11" s="273"/>
      <c r="B11" s="273"/>
      <c r="C11" s="1001" t="s">
        <v>438</v>
      </c>
      <c r="D11" s="1002"/>
      <c r="E11" s="1002"/>
      <c r="F11" s="1002"/>
      <c r="G11" s="1003"/>
      <c r="H11" s="1004" t="s">
        <v>533</v>
      </c>
      <c r="I11" s="1005"/>
      <c r="J11" s="1006"/>
      <c r="K11" s="261"/>
      <c r="L11" s="261"/>
      <c r="M11" s="1004" t="s">
        <v>798</v>
      </c>
      <c r="N11" s="1005"/>
      <c r="O11" s="1006"/>
      <c r="P11" s="1004" t="s">
        <v>571</v>
      </c>
      <c r="Q11" s="1005"/>
      <c r="R11" s="1006"/>
      <c r="S11" s="1004" t="s">
        <v>776</v>
      </c>
      <c r="T11" s="1005"/>
      <c r="U11" s="1006"/>
      <c r="V11" s="261"/>
      <c r="W11" s="261"/>
      <c r="X11" s="1004" t="s">
        <v>800</v>
      </c>
      <c r="Y11" s="1005"/>
      <c r="Z11" s="1006"/>
      <c r="AA11" s="1005" t="s">
        <v>778</v>
      </c>
      <c r="AB11" s="1005"/>
      <c r="AC11" s="1006"/>
    </row>
    <row r="12" spans="1:31">
      <c r="A12" s="246"/>
      <c r="B12" s="368" t="s">
        <v>202</v>
      </c>
      <c r="C12" s="274" t="s">
        <v>203</v>
      </c>
      <c r="D12" s="274" t="s">
        <v>204</v>
      </c>
      <c r="E12" s="314">
        <v>-4</v>
      </c>
      <c r="F12" s="314">
        <v>-5</v>
      </c>
      <c r="G12" s="314">
        <v>-6</v>
      </c>
      <c r="H12" s="315">
        <v>-7</v>
      </c>
      <c r="I12" s="316">
        <v>-8</v>
      </c>
      <c r="J12" s="316">
        <v>-9</v>
      </c>
      <c r="K12" s="250"/>
      <c r="L12" s="258" t="s">
        <v>202</v>
      </c>
      <c r="M12" s="254" t="s">
        <v>203</v>
      </c>
      <c r="N12" s="254" t="s">
        <v>204</v>
      </c>
      <c r="O12" s="262">
        <v>-4</v>
      </c>
      <c r="P12" s="314">
        <v>-5</v>
      </c>
      <c r="Q12" s="314">
        <v>-6</v>
      </c>
      <c r="R12" s="315">
        <v>-7</v>
      </c>
      <c r="S12" s="316">
        <v>-8</v>
      </c>
      <c r="T12" s="316">
        <v>-9</v>
      </c>
      <c r="U12" s="316">
        <v>-10</v>
      </c>
      <c r="V12" s="250"/>
      <c r="W12" s="258" t="s">
        <v>202</v>
      </c>
      <c r="X12" s="254" t="s">
        <v>203</v>
      </c>
      <c r="Y12" s="254" t="s">
        <v>204</v>
      </c>
      <c r="Z12" s="262">
        <v>-4</v>
      </c>
      <c r="AA12" s="314">
        <v>-5</v>
      </c>
      <c r="AB12" s="314">
        <v>-6</v>
      </c>
      <c r="AC12" s="315">
        <v>-7</v>
      </c>
      <c r="AD12" s="316"/>
      <c r="AE12" s="316"/>
    </row>
    <row r="13" spans="1:31">
      <c r="B13" s="434"/>
      <c r="C13" s="56"/>
      <c r="D13" s="56"/>
      <c r="E13" s="56"/>
      <c r="F13" s="56" t="s">
        <v>93</v>
      </c>
      <c r="G13" s="56" t="s">
        <v>93</v>
      </c>
      <c r="H13" s="315"/>
      <c r="I13" s="56" t="s">
        <v>93</v>
      </c>
      <c r="J13" s="56" t="s">
        <v>93</v>
      </c>
      <c r="L13" s="285"/>
      <c r="M13" s="315"/>
      <c r="N13" s="56" t="s">
        <v>93</v>
      </c>
      <c r="O13" s="56" t="s">
        <v>93</v>
      </c>
      <c r="P13" s="315"/>
      <c r="Q13" s="56" t="s">
        <v>93</v>
      </c>
      <c r="R13" s="56" t="s">
        <v>93</v>
      </c>
      <c r="S13" s="315"/>
      <c r="T13" s="56" t="s">
        <v>93</v>
      </c>
      <c r="U13" s="56" t="s">
        <v>93</v>
      </c>
      <c r="W13" s="285"/>
      <c r="X13" s="315"/>
      <c r="Y13" s="56" t="s">
        <v>93</v>
      </c>
      <c r="Z13" s="56" t="s">
        <v>93</v>
      </c>
      <c r="AA13" s="315"/>
      <c r="AB13" s="56" t="s">
        <v>93</v>
      </c>
      <c r="AC13" s="56" t="s">
        <v>93</v>
      </c>
    </row>
    <row r="14" spans="1:31">
      <c r="A14" s="368" t="s">
        <v>289</v>
      </c>
      <c r="B14" s="434"/>
      <c r="C14" s="56" t="s">
        <v>434</v>
      </c>
      <c r="D14" s="847"/>
      <c r="E14" s="56" t="s">
        <v>296</v>
      </c>
      <c r="F14" s="317" t="s">
        <v>96</v>
      </c>
      <c r="G14" s="317" t="s">
        <v>97</v>
      </c>
      <c r="H14" s="318" t="s">
        <v>296</v>
      </c>
      <c r="I14" s="317" t="s">
        <v>96</v>
      </c>
      <c r="J14" s="317" t="s">
        <v>97</v>
      </c>
      <c r="K14" s="258" t="s">
        <v>289</v>
      </c>
      <c r="L14" s="285"/>
      <c r="M14" s="318" t="s">
        <v>296</v>
      </c>
      <c r="N14" s="317" t="s">
        <v>96</v>
      </c>
      <c r="O14" s="317" t="s">
        <v>97</v>
      </c>
      <c r="P14" s="318" t="s">
        <v>296</v>
      </c>
      <c r="Q14" s="317" t="s">
        <v>96</v>
      </c>
      <c r="R14" s="317" t="s">
        <v>97</v>
      </c>
      <c r="S14" s="318" t="s">
        <v>296</v>
      </c>
      <c r="T14" s="317" t="s">
        <v>96</v>
      </c>
      <c r="U14" s="317" t="s">
        <v>97</v>
      </c>
      <c r="V14" s="258" t="s">
        <v>289</v>
      </c>
      <c r="W14" s="285"/>
      <c r="X14" s="318" t="s">
        <v>296</v>
      </c>
      <c r="Y14" s="317" t="s">
        <v>96</v>
      </c>
      <c r="Z14" s="317" t="s">
        <v>97</v>
      </c>
      <c r="AA14" s="318" t="s">
        <v>296</v>
      </c>
      <c r="AB14" s="317" t="s">
        <v>96</v>
      </c>
      <c r="AC14" s="317" t="s">
        <v>97</v>
      </c>
    </row>
    <row r="15" spans="1:31" ht="12.75" thickBot="1">
      <c r="A15" s="370" t="s">
        <v>351</v>
      </c>
      <c r="B15" s="370" t="s">
        <v>352</v>
      </c>
      <c r="C15" s="319" t="s">
        <v>339</v>
      </c>
      <c r="D15" s="319" t="s">
        <v>354</v>
      </c>
      <c r="E15" s="319" t="s">
        <v>95</v>
      </c>
      <c r="F15" s="319" t="s">
        <v>416</v>
      </c>
      <c r="G15" s="319" t="s">
        <v>416</v>
      </c>
      <c r="H15" s="320" t="s">
        <v>95</v>
      </c>
      <c r="I15" s="319" t="s">
        <v>416</v>
      </c>
      <c r="J15" s="319" t="s">
        <v>416</v>
      </c>
      <c r="K15" s="298" t="s">
        <v>351</v>
      </c>
      <c r="L15" s="298" t="s">
        <v>352</v>
      </c>
      <c r="M15" s="320" t="s">
        <v>95</v>
      </c>
      <c r="N15" s="319" t="s">
        <v>416</v>
      </c>
      <c r="O15" s="319" t="s">
        <v>416</v>
      </c>
      <c r="P15" s="320" t="s">
        <v>95</v>
      </c>
      <c r="Q15" s="319" t="s">
        <v>416</v>
      </c>
      <c r="R15" s="319" t="s">
        <v>416</v>
      </c>
      <c r="S15" s="320" t="s">
        <v>95</v>
      </c>
      <c r="T15" s="319" t="s">
        <v>416</v>
      </c>
      <c r="U15" s="319" t="s">
        <v>416</v>
      </c>
      <c r="V15" s="298" t="s">
        <v>351</v>
      </c>
      <c r="W15" s="298" t="s">
        <v>352</v>
      </c>
      <c r="X15" s="320" t="s">
        <v>95</v>
      </c>
      <c r="Y15" s="319" t="s">
        <v>416</v>
      </c>
      <c r="Z15" s="319" t="s">
        <v>416</v>
      </c>
      <c r="AA15" s="320" t="s">
        <v>95</v>
      </c>
      <c r="AB15" s="319" t="s">
        <v>416</v>
      </c>
      <c r="AC15" s="319" t="s">
        <v>416</v>
      </c>
    </row>
    <row r="16" spans="1:31" ht="12.75">
      <c r="A16" s="374"/>
      <c r="C16" s="838"/>
      <c r="D16" s="838"/>
      <c r="E16" s="838"/>
      <c r="F16" s="321"/>
      <c r="G16" s="838"/>
      <c r="H16" s="322"/>
      <c r="I16" s="323"/>
      <c r="J16" s="324"/>
      <c r="K16" s="256"/>
      <c r="M16" s="324"/>
      <c r="N16" s="323"/>
      <c r="O16" s="324"/>
      <c r="P16" s="322"/>
      <c r="Q16" s="323"/>
      <c r="R16" s="324"/>
      <c r="S16" s="324"/>
      <c r="T16" s="323"/>
      <c r="U16" s="324"/>
      <c r="V16" s="256"/>
      <c r="X16" s="324"/>
      <c r="Y16" s="323"/>
      <c r="Z16" s="324"/>
      <c r="AA16" s="324"/>
      <c r="AB16" s="323"/>
      <c r="AC16" s="324"/>
    </row>
    <row r="17" spans="1:29" ht="12.75">
      <c r="A17" s="374">
        <v>1</v>
      </c>
      <c r="B17" s="246" t="s">
        <v>267</v>
      </c>
      <c r="C17" s="326"/>
      <c r="D17" s="326"/>
      <c r="E17" s="326"/>
      <c r="F17" s="327"/>
      <c r="G17" s="326"/>
      <c r="H17" s="322"/>
      <c r="I17" s="323"/>
      <c r="J17" s="252"/>
      <c r="K17" s="256">
        <v>1</v>
      </c>
      <c r="L17" s="246" t="s">
        <v>267</v>
      </c>
      <c r="M17" s="252"/>
      <c r="N17" s="323"/>
      <c r="O17" s="252"/>
      <c r="P17" s="322"/>
      <c r="Q17" s="323"/>
      <c r="R17" s="252"/>
      <c r="S17" s="252"/>
      <c r="T17" s="323"/>
      <c r="U17" s="252"/>
      <c r="V17" s="256">
        <v>1</v>
      </c>
      <c r="W17" s="246" t="s">
        <v>267</v>
      </c>
      <c r="X17" s="252"/>
      <c r="Y17" s="323"/>
      <c r="Z17" s="252"/>
      <c r="AA17" s="252"/>
      <c r="AB17" s="323"/>
      <c r="AC17" s="252"/>
    </row>
    <row r="18" spans="1:29" ht="12.75">
      <c r="A18" s="374">
        <f t="shared" ref="A18:A31" si="0">A17+1</f>
        <v>2</v>
      </c>
      <c r="B18" s="246"/>
      <c r="C18" s="326"/>
      <c r="D18" s="326"/>
      <c r="E18" s="326"/>
      <c r="F18" s="327"/>
      <c r="G18" s="326"/>
      <c r="H18" s="322"/>
      <c r="I18" s="323"/>
      <c r="J18" s="252"/>
      <c r="K18" s="256">
        <f t="shared" ref="K18:K31" si="1">K17+1</f>
        <v>2</v>
      </c>
      <c r="L18" s="246"/>
      <c r="M18" s="252"/>
      <c r="N18" s="323"/>
      <c r="O18" s="252"/>
      <c r="P18" s="322"/>
      <c r="Q18" s="323"/>
      <c r="R18" s="252"/>
      <c r="S18" s="252"/>
      <c r="T18" s="323"/>
      <c r="U18" s="252"/>
      <c r="V18" s="256">
        <f t="shared" ref="V18:V31" si="2">V17+1</f>
        <v>2</v>
      </c>
      <c r="W18" s="246"/>
      <c r="X18" s="252"/>
      <c r="Y18" s="323"/>
      <c r="Z18" s="252"/>
      <c r="AA18" s="252"/>
      <c r="AB18" s="323"/>
      <c r="AC18" s="252"/>
    </row>
    <row r="19" spans="1:29" ht="12.75">
      <c r="A19" s="374">
        <f t="shared" si="0"/>
        <v>3</v>
      </c>
      <c r="B19" s="246" t="s">
        <v>779</v>
      </c>
      <c r="C19" s="326"/>
      <c r="D19" s="326"/>
      <c r="E19" s="326"/>
      <c r="F19" s="327"/>
      <c r="G19" s="326"/>
      <c r="H19" s="322"/>
      <c r="I19" s="323"/>
      <c r="J19" s="338"/>
      <c r="K19" s="256">
        <f t="shared" si="1"/>
        <v>3</v>
      </c>
      <c r="L19" s="246" t="s">
        <v>779</v>
      </c>
      <c r="M19" s="252"/>
      <c r="N19" s="323"/>
      <c r="O19" s="252"/>
      <c r="P19" s="322"/>
      <c r="Q19" s="323"/>
      <c r="R19" s="252"/>
      <c r="S19" s="252"/>
      <c r="T19" s="323"/>
      <c r="U19" s="252"/>
      <c r="V19" s="256">
        <f t="shared" si="2"/>
        <v>3</v>
      </c>
      <c r="W19" s="246" t="s">
        <v>779</v>
      </c>
      <c r="X19" s="338"/>
      <c r="Y19" s="323"/>
      <c r="Z19" s="252"/>
      <c r="AA19" s="252"/>
      <c r="AB19" s="323"/>
      <c r="AC19" s="252"/>
    </row>
    <row r="20" spans="1:29" ht="12.75">
      <c r="A20" s="374">
        <f t="shared" si="0"/>
        <v>4</v>
      </c>
      <c r="B20" s="336" t="s">
        <v>175</v>
      </c>
      <c r="C20" s="326">
        <v>2608087</v>
      </c>
      <c r="D20" s="326"/>
      <c r="E20" s="326">
        <f>SUM(C20:D20)</f>
        <v>2608087</v>
      </c>
      <c r="F20" s="375" t="s">
        <v>1051</v>
      </c>
      <c r="G20" s="301">
        <f>J20+O20+R20+U20+Z20+AC20</f>
        <v>1173004</v>
      </c>
      <c r="H20" s="322"/>
      <c r="I20" s="708"/>
      <c r="J20" s="251">
        <f>ROUND(H20*I20,0)</f>
        <v>0</v>
      </c>
      <c r="K20" s="256">
        <f t="shared" si="1"/>
        <v>4</v>
      </c>
      <c r="L20" s="336" t="s">
        <v>175</v>
      </c>
      <c r="M20" s="329"/>
      <c r="N20" s="323"/>
      <c r="O20" s="329"/>
      <c r="P20" s="322">
        <v>833923</v>
      </c>
      <c r="Q20" s="337">
        <f>1-53.54%</f>
        <v>0.46460000000000001</v>
      </c>
      <c r="R20" s="251">
        <f>ROUND(P20*Q20,0)</f>
        <v>387441</v>
      </c>
      <c r="S20" s="329"/>
      <c r="T20" s="323"/>
      <c r="U20" s="329"/>
      <c r="V20" s="256">
        <f t="shared" si="2"/>
        <v>4</v>
      </c>
      <c r="W20" s="336" t="s">
        <v>175</v>
      </c>
      <c r="X20" s="338">
        <v>232069</v>
      </c>
      <c r="Y20" s="709">
        <v>6.3299999999999995E-2</v>
      </c>
      <c r="Z20" s="251">
        <f>ROUND(X20*Y20,0)</f>
        <v>14690</v>
      </c>
      <c r="AA20" s="338">
        <v>1334614</v>
      </c>
      <c r="AB20" s="337">
        <f>1-42.24%</f>
        <v>0.5776</v>
      </c>
      <c r="AC20" s="251">
        <f>ROUND(AA20*AB20,0)</f>
        <v>770873</v>
      </c>
    </row>
    <row r="21" spans="1:29" ht="12.75">
      <c r="A21" s="374">
        <f t="shared" si="0"/>
        <v>5</v>
      </c>
      <c r="B21" s="336" t="s">
        <v>176</v>
      </c>
      <c r="C21" s="326">
        <v>752180</v>
      </c>
      <c r="D21" s="326"/>
      <c r="E21" s="326">
        <f>SUM(C21:D21)</f>
        <v>752180</v>
      </c>
      <c r="F21" s="375"/>
      <c r="G21" s="301">
        <f>J21+O21+R21+U21+Z21+AC21</f>
        <v>0</v>
      </c>
      <c r="H21" s="322"/>
      <c r="I21" s="323"/>
      <c r="J21" s="329"/>
      <c r="K21" s="256">
        <f t="shared" si="1"/>
        <v>5</v>
      </c>
      <c r="L21" s="336" t="s">
        <v>176</v>
      </c>
      <c r="M21" s="329"/>
      <c r="N21" s="323"/>
      <c r="O21" s="329"/>
      <c r="P21" s="322"/>
      <c r="Q21" s="323"/>
      <c r="R21" s="329"/>
      <c r="S21" s="329"/>
      <c r="T21" s="323"/>
      <c r="U21" s="329"/>
      <c r="V21" s="256">
        <f t="shared" si="2"/>
        <v>5</v>
      </c>
      <c r="W21" s="336" t="s">
        <v>176</v>
      </c>
      <c r="X21" s="338">
        <v>693559</v>
      </c>
      <c r="Y21" s="323"/>
      <c r="Z21" s="329"/>
      <c r="AA21" s="338"/>
      <c r="AB21" s="323"/>
      <c r="AC21" s="329"/>
    </row>
    <row r="22" spans="1:29">
      <c r="A22" s="374">
        <f t="shared" si="0"/>
        <v>6</v>
      </c>
      <c r="B22" s="336" t="s">
        <v>258</v>
      </c>
      <c r="C22" s="326">
        <v>3593499</v>
      </c>
      <c r="D22" s="326"/>
      <c r="E22" s="326">
        <f>SUM(C22:D22)</f>
        <v>3593499</v>
      </c>
      <c r="F22" s="375" t="s">
        <v>1051</v>
      </c>
      <c r="G22" s="301">
        <f>J22+O22+R22+U22+Z22+AC22</f>
        <v>35428</v>
      </c>
      <c r="H22" s="366"/>
      <c r="I22" s="337"/>
      <c r="J22" s="251"/>
      <c r="K22" s="256">
        <f t="shared" si="1"/>
        <v>6</v>
      </c>
      <c r="L22" s="336" t="s">
        <v>258</v>
      </c>
      <c r="M22" s="338">
        <v>78805</v>
      </c>
      <c r="N22" s="708"/>
      <c r="O22" s="251">
        <f>ROUND(M22*N22,0)</f>
        <v>0</v>
      </c>
      <c r="P22" s="322">
        <v>1091802</v>
      </c>
      <c r="Q22" s="337"/>
      <c r="R22" s="251"/>
      <c r="S22" s="338">
        <v>7200</v>
      </c>
      <c r="T22" s="339">
        <f>1-68.65%</f>
        <v>0.31349999999999989</v>
      </c>
      <c r="U22" s="251">
        <f>ROUND(S22*T22,0)</f>
        <v>2257</v>
      </c>
      <c r="V22" s="256">
        <f t="shared" si="2"/>
        <v>6</v>
      </c>
      <c r="W22" s="336" t="s">
        <v>258</v>
      </c>
      <c r="X22" s="338">
        <v>425917</v>
      </c>
      <c r="Y22" s="709">
        <v>6.3299999999999995E-2</v>
      </c>
      <c r="Z22" s="251">
        <f>ROUND(X22*Y22,0)</f>
        <v>26961</v>
      </c>
      <c r="AA22" s="338">
        <v>10751</v>
      </c>
      <c r="AB22" s="337">
        <f>1-42.24%</f>
        <v>0.5776</v>
      </c>
      <c r="AC22" s="251">
        <f>ROUND(AA22*AB22,0)</f>
        <v>6210</v>
      </c>
    </row>
    <row r="23" spans="1:29" ht="12.75">
      <c r="A23" s="374">
        <f t="shared" si="0"/>
        <v>7</v>
      </c>
      <c r="B23" s="336" t="s">
        <v>783</v>
      </c>
      <c r="C23" s="326">
        <v>3939065</v>
      </c>
      <c r="D23" s="326"/>
      <c r="E23" s="326">
        <f>SUM(C23:D23)</f>
        <v>3939065</v>
      </c>
      <c r="F23" s="375"/>
      <c r="G23" s="301">
        <f>J23+O23+R23+U23+Z23+AC23</f>
        <v>0</v>
      </c>
      <c r="H23" s="243"/>
      <c r="I23" s="243"/>
      <c r="J23" s="243"/>
      <c r="K23" s="256">
        <f t="shared" si="1"/>
        <v>7</v>
      </c>
      <c r="L23" s="340" t="s">
        <v>783</v>
      </c>
      <c r="M23" s="252"/>
      <c r="N23" s="323"/>
      <c r="O23" s="252"/>
      <c r="P23" s="322"/>
      <c r="Q23" s="243"/>
      <c r="R23" s="243"/>
      <c r="S23" s="252"/>
      <c r="T23" s="323"/>
      <c r="U23" s="252"/>
      <c r="V23" s="256">
        <f t="shared" si="2"/>
        <v>7</v>
      </c>
      <c r="W23" s="340" t="s">
        <v>783</v>
      </c>
      <c r="X23" s="338"/>
      <c r="Y23" s="323"/>
      <c r="Z23" s="252"/>
      <c r="AA23" s="338"/>
      <c r="AB23" s="323"/>
      <c r="AC23" s="252"/>
    </row>
    <row r="24" spans="1:29" ht="12.75">
      <c r="A24" s="374">
        <f t="shared" si="0"/>
        <v>8</v>
      </c>
      <c r="H24" s="243"/>
      <c r="I24" s="243"/>
      <c r="J24" s="243"/>
      <c r="K24" s="256">
        <f t="shared" si="1"/>
        <v>8</v>
      </c>
      <c r="M24" s="252"/>
      <c r="N24" s="323"/>
      <c r="O24" s="252"/>
      <c r="P24" s="322"/>
      <c r="Q24" s="243"/>
      <c r="R24" s="243"/>
      <c r="S24" s="252"/>
      <c r="T24" s="323"/>
      <c r="U24" s="252"/>
      <c r="V24" s="256">
        <f t="shared" si="2"/>
        <v>8</v>
      </c>
      <c r="X24" s="338"/>
      <c r="Y24" s="323"/>
      <c r="Z24" s="252"/>
      <c r="AA24" s="338"/>
      <c r="AB24" s="323"/>
      <c r="AC24" s="252"/>
    </row>
    <row r="25" spans="1:29" ht="12.75">
      <c r="A25" s="374">
        <f t="shared" si="0"/>
        <v>9</v>
      </c>
      <c r="B25" s="818" t="s">
        <v>782</v>
      </c>
      <c r="F25" s="342"/>
      <c r="G25" s="301"/>
      <c r="H25" s="322"/>
      <c r="I25" s="337"/>
      <c r="J25" s="251"/>
      <c r="K25" s="256">
        <f t="shared" si="1"/>
        <v>9</v>
      </c>
      <c r="L25" s="341" t="s">
        <v>782</v>
      </c>
      <c r="M25" s="252"/>
      <c r="N25" s="323"/>
      <c r="O25" s="252"/>
      <c r="P25" s="322"/>
      <c r="Q25" s="337"/>
      <c r="R25" s="251"/>
      <c r="S25" s="252"/>
      <c r="T25" s="323"/>
      <c r="U25" s="252"/>
      <c r="V25" s="256">
        <f t="shared" si="2"/>
        <v>9</v>
      </c>
      <c r="W25" s="341" t="s">
        <v>782</v>
      </c>
      <c r="X25" s="338"/>
      <c r="Y25" s="337"/>
      <c r="Z25" s="251"/>
      <c r="AA25" s="338"/>
      <c r="AB25" s="337"/>
      <c r="AC25" s="251">
        <f>ROUND(AA25*AB25,0)</f>
        <v>0</v>
      </c>
    </row>
    <row r="26" spans="1:29" ht="12.75">
      <c r="A26" s="374">
        <f t="shared" si="0"/>
        <v>10</v>
      </c>
      <c r="B26" s="336" t="s">
        <v>177</v>
      </c>
      <c r="C26" s="326">
        <v>17431197</v>
      </c>
      <c r="D26" s="326"/>
      <c r="E26" s="326">
        <f>SUM(C26:D26)</f>
        <v>17431197</v>
      </c>
      <c r="F26" s="375"/>
      <c r="G26" s="301">
        <f>J26+O26+R26+U26+Z26+AC26</f>
        <v>0</v>
      </c>
      <c r="K26" s="256">
        <f t="shared" si="1"/>
        <v>10</v>
      </c>
      <c r="L26" s="336" t="s">
        <v>177</v>
      </c>
      <c r="M26" s="338">
        <v>215902</v>
      </c>
      <c r="N26" s="708"/>
      <c r="O26" s="252"/>
      <c r="P26" s="322">
        <v>8435029</v>
      </c>
      <c r="S26" s="252"/>
      <c r="T26" s="323"/>
      <c r="U26" s="252"/>
      <c r="V26" s="256">
        <f t="shared" si="2"/>
        <v>10</v>
      </c>
      <c r="W26" s="336" t="s">
        <v>177</v>
      </c>
      <c r="X26" s="338"/>
      <c r="Y26" s="337"/>
      <c r="Z26" s="251"/>
      <c r="AA26" s="338">
        <v>474697</v>
      </c>
      <c r="AB26" s="337"/>
      <c r="AC26" s="251"/>
    </row>
    <row r="27" spans="1:29" ht="12.75">
      <c r="A27" s="374">
        <f t="shared" si="0"/>
        <v>11</v>
      </c>
      <c r="B27" s="699" t="s">
        <v>780</v>
      </c>
      <c r="C27" s="326">
        <v>8945376</v>
      </c>
      <c r="E27" s="326">
        <f>SUM(C27:D27)</f>
        <v>8945376</v>
      </c>
      <c r="F27" s="375" t="s">
        <v>1051</v>
      </c>
      <c r="G27" s="301">
        <f>J27+O27+R27+U27+Z27+AC27</f>
        <v>16693</v>
      </c>
      <c r="H27" s="322"/>
      <c r="I27" s="337"/>
      <c r="J27" s="251">
        <f>ROUND(H27*I27,0)</f>
        <v>0</v>
      </c>
      <c r="K27" s="256">
        <f t="shared" si="1"/>
        <v>11</v>
      </c>
      <c r="L27" s="343" t="s">
        <v>780</v>
      </c>
      <c r="M27" s="338">
        <v>41382</v>
      </c>
      <c r="N27" s="708"/>
      <c r="O27" s="252"/>
      <c r="P27" s="322">
        <v>2590152</v>
      </c>
      <c r="Q27" s="337"/>
      <c r="R27" s="251">
        <f>ROUND(P27*Q27,0)</f>
        <v>0</v>
      </c>
      <c r="S27" s="252"/>
      <c r="T27" s="323"/>
      <c r="U27" s="252"/>
      <c r="V27" s="256">
        <f t="shared" si="2"/>
        <v>11</v>
      </c>
      <c r="W27" s="343" t="s">
        <v>780</v>
      </c>
      <c r="X27" s="338">
        <v>263717</v>
      </c>
      <c r="Y27" s="709">
        <v>6.3299999999999995E-2</v>
      </c>
      <c r="Z27" s="251">
        <f>ROUND(X27*Y27,0)</f>
        <v>16693</v>
      </c>
      <c r="AA27" s="338"/>
      <c r="AB27" s="337"/>
      <c r="AC27" s="251"/>
    </row>
    <row r="28" spans="1:29" ht="12.75">
      <c r="A28" s="374">
        <f t="shared" si="0"/>
        <v>12</v>
      </c>
      <c r="B28" s="336" t="s">
        <v>781</v>
      </c>
      <c r="C28" s="244">
        <v>7727627</v>
      </c>
      <c r="E28" s="326">
        <f>SUM(C28:D28)</f>
        <v>7727627</v>
      </c>
      <c r="F28" s="375"/>
      <c r="G28" s="301">
        <f>J28+O28+R28+U28+Z28+AC28</f>
        <v>0</v>
      </c>
      <c r="H28" s="322"/>
      <c r="I28" s="323"/>
      <c r="J28" s="252"/>
      <c r="K28" s="256">
        <f t="shared" si="1"/>
        <v>12</v>
      </c>
      <c r="L28" s="340" t="s">
        <v>781</v>
      </c>
      <c r="M28" s="252"/>
      <c r="N28" s="323"/>
      <c r="O28" s="252"/>
      <c r="P28" s="322">
        <v>2168839</v>
      </c>
      <c r="Q28" s="323"/>
      <c r="R28" s="252"/>
      <c r="S28" s="252"/>
      <c r="T28" s="323"/>
      <c r="U28" s="252"/>
      <c r="V28" s="256">
        <f t="shared" si="2"/>
        <v>12</v>
      </c>
      <c r="W28" s="340" t="s">
        <v>781</v>
      </c>
      <c r="X28" s="338">
        <v>1650707</v>
      </c>
      <c r="Y28" s="323"/>
      <c r="Z28" s="252"/>
      <c r="AA28" s="338">
        <v>438634</v>
      </c>
      <c r="AB28" s="323"/>
      <c r="AC28" s="252"/>
    </row>
    <row r="29" spans="1:29">
      <c r="A29" s="374">
        <f t="shared" si="0"/>
        <v>13</v>
      </c>
      <c r="B29" s="246"/>
      <c r="C29" s="549"/>
      <c r="D29" s="549"/>
      <c r="E29" s="549"/>
      <c r="F29" s="327"/>
      <c r="G29" s="345"/>
      <c r="H29" s="346"/>
      <c r="I29" s="337"/>
      <c r="J29" s="346"/>
      <c r="K29" s="256">
        <f t="shared" si="1"/>
        <v>13</v>
      </c>
      <c r="L29" s="246"/>
      <c r="M29" s="346"/>
      <c r="N29" s="339"/>
      <c r="O29" s="346">
        <f>ROUND(M29*N29,0)</f>
        <v>0</v>
      </c>
      <c r="P29" s="346"/>
      <c r="Q29" s="337"/>
      <c r="R29" s="346"/>
      <c r="S29" s="346"/>
      <c r="T29" s="339"/>
      <c r="U29" s="346">
        <f>ROUND(S29*T29,0)</f>
        <v>0</v>
      </c>
      <c r="V29" s="256">
        <f t="shared" si="2"/>
        <v>13</v>
      </c>
      <c r="W29" s="246"/>
      <c r="X29" s="346"/>
      <c r="Y29" s="249"/>
      <c r="Z29" s="347"/>
      <c r="AA29" s="346"/>
      <c r="AB29" s="249"/>
      <c r="AC29" s="347"/>
    </row>
    <row r="30" spans="1:29" ht="12.75">
      <c r="A30" s="374">
        <f t="shared" si="0"/>
        <v>14</v>
      </c>
      <c r="C30" s="244"/>
      <c r="D30" s="244"/>
      <c r="E30" s="244"/>
      <c r="F30" s="332"/>
      <c r="G30" s="244"/>
      <c r="H30" s="244"/>
      <c r="I30" s="337"/>
      <c r="J30" s="244"/>
      <c r="K30" s="256">
        <f t="shared" si="1"/>
        <v>14</v>
      </c>
      <c r="M30" s="244"/>
      <c r="N30" s="339"/>
      <c r="O30" s="244"/>
      <c r="P30" s="244"/>
      <c r="Q30" s="337"/>
      <c r="R30" s="244"/>
      <c r="S30" s="244"/>
      <c r="T30" s="339"/>
      <c r="U30" s="244"/>
      <c r="V30" s="256">
        <f t="shared" si="2"/>
        <v>14</v>
      </c>
      <c r="X30" s="244"/>
      <c r="Y30" s="323"/>
      <c r="Z30" s="244"/>
      <c r="AA30" s="244"/>
      <c r="AB30" s="323"/>
      <c r="AC30" s="244"/>
    </row>
    <row r="31" spans="1:29" ht="13.5" thickBot="1">
      <c r="A31" s="374">
        <f t="shared" si="0"/>
        <v>15</v>
      </c>
      <c r="B31" s="246" t="s">
        <v>266</v>
      </c>
      <c r="C31" s="333">
        <f>SUM(C20:C29)</f>
        <v>44997031</v>
      </c>
      <c r="D31" s="333">
        <f>SUM(D20:D29)</f>
        <v>0</v>
      </c>
      <c r="E31" s="333">
        <f>SUM(E20:E29)</f>
        <v>44997031</v>
      </c>
      <c r="F31" s="331"/>
      <c r="G31" s="333">
        <f>SUM(G20:G29)</f>
        <v>1225125</v>
      </c>
      <c r="H31" s="333">
        <f>SUM(H20:H29)</f>
        <v>0</v>
      </c>
      <c r="I31" s="323"/>
      <c r="J31" s="333">
        <f>SUM(J20:J29)</f>
        <v>0</v>
      </c>
      <c r="K31" s="256">
        <f t="shared" si="1"/>
        <v>15</v>
      </c>
      <c r="L31" s="246" t="s">
        <v>266</v>
      </c>
      <c r="M31" s="333">
        <f>SUM(M20:M29)</f>
        <v>336089</v>
      </c>
      <c r="N31" s="323"/>
      <c r="O31" s="333">
        <f>SUM(O20:O29)</f>
        <v>0</v>
      </c>
      <c r="P31" s="333">
        <f>SUM(P20:P29)</f>
        <v>15119745</v>
      </c>
      <c r="Q31" s="323"/>
      <c r="R31" s="333">
        <f>SUM(R20:R29)</f>
        <v>387441</v>
      </c>
      <c r="S31" s="333">
        <f>SUM(S20:S29)</f>
        <v>7200</v>
      </c>
      <c r="T31" s="323"/>
      <c r="U31" s="333">
        <f>SUM(U20:U29)</f>
        <v>2257</v>
      </c>
      <c r="V31" s="256">
        <f t="shared" si="2"/>
        <v>15</v>
      </c>
      <c r="W31" s="246" t="s">
        <v>266</v>
      </c>
      <c r="X31" s="333">
        <f>SUM(X20:X29)</f>
        <v>3265969</v>
      </c>
      <c r="Y31" s="323"/>
      <c r="Z31" s="333">
        <f>SUM(Z20:Z29)</f>
        <v>58344</v>
      </c>
      <c r="AA31" s="333">
        <f>SUM(AA20:AA29)</f>
        <v>2258696</v>
      </c>
      <c r="AB31" s="323"/>
      <c r="AC31" s="333">
        <f>SUM(AC20:AC29)</f>
        <v>777083</v>
      </c>
    </row>
    <row r="32" spans="1:29" ht="13.5" thickTop="1">
      <c r="A32" s="246"/>
      <c r="B32" s="246"/>
      <c r="C32" s="244"/>
      <c r="D32" s="244"/>
      <c r="E32" s="244"/>
      <c r="F32" s="332"/>
      <c r="G32" s="244"/>
      <c r="H32" s="322"/>
      <c r="I32" s="323"/>
      <c r="J32" s="252"/>
      <c r="K32" s="250"/>
      <c r="L32" s="246"/>
      <c r="M32" s="252"/>
      <c r="N32" s="323"/>
      <c r="O32" s="252"/>
      <c r="P32" s="322"/>
      <c r="Q32" s="323"/>
      <c r="R32" s="252"/>
      <c r="S32" s="252"/>
      <c r="T32" s="323"/>
      <c r="U32" s="252"/>
      <c r="V32" s="250"/>
      <c r="W32" s="246"/>
      <c r="X32" s="252"/>
      <c r="Y32" s="323"/>
      <c r="Z32" s="252"/>
      <c r="AA32" s="252"/>
      <c r="AB32" s="323"/>
      <c r="AC32" s="252"/>
    </row>
    <row r="33" spans="1:31" ht="12.75">
      <c r="B33" s="348"/>
      <c r="C33" s="244"/>
      <c r="D33" s="244"/>
      <c r="E33" s="244"/>
      <c r="F33" s="325"/>
      <c r="G33" s="244"/>
      <c r="H33" s="322"/>
      <c r="I33" s="323"/>
      <c r="J33" s="252"/>
      <c r="L33" s="348"/>
      <c r="M33" s="252"/>
      <c r="N33" s="323"/>
      <c r="O33" s="252"/>
      <c r="P33" s="322"/>
      <c r="Q33" s="323"/>
      <c r="R33" s="252"/>
      <c r="S33" s="252"/>
      <c r="T33" s="323"/>
      <c r="U33" s="252"/>
      <c r="W33" s="348"/>
      <c r="X33" s="252"/>
      <c r="Y33" s="323"/>
      <c r="Z33" s="252"/>
      <c r="AA33" s="252"/>
      <c r="AB33" s="323"/>
      <c r="AC33" s="252"/>
    </row>
    <row r="34" spans="1:31" s="554" customFormat="1" ht="12.75">
      <c r="A34" s="246" t="s">
        <v>127</v>
      </c>
      <c r="B34" s="246"/>
      <c r="C34" s="246"/>
      <c r="D34" s="246"/>
      <c r="E34" s="242"/>
      <c r="F34" s="306"/>
      <c r="G34" s="242"/>
      <c r="J34" s="307" t="s">
        <v>84</v>
      </c>
      <c r="K34" s="849" t="s">
        <v>127</v>
      </c>
      <c r="L34" s="250"/>
      <c r="U34" s="307" t="s">
        <v>84</v>
      </c>
      <c r="V34" s="849" t="s">
        <v>127</v>
      </c>
      <c r="W34" s="250"/>
      <c r="AC34" s="307" t="s">
        <v>84</v>
      </c>
    </row>
    <row r="35" spans="1:31" s="554" customFormat="1" ht="12.75">
      <c r="A35" s="246" t="s">
        <v>128</v>
      </c>
      <c r="B35" s="246"/>
      <c r="C35" s="246"/>
      <c r="D35" s="246"/>
      <c r="E35" s="242"/>
      <c r="F35" s="306"/>
      <c r="G35" s="242"/>
      <c r="J35" s="307"/>
      <c r="K35" s="849" t="s">
        <v>128</v>
      </c>
      <c r="L35" s="250"/>
      <c r="U35" s="307"/>
      <c r="V35" s="849" t="s">
        <v>128</v>
      </c>
      <c r="W35" s="250"/>
      <c r="AC35" s="307"/>
    </row>
    <row r="36" spans="1:31" s="554" customFormat="1" ht="12.75">
      <c r="A36" s="246"/>
      <c r="B36" s="246"/>
      <c r="C36" s="246"/>
      <c r="D36" s="246"/>
      <c r="E36" s="242"/>
      <c r="F36" s="291"/>
      <c r="G36" s="242"/>
      <c r="J36" s="311" t="s">
        <v>1037</v>
      </c>
      <c r="K36" s="250"/>
      <c r="L36" s="250"/>
      <c r="U36" s="311" t="s">
        <v>1037</v>
      </c>
      <c r="V36" s="250"/>
      <c r="W36" s="250"/>
      <c r="AC36" s="311" t="s">
        <v>1037</v>
      </c>
    </row>
    <row r="37" spans="1:31" s="554" customFormat="1" ht="12.75">
      <c r="A37" s="246" t="s">
        <v>565</v>
      </c>
      <c r="B37" s="246"/>
      <c r="C37" s="246"/>
      <c r="D37" s="246"/>
      <c r="E37" s="242"/>
      <c r="F37" s="272"/>
      <c r="G37" s="242"/>
      <c r="J37" s="851" t="s">
        <v>85</v>
      </c>
      <c r="K37" s="250" t="s">
        <v>565</v>
      </c>
      <c r="L37" s="250"/>
      <c r="U37" s="851" t="s">
        <v>246</v>
      </c>
      <c r="V37" s="250" t="s">
        <v>565</v>
      </c>
      <c r="W37" s="250"/>
      <c r="AC37" s="851" t="s">
        <v>247</v>
      </c>
    </row>
    <row r="38" spans="1:31" s="554" customFormat="1" ht="12.75">
      <c r="A38" s="246" t="s">
        <v>705</v>
      </c>
      <c r="B38" s="246"/>
      <c r="C38" s="246"/>
      <c r="D38" s="246"/>
      <c r="E38" s="242"/>
      <c r="F38" s="272"/>
      <c r="G38" s="242"/>
      <c r="J38" s="313" t="s">
        <v>558</v>
      </c>
      <c r="K38" s="250" t="s">
        <v>705</v>
      </c>
      <c r="L38" s="250"/>
      <c r="U38" s="313" t="s">
        <v>558</v>
      </c>
      <c r="V38" s="250" t="s">
        <v>705</v>
      </c>
      <c r="W38" s="250"/>
      <c r="AC38" s="313" t="s">
        <v>558</v>
      </c>
    </row>
    <row r="39" spans="1:31" s="554" customFormat="1" ht="12.75">
      <c r="A39" s="246" t="s">
        <v>566</v>
      </c>
      <c r="B39" s="246"/>
      <c r="C39" s="246"/>
      <c r="D39" s="246"/>
      <c r="E39" s="246"/>
      <c r="F39" s="246"/>
      <c r="G39" s="246"/>
      <c r="K39" s="250" t="s">
        <v>566</v>
      </c>
      <c r="L39" s="250"/>
      <c r="V39" s="250" t="s">
        <v>566</v>
      </c>
      <c r="W39" s="250"/>
    </row>
    <row r="40" spans="1:31" s="554" customFormat="1" ht="12.75">
      <c r="A40" s="272" t="s">
        <v>285</v>
      </c>
      <c r="B40" s="246"/>
      <c r="C40" s="246"/>
      <c r="D40" s="246"/>
      <c r="E40" s="246"/>
      <c r="F40" s="246"/>
      <c r="G40" s="246"/>
      <c r="K40" s="850" t="s">
        <v>285</v>
      </c>
      <c r="L40" s="250"/>
      <c r="V40" s="850" t="s">
        <v>285</v>
      </c>
      <c r="W40" s="250"/>
    </row>
    <row r="41" spans="1:31" s="554" customFormat="1" ht="12.75">
      <c r="A41" s="246"/>
      <c r="B41" s="246"/>
      <c r="C41" s="246"/>
      <c r="D41" s="246"/>
      <c r="E41" s="246"/>
      <c r="F41" s="246"/>
      <c r="G41" s="246"/>
      <c r="K41" s="250"/>
      <c r="L41" s="250"/>
      <c r="V41" s="250"/>
      <c r="W41" s="250"/>
    </row>
    <row r="42" spans="1:31" s="554" customFormat="1" ht="12.75" customHeight="1">
      <c r="A42" s="434" t="s">
        <v>1038</v>
      </c>
      <c r="B42" s="434"/>
      <c r="C42" s="434"/>
      <c r="D42" s="434"/>
      <c r="E42" s="836"/>
      <c r="F42" s="836"/>
      <c r="G42" s="836"/>
    </row>
    <row r="43" spans="1:31" s="554" customFormat="1" ht="13.5" thickBot="1">
      <c r="A43" s="434"/>
      <c r="B43" s="434"/>
      <c r="C43" s="434"/>
      <c r="D43" s="434"/>
      <c r="E43" s="836"/>
      <c r="F43" s="836"/>
      <c r="G43" s="836"/>
    </row>
    <row r="44" spans="1:31" ht="12.75" thickBot="1">
      <c r="A44" s="273"/>
      <c r="B44" s="273"/>
      <c r="C44" s="1001" t="s">
        <v>438</v>
      </c>
      <c r="D44" s="1002"/>
      <c r="E44" s="1002"/>
      <c r="F44" s="1002"/>
      <c r="G44" s="1003"/>
      <c r="H44" s="1004" t="s">
        <v>533</v>
      </c>
      <c r="I44" s="1005"/>
      <c r="J44" s="1006"/>
      <c r="K44" s="261"/>
      <c r="L44" s="261"/>
      <c r="M44" s="1004" t="s">
        <v>798</v>
      </c>
      <c r="N44" s="1005"/>
      <c r="O44" s="1006"/>
      <c r="P44" s="1004" t="s">
        <v>571</v>
      </c>
      <c r="Q44" s="1005"/>
      <c r="R44" s="1006"/>
      <c r="S44" s="1004" t="s">
        <v>776</v>
      </c>
      <c r="T44" s="1005"/>
      <c r="U44" s="1006"/>
      <c r="V44" s="261"/>
      <c r="W44" s="261"/>
      <c r="X44" s="1005" t="s">
        <v>800</v>
      </c>
      <c r="Y44" s="1005"/>
      <c r="Z44" s="1006"/>
      <c r="AA44" s="1005" t="s">
        <v>778</v>
      </c>
      <c r="AB44" s="1005"/>
      <c r="AC44" s="1006"/>
    </row>
    <row r="45" spans="1:31">
      <c r="A45" s="246"/>
      <c r="B45" s="368" t="s">
        <v>202</v>
      </c>
      <c r="C45" s="274" t="s">
        <v>203</v>
      </c>
      <c r="D45" s="274" t="s">
        <v>204</v>
      </c>
      <c r="E45" s="314">
        <v>-4</v>
      </c>
      <c r="F45" s="314">
        <v>-5</v>
      </c>
      <c r="G45" s="314">
        <v>-6</v>
      </c>
      <c r="H45" s="315">
        <v>-7</v>
      </c>
      <c r="I45" s="316">
        <v>-8</v>
      </c>
      <c r="J45" s="316">
        <v>-9</v>
      </c>
      <c r="K45" s="250"/>
      <c r="L45" s="258" t="s">
        <v>202</v>
      </c>
      <c r="M45" s="254" t="s">
        <v>203</v>
      </c>
      <c r="N45" s="254" t="s">
        <v>204</v>
      </c>
      <c r="O45" s="262">
        <v>-4</v>
      </c>
      <c r="P45" s="314">
        <v>-5</v>
      </c>
      <c r="Q45" s="314">
        <v>-6</v>
      </c>
      <c r="R45" s="315">
        <v>-7</v>
      </c>
      <c r="S45" s="316">
        <v>-8</v>
      </c>
      <c r="T45" s="316">
        <v>-9</v>
      </c>
      <c r="U45" s="316">
        <v>-10</v>
      </c>
      <c r="V45" s="250"/>
      <c r="W45" s="258" t="s">
        <v>202</v>
      </c>
      <c r="X45" s="254" t="s">
        <v>203</v>
      </c>
      <c r="Y45" s="254" t="s">
        <v>204</v>
      </c>
      <c r="Z45" s="262">
        <v>-4</v>
      </c>
      <c r="AA45" s="314">
        <v>-5</v>
      </c>
      <c r="AB45" s="314">
        <v>-6</v>
      </c>
      <c r="AC45" s="315">
        <v>-7</v>
      </c>
      <c r="AD45" s="316"/>
      <c r="AE45" s="316"/>
    </row>
    <row r="46" spans="1:31" s="554" customFormat="1" ht="12.75">
      <c r="A46" s="274"/>
      <c r="B46" s="434"/>
      <c r="C46" s="56"/>
      <c r="D46" s="56"/>
      <c r="E46" s="56"/>
      <c r="F46" s="56" t="s">
        <v>93</v>
      </c>
      <c r="G46" s="56" t="s">
        <v>93</v>
      </c>
      <c r="H46" s="315"/>
      <c r="I46" s="56" t="s">
        <v>93</v>
      </c>
      <c r="J46" s="56" t="s">
        <v>93</v>
      </c>
      <c r="K46" s="243"/>
      <c r="L46" s="285"/>
      <c r="M46" s="315"/>
      <c r="N46" s="56" t="s">
        <v>93</v>
      </c>
      <c r="O46" s="56" t="s">
        <v>93</v>
      </c>
      <c r="P46" s="315"/>
      <c r="Q46" s="56" t="s">
        <v>93</v>
      </c>
      <c r="R46" s="56" t="s">
        <v>93</v>
      </c>
      <c r="S46" s="315"/>
      <c r="T46" s="56" t="s">
        <v>93</v>
      </c>
      <c r="U46" s="56" t="s">
        <v>93</v>
      </c>
      <c r="V46" s="243"/>
      <c r="W46" s="285"/>
      <c r="X46" s="315"/>
      <c r="Y46" s="56" t="s">
        <v>93</v>
      </c>
      <c r="Z46" s="56" t="s">
        <v>93</v>
      </c>
      <c r="AA46" s="315"/>
      <c r="AB46" s="56" t="s">
        <v>93</v>
      </c>
      <c r="AC46" s="56" t="s">
        <v>93</v>
      </c>
    </row>
    <row r="47" spans="1:31" s="554" customFormat="1" ht="12.75">
      <c r="A47" s="274" t="s">
        <v>289</v>
      </c>
      <c r="B47" s="434"/>
      <c r="C47" s="56" t="s">
        <v>434</v>
      </c>
      <c r="D47" s="847"/>
      <c r="E47" s="56" t="s">
        <v>296</v>
      </c>
      <c r="F47" s="317" t="s">
        <v>96</v>
      </c>
      <c r="G47" s="317" t="s">
        <v>97</v>
      </c>
      <c r="H47" s="318" t="s">
        <v>296</v>
      </c>
      <c r="I47" s="317" t="s">
        <v>96</v>
      </c>
      <c r="J47" s="317" t="s">
        <v>97</v>
      </c>
      <c r="K47" s="258" t="s">
        <v>289</v>
      </c>
      <c r="L47" s="285"/>
      <c r="M47" s="318" t="s">
        <v>296</v>
      </c>
      <c r="N47" s="317" t="s">
        <v>96</v>
      </c>
      <c r="O47" s="317" t="s">
        <v>97</v>
      </c>
      <c r="P47" s="318" t="s">
        <v>296</v>
      </c>
      <c r="Q47" s="317" t="s">
        <v>96</v>
      </c>
      <c r="R47" s="317" t="s">
        <v>97</v>
      </c>
      <c r="S47" s="318" t="s">
        <v>296</v>
      </c>
      <c r="T47" s="317" t="s">
        <v>96</v>
      </c>
      <c r="U47" s="317" t="s">
        <v>97</v>
      </c>
      <c r="V47" s="258" t="s">
        <v>289</v>
      </c>
      <c r="W47" s="285"/>
      <c r="X47" s="318" t="s">
        <v>296</v>
      </c>
      <c r="Y47" s="317" t="s">
        <v>96</v>
      </c>
      <c r="Z47" s="317" t="s">
        <v>97</v>
      </c>
      <c r="AA47" s="318" t="s">
        <v>296</v>
      </c>
      <c r="AB47" s="317" t="s">
        <v>96</v>
      </c>
      <c r="AC47" s="317" t="s">
        <v>97</v>
      </c>
    </row>
    <row r="48" spans="1:31" s="554" customFormat="1" ht="15.75" thickBot="1">
      <c r="A48" s="353" t="s">
        <v>351</v>
      </c>
      <c r="B48" s="353" t="s">
        <v>352</v>
      </c>
      <c r="C48" s="319" t="s">
        <v>339</v>
      </c>
      <c r="D48" s="319" t="s">
        <v>354</v>
      </c>
      <c r="E48" s="319" t="s">
        <v>95</v>
      </c>
      <c r="F48" s="319" t="s">
        <v>416</v>
      </c>
      <c r="G48" s="319" t="s">
        <v>416</v>
      </c>
      <c r="H48" s="320" t="s">
        <v>95</v>
      </c>
      <c r="I48" s="319" t="s">
        <v>416</v>
      </c>
      <c r="J48" s="319" t="s">
        <v>416</v>
      </c>
      <c r="K48" s="298" t="s">
        <v>351</v>
      </c>
      <c r="L48" s="298" t="s">
        <v>352</v>
      </c>
      <c r="M48" s="320" t="s">
        <v>95</v>
      </c>
      <c r="N48" s="319" t="s">
        <v>416</v>
      </c>
      <c r="O48" s="319" t="s">
        <v>416</v>
      </c>
      <c r="P48" s="320" t="s">
        <v>95</v>
      </c>
      <c r="Q48" s="319" t="s">
        <v>416</v>
      </c>
      <c r="R48" s="319" t="s">
        <v>416</v>
      </c>
      <c r="S48" s="320" t="s">
        <v>95</v>
      </c>
      <c r="T48" s="319" t="s">
        <v>416</v>
      </c>
      <c r="U48" s="319" t="s">
        <v>416</v>
      </c>
      <c r="V48" s="298" t="s">
        <v>351</v>
      </c>
      <c r="W48" s="298" t="s">
        <v>352</v>
      </c>
      <c r="X48" s="320" t="s">
        <v>95</v>
      </c>
      <c r="Y48" s="319" t="s">
        <v>416</v>
      </c>
      <c r="Z48" s="319" t="s">
        <v>416</v>
      </c>
      <c r="AA48" s="320" t="s">
        <v>95</v>
      </c>
      <c r="AB48" s="319" t="s">
        <v>416</v>
      </c>
      <c r="AC48" s="319" t="s">
        <v>416</v>
      </c>
    </row>
    <row r="49" spans="1:29" s="554" customFormat="1" ht="12.75">
      <c r="A49" s="838"/>
      <c r="B49" s="242"/>
      <c r="C49" s="838"/>
      <c r="D49" s="838"/>
      <c r="E49" s="838"/>
      <c r="F49" s="321"/>
      <c r="G49" s="838"/>
      <c r="K49" s="263"/>
      <c r="L49" s="243"/>
      <c r="V49" s="263"/>
      <c r="W49" s="243"/>
    </row>
    <row r="50" spans="1:29" ht="12.75">
      <c r="A50" s="374">
        <v>1</v>
      </c>
      <c r="B50" s="246" t="s">
        <v>267</v>
      </c>
      <c r="C50" s="326"/>
      <c r="D50" s="326"/>
      <c r="E50" s="326"/>
      <c r="F50" s="555"/>
      <c r="G50" s="326"/>
      <c r="H50" s="322"/>
      <c r="I50" s="323"/>
      <c r="J50" s="252"/>
      <c r="K50" s="256">
        <v>1</v>
      </c>
      <c r="L50" s="246" t="s">
        <v>267</v>
      </c>
      <c r="M50" s="252"/>
      <c r="N50" s="323"/>
      <c r="O50" s="252"/>
      <c r="P50" s="322"/>
      <c r="Q50" s="323"/>
      <c r="R50" s="252"/>
      <c r="S50" s="252"/>
      <c r="T50" s="323"/>
      <c r="U50" s="252"/>
      <c r="V50" s="256">
        <v>1</v>
      </c>
      <c r="W50" s="246" t="s">
        <v>267</v>
      </c>
      <c r="X50" s="252"/>
      <c r="Y50" s="323"/>
      <c r="Z50" s="252"/>
      <c r="AA50" s="252"/>
      <c r="AB50" s="323"/>
      <c r="AC50" s="252"/>
    </row>
    <row r="51" spans="1:29" ht="12.75">
      <c r="A51" s="374">
        <f t="shared" ref="A51:A64" si="3">A50+1</f>
        <v>2</v>
      </c>
      <c r="B51" s="246"/>
      <c r="C51" s="326"/>
      <c r="D51" s="326"/>
      <c r="E51" s="326"/>
      <c r="F51" s="555"/>
      <c r="G51" s="326"/>
      <c r="H51" s="322"/>
      <c r="I51" s="323"/>
      <c r="J51" s="252"/>
      <c r="K51" s="256">
        <f t="shared" ref="K51:K64" si="4">K50+1</f>
        <v>2</v>
      </c>
      <c r="L51" s="246"/>
      <c r="M51" s="252"/>
      <c r="N51" s="323"/>
      <c r="O51" s="252"/>
      <c r="P51" s="322"/>
      <c r="Q51" s="323"/>
      <c r="R51" s="252"/>
      <c r="S51" s="252"/>
      <c r="T51" s="323"/>
      <c r="U51" s="252"/>
      <c r="V51" s="256">
        <f t="shared" ref="V51:V64" si="5">V50+1</f>
        <v>2</v>
      </c>
      <c r="W51" s="246"/>
      <c r="X51" s="252"/>
      <c r="Y51" s="323"/>
      <c r="Z51" s="252"/>
      <c r="AA51" s="252"/>
      <c r="AB51" s="323"/>
      <c r="AC51" s="252"/>
    </row>
    <row r="52" spans="1:29" ht="12.75">
      <c r="A52" s="374">
        <f t="shared" si="3"/>
        <v>3</v>
      </c>
      <c r="B52" s="246" t="s">
        <v>779</v>
      </c>
      <c r="C52" s="326"/>
      <c r="D52" s="326"/>
      <c r="E52" s="326"/>
      <c r="F52" s="555"/>
      <c r="G52" s="326"/>
      <c r="H52" s="322"/>
      <c r="I52" s="323"/>
      <c r="J52" s="252"/>
      <c r="K52" s="256">
        <f t="shared" si="4"/>
        <v>3</v>
      </c>
      <c r="L52" s="246" t="s">
        <v>779</v>
      </c>
      <c r="M52" s="252"/>
      <c r="N52" s="323"/>
      <c r="O52" s="252"/>
      <c r="P52" s="322"/>
      <c r="Q52" s="323"/>
      <c r="R52" s="252"/>
      <c r="S52" s="252"/>
      <c r="T52" s="323"/>
      <c r="U52" s="252"/>
      <c r="V52" s="256">
        <f t="shared" si="5"/>
        <v>3</v>
      </c>
      <c r="W52" s="246" t="s">
        <v>779</v>
      </c>
      <c r="X52" s="252"/>
      <c r="Y52" s="323"/>
      <c r="Z52" s="252"/>
      <c r="AA52" s="252"/>
      <c r="AB52" s="323"/>
      <c r="AC52" s="252"/>
    </row>
    <row r="53" spans="1:29" ht="12.75">
      <c r="A53" s="374">
        <f t="shared" si="3"/>
        <v>4</v>
      </c>
      <c r="B53" s="336" t="s">
        <v>175</v>
      </c>
      <c r="C53" s="326">
        <v>348602</v>
      </c>
      <c r="D53" s="326"/>
      <c r="E53" s="326">
        <f>SUM(C53:D53)</f>
        <v>348602</v>
      </c>
      <c r="F53" s="375" t="s">
        <v>1051</v>
      </c>
      <c r="G53" s="301">
        <f>R53+U53+Z53+AC53+O53+J53</f>
        <v>155713</v>
      </c>
      <c r="H53" s="322"/>
      <c r="I53" s="337"/>
      <c r="J53" s="251">
        <f>ROUND(H53*I53,0)</f>
        <v>0</v>
      </c>
      <c r="K53" s="256">
        <f t="shared" si="4"/>
        <v>4</v>
      </c>
      <c r="L53" s="336" t="s">
        <v>175</v>
      </c>
      <c r="M53" s="329"/>
      <c r="N53" s="323"/>
      <c r="O53" s="329"/>
      <c r="P53" s="322">
        <v>90687</v>
      </c>
      <c r="Q53" s="337">
        <f>1-53.54%</f>
        <v>0.46460000000000001</v>
      </c>
      <c r="R53" s="251">
        <f>ROUND(P53*Q53,0)</f>
        <v>42133</v>
      </c>
      <c r="S53" s="329"/>
      <c r="T53" s="323"/>
      <c r="U53" s="329"/>
      <c r="V53" s="256">
        <f t="shared" si="5"/>
        <v>4</v>
      </c>
      <c r="W53" s="336" t="s">
        <v>175</v>
      </c>
      <c r="X53" s="338">
        <v>24519</v>
      </c>
      <c r="Y53" s="709">
        <v>6.3299999999999995E-2</v>
      </c>
      <c r="Z53" s="251">
        <f>ROUND(X53*Y53,0)</f>
        <v>1552</v>
      </c>
      <c r="AA53" s="338">
        <v>193954</v>
      </c>
      <c r="AB53" s="337">
        <f>1-42.24%</f>
        <v>0.5776</v>
      </c>
      <c r="AC53" s="251">
        <f>ROUND(AA53*AB53,0)</f>
        <v>112028</v>
      </c>
    </row>
    <row r="54" spans="1:29" ht="12.75">
      <c r="A54" s="374">
        <f t="shared" si="3"/>
        <v>5</v>
      </c>
      <c r="B54" s="336" t="s">
        <v>176</v>
      </c>
      <c r="C54" s="326">
        <v>15874</v>
      </c>
      <c r="D54" s="326"/>
      <c r="E54" s="326">
        <f>SUM(C54:D54)</f>
        <v>15874</v>
      </c>
      <c r="F54" s="555"/>
      <c r="G54" s="301">
        <f>R54+U54+Z54+AC54+O54+J54</f>
        <v>0</v>
      </c>
      <c r="H54" s="322"/>
      <c r="I54" s="323"/>
      <c r="J54" s="329"/>
      <c r="K54" s="256">
        <f t="shared" si="4"/>
        <v>5</v>
      </c>
      <c r="L54" s="336" t="s">
        <v>176</v>
      </c>
      <c r="M54" s="329"/>
      <c r="N54" s="323"/>
      <c r="O54" s="329"/>
      <c r="P54" s="322"/>
      <c r="Q54" s="323"/>
      <c r="R54" s="329"/>
      <c r="S54" s="329"/>
      <c r="T54" s="323"/>
      <c r="U54" s="329"/>
      <c r="V54" s="256">
        <f t="shared" si="5"/>
        <v>5</v>
      </c>
      <c r="W54" s="336" t="s">
        <v>176</v>
      </c>
      <c r="X54" s="338">
        <v>257242</v>
      </c>
      <c r="Y54" s="323"/>
      <c r="Z54" s="329"/>
      <c r="AA54" s="338"/>
      <c r="AB54" s="323"/>
      <c r="AC54" s="329"/>
    </row>
    <row r="55" spans="1:29">
      <c r="A55" s="374">
        <f t="shared" si="3"/>
        <v>6</v>
      </c>
      <c r="B55" s="336" t="s">
        <v>258</v>
      </c>
      <c r="C55" s="326">
        <v>1876423</v>
      </c>
      <c r="D55" s="326">
        <v>-33139</v>
      </c>
      <c r="E55" s="326">
        <f>SUM(C55:D55)</f>
        <v>1843284</v>
      </c>
      <c r="F55" s="375" t="s">
        <v>1051</v>
      </c>
      <c r="G55" s="301">
        <f>R55+U55+Z55+AC55+O55+J55</f>
        <v>11546</v>
      </c>
      <c r="H55" s="366"/>
      <c r="I55" s="337"/>
      <c r="J55" s="251"/>
      <c r="K55" s="256">
        <f t="shared" si="4"/>
        <v>6</v>
      </c>
      <c r="L55" s="336" t="s">
        <v>258</v>
      </c>
      <c r="M55" s="338">
        <v>111944</v>
      </c>
      <c r="N55" s="339"/>
      <c r="O55" s="251">
        <f>ROUND(M55*N55,0)</f>
        <v>0</v>
      </c>
      <c r="P55" s="322">
        <v>818706</v>
      </c>
      <c r="Q55" s="337"/>
      <c r="R55" s="251"/>
      <c r="S55" s="338">
        <v>2496</v>
      </c>
      <c r="T55" s="339">
        <f>1-68.65%</f>
        <v>0.31349999999999989</v>
      </c>
      <c r="U55" s="251">
        <f>ROUND(S55*T55,0)</f>
        <v>782</v>
      </c>
      <c r="V55" s="256">
        <f t="shared" si="5"/>
        <v>6</v>
      </c>
      <c r="W55" s="336" t="s">
        <v>258</v>
      </c>
      <c r="X55" s="338">
        <v>166588</v>
      </c>
      <c r="Y55" s="709">
        <v>6.3299999999999995E-2</v>
      </c>
      <c r="Z55" s="251">
        <f>ROUND(X55*Y55,0)</f>
        <v>10545</v>
      </c>
      <c r="AA55" s="338">
        <v>379</v>
      </c>
      <c r="AB55" s="337">
        <f>1-42.24%</f>
        <v>0.5776</v>
      </c>
      <c r="AC55" s="251">
        <f>ROUND(AA55*AB55,0)</f>
        <v>219</v>
      </c>
    </row>
    <row r="56" spans="1:29" ht="12.75">
      <c r="A56" s="374">
        <f t="shared" si="3"/>
        <v>7</v>
      </c>
      <c r="B56" s="336" t="s">
        <v>783</v>
      </c>
      <c r="C56" s="326">
        <v>740425</v>
      </c>
      <c r="D56" s="326"/>
      <c r="E56" s="326">
        <f>SUM(C56:D56)</f>
        <v>740425</v>
      </c>
      <c r="G56" s="301">
        <f t="shared" ref="G56:G61" si="6">R56+U56+Z56+AC56+O56+J56</f>
        <v>0</v>
      </c>
      <c r="H56" s="243"/>
      <c r="I56" s="243"/>
      <c r="J56" s="243"/>
      <c r="K56" s="256">
        <f t="shared" si="4"/>
        <v>7</v>
      </c>
      <c r="L56" s="340" t="s">
        <v>783</v>
      </c>
      <c r="M56" s="252"/>
      <c r="N56" s="323"/>
      <c r="O56" s="252"/>
      <c r="P56" s="322"/>
      <c r="Q56" s="243"/>
      <c r="R56" s="243"/>
      <c r="S56" s="252"/>
      <c r="T56" s="323"/>
      <c r="U56" s="252"/>
      <c r="V56" s="256">
        <f t="shared" si="5"/>
        <v>7</v>
      </c>
      <c r="W56" s="340" t="s">
        <v>783</v>
      </c>
      <c r="X56" s="338"/>
      <c r="Y56" s="323"/>
      <c r="Z56" s="252"/>
      <c r="AA56" s="338"/>
      <c r="AB56" s="323"/>
      <c r="AC56" s="252"/>
    </row>
    <row r="57" spans="1:29" ht="12.75">
      <c r="A57" s="374">
        <f t="shared" si="3"/>
        <v>8</v>
      </c>
      <c r="G57" s="301">
        <f t="shared" si="6"/>
        <v>0</v>
      </c>
      <c r="H57" s="243"/>
      <c r="I57" s="243"/>
      <c r="J57" s="243"/>
      <c r="K57" s="256">
        <f t="shared" si="4"/>
        <v>8</v>
      </c>
      <c r="M57" s="252"/>
      <c r="N57" s="323"/>
      <c r="O57" s="252"/>
      <c r="P57" s="322"/>
      <c r="Q57" s="243"/>
      <c r="R57" s="243"/>
      <c r="S57" s="252"/>
      <c r="T57" s="323"/>
      <c r="U57" s="252"/>
      <c r="V57" s="256">
        <f t="shared" si="5"/>
        <v>8</v>
      </c>
      <c r="X57" s="338"/>
      <c r="Y57" s="323"/>
      <c r="Z57" s="252"/>
      <c r="AA57" s="338"/>
      <c r="AB57" s="323"/>
      <c r="AC57" s="252"/>
    </row>
    <row r="58" spans="1:29" ht="12.75">
      <c r="A58" s="374">
        <f t="shared" si="3"/>
        <v>9</v>
      </c>
      <c r="B58" s="818" t="s">
        <v>782</v>
      </c>
      <c r="F58" s="342"/>
      <c r="G58" s="301">
        <f t="shared" si="6"/>
        <v>0</v>
      </c>
      <c r="H58" s="322"/>
      <c r="I58" s="337"/>
      <c r="J58" s="251"/>
      <c r="K58" s="256">
        <f t="shared" si="4"/>
        <v>9</v>
      </c>
      <c r="L58" s="341" t="s">
        <v>782</v>
      </c>
      <c r="M58" s="252"/>
      <c r="N58" s="323"/>
      <c r="O58" s="252"/>
      <c r="P58" s="322"/>
      <c r="Q58" s="337"/>
      <c r="R58" s="251"/>
      <c r="S58" s="252"/>
      <c r="T58" s="323"/>
      <c r="U58" s="252"/>
      <c r="V58" s="256">
        <f t="shared" si="5"/>
        <v>9</v>
      </c>
      <c r="W58" s="341" t="s">
        <v>782</v>
      </c>
      <c r="X58" s="338"/>
      <c r="Y58" s="337"/>
      <c r="Z58" s="251"/>
      <c r="AA58" s="338"/>
      <c r="AB58" s="337"/>
      <c r="AC58" s="251">
        <f>ROUND(AA58*AB58,0)</f>
        <v>0</v>
      </c>
    </row>
    <row r="59" spans="1:29" ht="12.75">
      <c r="A59" s="374">
        <f t="shared" si="3"/>
        <v>10</v>
      </c>
      <c r="B59" s="336" t="s">
        <v>177</v>
      </c>
      <c r="C59" s="326">
        <v>12024089</v>
      </c>
      <c r="D59" s="326">
        <v>-175284.98999999996</v>
      </c>
      <c r="E59" s="326">
        <f>SUM(C59:D59)</f>
        <v>11848804.01</v>
      </c>
      <c r="F59" s="327"/>
      <c r="G59" s="301">
        <f t="shared" si="6"/>
        <v>0</v>
      </c>
      <c r="K59" s="256">
        <f t="shared" si="4"/>
        <v>10</v>
      </c>
      <c r="L59" s="336" t="s">
        <v>177</v>
      </c>
      <c r="M59" s="338">
        <v>84057</v>
      </c>
      <c r="N59" s="323"/>
      <c r="O59" s="252"/>
      <c r="P59" s="322">
        <v>2690861</v>
      </c>
      <c r="S59" s="252"/>
      <c r="T59" s="323"/>
      <c r="U59" s="252"/>
      <c r="V59" s="256">
        <f t="shared" si="5"/>
        <v>10</v>
      </c>
      <c r="W59" s="336" t="s">
        <v>177</v>
      </c>
      <c r="X59" s="338"/>
      <c r="Y59" s="337"/>
      <c r="Z59" s="251"/>
      <c r="AA59" s="338">
        <v>195942</v>
      </c>
      <c r="AB59" s="337"/>
      <c r="AC59" s="251"/>
    </row>
    <row r="60" spans="1:29" ht="12.75">
      <c r="A60" s="374">
        <f t="shared" si="3"/>
        <v>11</v>
      </c>
      <c r="B60" s="699" t="s">
        <v>780</v>
      </c>
      <c r="C60" s="326">
        <v>8224513</v>
      </c>
      <c r="D60" s="257">
        <v>-544744.50000000023</v>
      </c>
      <c r="E60" s="326">
        <f>SUM(C60:D60)</f>
        <v>7679768.5</v>
      </c>
      <c r="F60" s="327"/>
      <c r="G60" s="301">
        <f t="shared" si="6"/>
        <v>13486</v>
      </c>
      <c r="H60" s="322"/>
      <c r="I60" s="337"/>
      <c r="J60" s="251">
        <f>ROUND(H60*I60,0)</f>
        <v>0</v>
      </c>
      <c r="K60" s="256">
        <f t="shared" si="4"/>
        <v>11</v>
      </c>
      <c r="L60" s="343" t="s">
        <v>780</v>
      </c>
      <c r="M60" s="338">
        <v>24650</v>
      </c>
      <c r="N60" s="323"/>
      <c r="O60" s="252"/>
      <c r="P60" s="322">
        <v>1094585</v>
      </c>
      <c r="Q60" s="337"/>
      <c r="R60" s="251">
        <f>ROUND(P60*Q60,0)</f>
        <v>0</v>
      </c>
      <c r="S60" s="252"/>
      <c r="T60" s="323"/>
      <c r="U60" s="252"/>
      <c r="V60" s="256">
        <f t="shared" si="5"/>
        <v>11</v>
      </c>
      <c r="W60" s="343" t="s">
        <v>780</v>
      </c>
      <c r="X60" s="338">
        <v>213055</v>
      </c>
      <c r="Y60" s="709">
        <v>6.3299999999999995E-2</v>
      </c>
      <c r="Z60" s="251">
        <f>ROUND(X60*Y60,0)</f>
        <v>13486</v>
      </c>
      <c r="AA60" s="338">
        <v>266177</v>
      </c>
      <c r="AB60" s="337"/>
      <c r="AC60" s="251"/>
    </row>
    <row r="61" spans="1:29" ht="12.75">
      <c r="A61" s="374">
        <f t="shared" si="3"/>
        <v>12</v>
      </c>
      <c r="B61" s="336" t="s">
        <v>781</v>
      </c>
      <c r="C61" s="244">
        <v>7491037</v>
      </c>
      <c r="D61" s="257">
        <v>-711459.57999999984</v>
      </c>
      <c r="E61" s="326">
        <f>SUM(C61:D61)</f>
        <v>6779577.4199999999</v>
      </c>
      <c r="F61" s="327"/>
      <c r="G61" s="301">
        <f t="shared" si="6"/>
        <v>0</v>
      </c>
      <c r="H61" s="322"/>
      <c r="I61" s="323"/>
      <c r="J61" s="252"/>
      <c r="K61" s="256">
        <f t="shared" si="4"/>
        <v>12</v>
      </c>
      <c r="L61" s="340" t="s">
        <v>781</v>
      </c>
      <c r="M61" s="252"/>
      <c r="N61" s="323"/>
      <c r="O61" s="252"/>
      <c r="P61" s="322">
        <v>502925</v>
      </c>
      <c r="Q61" s="323"/>
      <c r="R61" s="252"/>
      <c r="S61" s="252"/>
      <c r="T61" s="323"/>
      <c r="U61" s="252"/>
      <c r="V61" s="256">
        <f t="shared" si="5"/>
        <v>12</v>
      </c>
      <c r="W61" s="340" t="s">
        <v>781</v>
      </c>
      <c r="X61" s="338">
        <v>2092380</v>
      </c>
      <c r="Y61" s="323"/>
      <c r="Z61" s="252"/>
      <c r="AA61" s="338">
        <v>259283</v>
      </c>
      <c r="AB61" s="323"/>
      <c r="AC61" s="252"/>
    </row>
    <row r="62" spans="1:29">
      <c r="A62" s="374">
        <f t="shared" si="3"/>
        <v>13</v>
      </c>
      <c r="B62" s="246"/>
      <c r="C62" s="549"/>
      <c r="D62" s="549"/>
      <c r="E62" s="549"/>
      <c r="F62" s="327"/>
      <c r="G62" s="345"/>
      <c r="H62" s="345"/>
      <c r="I62" s="337"/>
      <c r="J62" s="346"/>
      <c r="K62" s="256">
        <f t="shared" si="4"/>
        <v>13</v>
      </c>
      <c r="L62" s="246"/>
      <c r="M62" s="346"/>
      <c r="N62" s="339"/>
      <c r="O62" s="346"/>
      <c r="P62" s="346"/>
      <c r="Q62" s="337"/>
      <c r="R62" s="346"/>
      <c r="S62" s="346"/>
      <c r="T62" s="339"/>
      <c r="U62" s="346"/>
      <c r="V62" s="256">
        <f t="shared" si="5"/>
        <v>13</v>
      </c>
      <c r="W62" s="246"/>
      <c r="X62" s="346"/>
      <c r="Y62" s="249"/>
      <c r="Z62" s="347"/>
      <c r="AA62" s="347"/>
      <c r="AB62" s="249"/>
      <c r="AC62" s="347"/>
    </row>
    <row r="63" spans="1:29" ht="12.75">
      <c r="A63" s="374">
        <f t="shared" si="3"/>
        <v>14</v>
      </c>
      <c r="C63" s="244"/>
      <c r="D63" s="244"/>
      <c r="E63" s="244"/>
      <c r="F63" s="332"/>
      <c r="G63" s="244"/>
      <c r="H63" s="244"/>
      <c r="I63" s="337"/>
      <c r="J63" s="244"/>
      <c r="K63" s="256">
        <f t="shared" si="4"/>
        <v>14</v>
      </c>
      <c r="M63" s="244"/>
      <c r="N63" s="339"/>
      <c r="O63" s="244"/>
      <c r="P63" s="366"/>
      <c r="Q63" s="337"/>
      <c r="R63" s="244"/>
      <c r="S63" s="338"/>
      <c r="T63" s="339"/>
      <c r="U63" s="244"/>
      <c r="V63" s="256">
        <f t="shared" si="5"/>
        <v>14</v>
      </c>
      <c r="X63" s="252"/>
      <c r="Y63" s="323"/>
      <c r="Z63" s="244"/>
      <c r="AA63" s="244"/>
      <c r="AB63" s="323"/>
      <c r="AC63" s="244"/>
    </row>
    <row r="64" spans="1:29" ht="13.5" thickBot="1">
      <c r="A64" s="374">
        <f t="shared" si="3"/>
        <v>15</v>
      </c>
      <c r="B64" s="246" t="s">
        <v>266</v>
      </c>
      <c r="C64" s="333">
        <f>SUM(C53:C62)</f>
        <v>30720963</v>
      </c>
      <c r="D64" s="333">
        <f>SUM(D53:D62)</f>
        <v>-1464628.07</v>
      </c>
      <c r="E64" s="333">
        <f>SUM(E53:E62)</f>
        <v>29256334.93</v>
      </c>
      <c r="F64" s="331"/>
      <c r="G64" s="333">
        <f>SUM(G53:G62)</f>
        <v>180745</v>
      </c>
      <c r="H64" s="333">
        <f>SUM(H53:H62)</f>
        <v>0</v>
      </c>
      <c r="I64" s="323"/>
      <c r="J64" s="333">
        <f>SUM(J53:J62)</f>
        <v>0</v>
      </c>
      <c r="K64" s="256">
        <f t="shared" si="4"/>
        <v>15</v>
      </c>
      <c r="L64" s="246" t="s">
        <v>266</v>
      </c>
      <c r="M64" s="333">
        <f>SUM(M53:M62)</f>
        <v>220651</v>
      </c>
      <c r="N64" s="323"/>
      <c r="O64" s="333">
        <f>SUM(O53:O62)</f>
        <v>0</v>
      </c>
      <c r="P64" s="333">
        <f>SUM(P53:P62)</f>
        <v>5197764</v>
      </c>
      <c r="Q64" s="323"/>
      <c r="R64" s="333">
        <f>SUM(R53:R62)</f>
        <v>42133</v>
      </c>
      <c r="S64" s="333">
        <f>SUM(S53:S62)</f>
        <v>2496</v>
      </c>
      <c r="T64" s="323"/>
      <c r="U64" s="333">
        <f>SUM(U53:U62)</f>
        <v>782</v>
      </c>
      <c r="V64" s="256">
        <f t="shared" si="5"/>
        <v>15</v>
      </c>
      <c r="W64" s="246" t="s">
        <v>266</v>
      </c>
      <c r="X64" s="333">
        <f>SUM(X53:X62)</f>
        <v>2753784</v>
      </c>
      <c r="Y64" s="323"/>
      <c r="Z64" s="333">
        <f>SUM(Z53:Z62)</f>
        <v>25583</v>
      </c>
      <c r="AA64" s="333">
        <f>SUM(AA53:AA62)</f>
        <v>915735</v>
      </c>
      <c r="AB64" s="323"/>
      <c r="AC64" s="333">
        <f>SUM(AC53:AC62)</f>
        <v>112247</v>
      </c>
    </row>
    <row r="65" spans="1:29" s="554" customFormat="1" ht="13.5" thickTop="1">
      <c r="A65" s="368"/>
      <c r="B65" s="246"/>
      <c r="C65" s="242"/>
      <c r="D65" s="242"/>
      <c r="E65" s="242"/>
      <c r="F65" s="325"/>
      <c r="G65" s="242"/>
      <c r="K65" s="258"/>
      <c r="L65" s="250"/>
      <c r="M65" s="252"/>
      <c r="V65" s="258"/>
      <c r="W65" s="250"/>
    </row>
    <row r="66" spans="1:29">
      <c r="A66" s="55"/>
      <c r="H66" s="252"/>
      <c r="I66" s="252"/>
      <c r="J66" s="252"/>
      <c r="K66" s="51"/>
      <c r="M66" s="252"/>
      <c r="N66" s="252"/>
      <c r="O66" s="252"/>
      <c r="P66" s="252"/>
      <c r="Q66" s="252"/>
      <c r="R66" s="252"/>
      <c r="S66" s="252"/>
      <c r="T66" s="252"/>
      <c r="U66" s="252"/>
      <c r="V66" s="51"/>
      <c r="X66" s="252"/>
      <c r="Y66" s="252"/>
      <c r="Z66" s="252"/>
      <c r="AA66" s="252"/>
      <c r="AB66" s="252"/>
      <c r="AC66" s="252"/>
    </row>
    <row r="67" spans="1:29">
      <c r="A67" s="55"/>
      <c r="H67" s="252"/>
      <c r="I67" s="252"/>
      <c r="J67" s="252"/>
      <c r="K67" s="51"/>
      <c r="M67" s="252"/>
      <c r="N67" s="252"/>
      <c r="O67" s="252"/>
      <c r="P67" s="252"/>
      <c r="Q67" s="252"/>
      <c r="R67" s="350"/>
      <c r="S67" s="252"/>
      <c r="T67" s="252"/>
      <c r="U67" s="252"/>
      <c r="V67" s="51"/>
      <c r="X67" s="252"/>
      <c r="Y67" s="252"/>
      <c r="Z67" s="252"/>
      <c r="AA67" s="252"/>
      <c r="AB67" s="252"/>
      <c r="AC67" s="252"/>
    </row>
    <row r="68" spans="1:29">
      <c r="A68" s="55"/>
      <c r="H68" s="252"/>
      <c r="I68" s="252"/>
      <c r="J68" s="252"/>
      <c r="K68" s="51"/>
      <c r="M68" s="252"/>
      <c r="N68" s="252"/>
      <c r="O68" s="252"/>
      <c r="P68" s="252"/>
      <c r="Q68" s="252"/>
      <c r="R68" s="252"/>
      <c r="S68" s="252"/>
      <c r="T68" s="252"/>
      <c r="U68" s="252"/>
      <c r="V68" s="51"/>
      <c r="X68" s="252"/>
      <c r="Y68" s="252"/>
      <c r="Z68" s="252"/>
      <c r="AA68" s="252"/>
      <c r="AB68" s="252"/>
      <c r="AC68" s="252"/>
    </row>
    <row r="69" spans="1:29">
      <c r="A69" s="55"/>
      <c r="H69" s="252"/>
      <c r="I69" s="252"/>
      <c r="J69" s="252"/>
      <c r="K69" s="51"/>
      <c r="M69" s="252"/>
      <c r="N69" s="252"/>
      <c r="O69" s="252"/>
      <c r="P69" s="252"/>
      <c r="Q69" s="252"/>
      <c r="R69" s="252"/>
      <c r="S69" s="252"/>
      <c r="T69" s="252"/>
      <c r="U69" s="252"/>
      <c r="V69" s="51"/>
      <c r="X69" s="252"/>
      <c r="Y69" s="252"/>
      <c r="Z69" s="252"/>
      <c r="AA69" s="252"/>
      <c r="AB69" s="252"/>
      <c r="AC69" s="252"/>
    </row>
  </sheetData>
  <mergeCells count="14">
    <mergeCell ref="C11:G11"/>
    <mergeCell ref="P11:R11"/>
    <mergeCell ref="S11:U11"/>
    <mergeCell ref="AA11:AC11"/>
    <mergeCell ref="C44:G44"/>
    <mergeCell ref="P44:R44"/>
    <mergeCell ref="S44:U44"/>
    <mergeCell ref="AA44:AC44"/>
    <mergeCell ref="H11:J11"/>
    <mergeCell ref="M11:O11"/>
    <mergeCell ref="H44:J44"/>
    <mergeCell ref="M44:O44"/>
    <mergeCell ref="X11:Z11"/>
    <mergeCell ref="X44:Z44"/>
  </mergeCells>
  <pageMargins left="0.5" right="0.25" top="0.5" bottom="0.25" header="0.05" footer="0.05"/>
  <pageSetup scale="74" fitToWidth="0" fitToHeight="0" orientation="portrait" r:id="rId1"/>
  <colBreaks count="2" manualBreakCount="2">
    <brk id="10" max="1048575" man="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B94"/>
  <sheetViews>
    <sheetView topLeftCell="A82" workbookViewId="0">
      <selection activeCell="D62" sqref="D62"/>
    </sheetView>
  </sheetViews>
  <sheetFormatPr defaultColWidth="9.28515625" defaultRowHeight="12"/>
  <cols>
    <col min="1" max="1" width="18.7109375" style="242" bestFit="1" customWidth="1"/>
    <col min="2" max="2" width="9.28515625" style="242"/>
    <col min="3" max="12" width="10" style="242" bestFit="1" customWidth="1"/>
    <col min="13" max="13" width="10.42578125" style="242" bestFit="1" customWidth="1"/>
    <col min="14" max="14" width="9.28515625" style="242" bestFit="1" customWidth="1"/>
    <col min="15" max="15" width="10" style="242" bestFit="1" customWidth="1"/>
    <col min="16" max="16384" width="9.28515625" style="242"/>
  </cols>
  <sheetData>
    <row r="1" spans="1:28" ht="12.75" thickBot="1">
      <c r="A1" s="246" t="s">
        <v>1145</v>
      </c>
    </row>
    <row r="2" spans="1:28" ht="12.75" thickBot="1">
      <c r="A2" s="942" t="s">
        <v>1160</v>
      </c>
      <c r="B2" s="943"/>
      <c r="C2" s="944">
        <f>+L25</f>
        <v>43217.416666666657</v>
      </c>
    </row>
    <row r="3" spans="1:28" ht="12.75" thickBot="1">
      <c r="A3" s="942" t="s">
        <v>1161</v>
      </c>
      <c r="B3" s="943"/>
      <c r="C3" s="944">
        <f>+C6</f>
        <v>19946.5</v>
      </c>
    </row>
    <row r="4" spans="1:28">
      <c r="A4" s="242" t="s">
        <v>1146</v>
      </c>
      <c r="B4" s="288" t="s">
        <v>1147</v>
      </c>
    </row>
    <row r="5" spans="1:28">
      <c r="A5" s="242" t="s">
        <v>1148</v>
      </c>
      <c r="B5" s="288" t="s">
        <v>1149</v>
      </c>
    </row>
    <row r="6" spans="1:28">
      <c r="A6" s="242" t="s">
        <v>1150</v>
      </c>
      <c r="B6" s="288"/>
      <c r="C6" s="468">
        <f>+C9/4</f>
        <v>19946.5</v>
      </c>
    </row>
    <row r="7" spans="1:28">
      <c r="A7" s="242" t="s">
        <v>1183</v>
      </c>
      <c r="B7" s="288"/>
      <c r="C7" s="387">
        <f>+C9/48</f>
        <v>1662.2083333333333</v>
      </c>
    </row>
    <row r="8" spans="1:28">
      <c r="A8" s="242" t="s">
        <v>1156</v>
      </c>
      <c r="B8" s="288"/>
      <c r="C8" s="387">
        <f>+E25</f>
        <v>79786</v>
      </c>
    </row>
    <row r="9" spans="1:28">
      <c r="A9" s="242" t="s">
        <v>1152</v>
      </c>
      <c r="B9" s="288"/>
      <c r="C9" s="425">
        <f>+C8</f>
        <v>79786</v>
      </c>
    </row>
    <row r="10" spans="1:28">
      <c r="A10" s="242" t="s">
        <v>1153</v>
      </c>
      <c r="B10" s="288"/>
      <c r="C10" s="425">
        <f>+C9-(C7*4)</f>
        <v>73137.166666666672</v>
      </c>
    </row>
    <row r="11" spans="1:28">
      <c r="A11" s="242" t="s">
        <v>1154</v>
      </c>
      <c r="C11" s="425">
        <f>+C10-C6</f>
        <v>53190.666666666672</v>
      </c>
    </row>
    <row r="12" spans="1:28">
      <c r="A12" s="242" t="s">
        <v>1155</v>
      </c>
      <c r="C12" s="425">
        <f>+C11-C6</f>
        <v>33244.166666666672</v>
      </c>
    </row>
    <row r="14" spans="1:28">
      <c r="A14" s="246"/>
      <c r="B14" s="1007" t="s">
        <v>1157</v>
      </c>
      <c r="C14" s="1007"/>
      <c r="D14" s="1007"/>
    </row>
    <row r="15" spans="1:28" ht="24">
      <c r="A15" s="242" t="s">
        <v>958</v>
      </c>
      <c r="B15" s="945" t="s">
        <v>251</v>
      </c>
      <c r="C15" s="945" t="s">
        <v>526</v>
      </c>
      <c r="D15" s="945" t="s">
        <v>563</v>
      </c>
      <c r="E15" s="945" t="s">
        <v>1158</v>
      </c>
      <c r="F15" s="945" t="s">
        <v>1150</v>
      </c>
      <c r="G15" s="242" t="s">
        <v>251</v>
      </c>
      <c r="H15" s="242" t="s">
        <v>7</v>
      </c>
      <c r="I15" s="945" t="s">
        <v>1183</v>
      </c>
      <c r="J15" s="945" t="s">
        <v>1181</v>
      </c>
      <c r="K15" s="945" t="s">
        <v>1182</v>
      </c>
      <c r="L15" s="945" t="s">
        <v>1180</v>
      </c>
      <c r="M15" s="242" t="s">
        <v>251</v>
      </c>
      <c r="N15" s="242" t="s">
        <v>7</v>
      </c>
      <c r="O15" s="242" t="s">
        <v>1179</v>
      </c>
      <c r="P15" s="242" t="s">
        <v>1174</v>
      </c>
      <c r="Q15" s="242" t="s">
        <v>1175</v>
      </c>
      <c r="R15" s="242" t="s">
        <v>1176</v>
      </c>
      <c r="S15" s="242" t="s">
        <v>634</v>
      </c>
      <c r="T15" s="242" t="s">
        <v>1176</v>
      </c>
      <c r="U15" s="242" t="s">
        <v>1174</v>
      </c>
      <c r="V15" s="242" t="s">
        <v>1174</v>
      </c>
      <c r="W15" s="242" t="s">
        <v>634</v>
      </c>
      <c r="X15" s="242" t="s">
        <v>816</v>
      </c>
      <c r="Y15" s="242" t="s">
        <v>1177</v>
      </c>
      <c r="Z15" s="242" t="s">
        <v>1178</v>
      </c>
      <c r="AA15" s="242" t="s">
        <v>1179</v>
      </c>
      <c r="AB15" s="242">
        <v>13</v>
      </c>
    </row>
    <row r="16" spans="1:28">
      <c r="A16" s="242" t="s">
        <v>579</v>
      </c>
      <c r="B16" s="468">
        <v>1304</v>
      </c>
      <c r="C16" s="468">
        <v>1241</v>
      </c>
      <c r="D16" s="468">
        <f>+B16+C16</f>
        <v>2545</v>
      </c>
      <c r="E16" s="468">
        <v>5032</v>
      </c>
      <c r="F16" s="468">
        <f>+E16/4</f>
        <v>1258</v>
      </c>
      <c r="G16" s="946">
        <f>+F16*B16/D16</f>
        <v>644.57053045186638</v>
      </c>
      <c r="H16" s="244">
        <f>+F16-G16</f>
        <v>613.42946954813362</v>
      </c>
      <c r="I16" s="468">
        <f t="shared" ref="I16:I24" si="0">+F16/12</f>
        <v>104.83333333333333</v>
      </c>
      <c r="J16" s="468">
        <f t="shared" ref="J16:J24" si="1">+I16*32</f>
        <v>3354.6666666666665</v>
      </c>
      <c r="K16" s="468">
        <f t="shared" ref="K16:K24" si="2">+I16*20</f>
        <v>2096.6666666666665</v>
      </c>
      <c r="L16" s="244">
        <f t="shared" ref="L16:L24" si="3">+AB16</f>
        <v>2725.6666666666652</v>
      </c>
      <c r="M16" s="468">
        <f t="shared" ref="M16:M24" si="4">+L16*B16/D16</f>
        <v>1396.5694826457097</v>
      </c>
      <c r="N16" s="244">
        <f>+L16-M16</f>
        <v>1329.0971840209554</v>
      </c>
      <c r="O16" s="244">
        <f t="shared" ref="O16:O25" si="5">+J16</f>
        <v>3354.6666666666665</v>
      </c>
      <c r="P16" s="385">
        <f t="shared" ref="P16:AA16" si="6">+O16-$I16</f>
        <v>3249.833333333333</v>
      </c>
      <c r="Q16" s="385">
        <f t="shared" si="6"/>
        <v>3144.9999999999995</v>
      </c>
      <c r="R16" s="385">
        <f t="shared" si="6"/>
        <v>3040.1666666666661</v>
      </c>
      <c r="S16" s="385">
        <f t="shared" si="6"/>
        <v>2935.3333333333326</v>
      </c>
      <c r="T16" s="385">
        <f t="shared" si="6"/>
        <v>2830.4999999999991</v>
      </c>
      <c r="U16" s="385">
        <f t="shared" si="6"/>
        <v>2725.6666666666656</v>
      </c>
      <c r="V16" s="385">
        <f t="shared" si="6"/>
        <v>2620.8333333333321</v>
      </c>
      <c r="W16" s="385">
        <f t="shared" si="6"/>
        <v>2515.9999999999986</v>
      </c>
      <c r="X16" s="385">
        <f t="shared" si="6"/>
        <v>2411.1666666666652</v>
      </c>
      <c r="Y16" s="385">
        <f t="shared" si="6"/>
        <v>2306.3333333333317</v>
      </c>
      <c r="Z16" s="385">
        <f t="shared" si="6"/>
        <v>2201.4999999999982</v>
      </c>
      <c r="AA16" s="385">
        <f t="shared" si="6"/>
        <v>2096.6666666666647</v>
      </c>
      <c r="AB16" s="244">
        <f>SUM(O16:AA16)/13</f>
        <v>2725.6666666666652</v>
      </c>
    </row>
    <row r="17" spans="1:28">
      <c r="A17" s="242" t="s">
        <v>577</v>
      </c>
      <c r="B17" s="468">
        <v>0</v>
      </c>
      <c r="C17" s="468">
        <v>2634</v>
      </c>
      <c r="D17" s="468">
        <f t="shared" ref="D17:D24" si="7">+B17+C17</f>
        <v>2634</v>
      </c>
      <c r="E17" s="468">
        <v>5208</v>
      </c>
      <c r="F17" s="468">
        <f t="shared" ref="F17:F24" si="8">+E17/4</f>
        <v>1302</v>
      </c>
      <c r="G17" s="946">
        <f t="shared" ref="G17:G24" si="9">+F17*B17/D17</f>
        <v>0</v>
      </c>
      <c r="H17" s="244">
        <f t="shared" ref="H17:H24" si="10">+F17-G17</f>
        <v>1302</v>
      </c>
      <c r="I17" s="468">
        <f t="shared" si="0"/>
        <v>108.5</v>
      </c>
      <c r="J17" s="468">
        <f t="shared" si="1"/>
        <v>3472</v>
      </c>
      <c r="K17" s="468">
        <f t="shared" si="2"/>
        <v>2170</v>
      </c>
      <c r="L17" s="244">
        <f t="shared" si="3"/>
        <v>2821</v>
      </c>
      <c r="M17" s="468">
        <f t="shared" si="4"/>
        <v>0</v>
      </c>
      <c r="N17" s="244">
        <f t="shared" ref="N17:N24" si="11">+L17-M17</f>
        <v>2821</v>
      </c>
      <c r="O17" s="244">
        <f t="shared" si="5"/>
        <v>3472</v>
      </c>
      <c r="P17" s="385">
        <f t="shared" ref="P17:AA17" si="12">+O17-$I17</f>
        <v>3363.5</v>
      </c>
      <c r="Q17" s="385">
        <f t="shared" si="12"/>
        <v>3255</v>
      </c>
      <c r="R17" s="385">
        <f t="shared" si="12"/>
        <v>3146.5</v>
      </c>
      <c r="S17" s="385">
        <f t="shared" si="12"/>
        <v>3038</v>
      </c>
      <c r="T17" s="385">
        <f t="shared" si="12"/>
        <v>2929.5</v>
      </c>
      <c r="U17" s="385">
        <f t="shared" si="12"/>
        <v>2821</v>
      </c>
      <c r="V17" s="385">
        <f t="shared" si="12"/>
        <v>2712.5</v>
      </c>
      <c r="W17" s="385">
        <f t="shared" si="12"/>
        <v>2604</v>
      </c>
      <c r="X17" s="385">
        <f t="shared" si="12"/>
        <v>2495.5</v>
      </c>
      <c r="Y17" s="385">
        <f t="shared" si="12"/>
        <v>2387</v>
      </c>
      <c r="Z17" s="385">
        <f t="shared" si="12"/>
        <v>2278.5</v>
      </c>
      <c r="AA17" s="385">
        <f t="shared" si="12"/>
        <v>2170</v>
      </c>
      <c r="AB17" s="244">
        <f t="shared" ref="AB17:AB25" si="13">SUM(O17:AA17)/13</f>
        <v>2821</v>
      </c>
    </row>
    <row r="18" spans="1:28">
      <c r="A18" s="242" t="s">
        <v>575</v>
      </c>
      <c r="B18" s="468">
        <v>137</v>
      </c>
      <c r="C18" s="468">
        <v>139</v>
      </c>
      <c r="D18" s="468">
        <f t="shared" si="7"/>
        <v>276</v>
      </c>
      <c r="E18" s="468">
        <v>544</v>
      </c>
      <c r="F18" s="468">
        <f t="shared" si="8"/>
        <v>136</v>
      </c>
      <c r="G18" s="946">
        <f t="shared" si="9"/>
        <v>67.507246376811594</v>
      </c>
      <c r="H18" s="244">
        <f t="shared" si="10"/>
        <v>68.492753623188406</v>
      </c>
      <c r="I18" s="468">
        <f t="shared" si="0"/>
        <v>11.333333333333334</v>
      </c>
      <c r="J18" s="468">
        <f t="shared" si="1"/>
        <v>362.66666666666669</v>
      </c>
      <c r="K18" s="468">
        <f t="shared" si="2"/>
        <v>226.66666666666669</v>
      </c>
      <c r="L18" s="244">
        <f t="shared" si="3"/>
        <v>294.6666666666668</v>
      </c>
      <c r="M18" s="468">
        <f t="shared" si="4"/>
        <v>146.26570048309185</v>
      </c>
      <c r="N18" s="244">
        <f t="shared" si="11"/>
        <v>148.40096618357495</v>
      </c>
      <c r="O18" s="244">
        <f t="shared" si="5"/>
        <v>362.66666666666669</v>
      </c>
      <c r="P18" s="385">
        <f t="shared" ref="P18:AA18" si="14">+O18-$I18</f>
        <v>351.33333333333337</v>
      </c>
      <c r="Q18" s="385">
        <f t="shared" si="14"/>
        <v>340.00000000000006</v>
      </c>
      <c r="R18" s="385">
        <f t="shared" si="14"/>
        <v>328.66666666666674</v>
      </c>
      <c r="S18" s="385">
        <f t="shared" si="14"/>
        <v>317.33333333333343</v>
      </c>
      <c r="T18" s="385">
        <f t="shared" si="14"/>
        <v>306.00000000000011</v>
      </c>
      <c r="U18" s="385">
        <f t="shared" si="14"/>
        <v>294.6666666666668</v>
      </c>
      <c r="V18" s="385">
        <f t="shared" si="14"/>
        <v>283.33333333333348</v>
      </c>
      <c r="W18" s="385">
        <f t="shared" si="14"/>
        <v>272.00000000000017</v>
      </c>
      <c r="X18" s="385">
        <f t="shared" si="14"/>
        <v>260.66666666666686</v>
      </c>
      <c r="Y18" s="385">
        <f t="shared" si="14"/>
        <v>249.33333333333351</v>
      </c>
      <c r="Z18" s="385">
        <f t="shared" si="14"/>
        <v>238.00000000000017</v>
      </c>
      <c r="AA18" s="385">
        <f t="shared" si="14"/>
        <v>226.66666666666683</v>
      </c>
      <c r="AB18" s="244">
        <f t="shared" si="13"/>
        <v>294.6666666666668</v>
      </c>
    </row>
    <row r="19" spans="1:28">
      <c r="A19" s="242" t="s">
        <v>571</v>
      </c>
      <c r="B19" s="468">
        <v>11131</v>
      </c>
      <c r="C19" s="468">
        <v>3442</v>
      </c>
      <c r="D19" s="468">
        <f t="shared" si="7"/>
        <v>14573</v>
      </c>
      <c r="E19" s="468">
        <v>28814</v>
      </c>
      <c r="F19" s="468">
        <f t="shared" si="8"/>
        <v>7203.5</v>
      </c>
      <c r="G19" s="946">
        <f t="shared" si="9"/>
        <v>5502.1037878268025</v>
      </c>
      <c r="H19" s="244">
        <f t="shared" si="10"/>
        <v>1701.3962121731975</v>
      </c>
      <c r="I19" s="468">
        <f t="shared" si="0"/>
        <v>600.29166666666663</v>
      </c>
      <c r="J19" s="468">
        <f t="shared" si="1"/>
        <v>19209.333333333332</v>
      </c>
      <c r="K19" s="468">
        <f t="shared" si="2"/>
        <v>12005.833333333332</v>
      </c>
      <c r="L19" s="244">
        <f t="shared" si="3"/>
        <v>15607.583333333332</v>
      </c>
      <c r="M19" s="468">
        <f t="shared" si="4"/>
        <v>11921.224873624738</v>
      </c>
      <c r="N19" s="244">
        <f t="shared" si="11"/>
        <v>3686.3584597085937</v>
      </c>
      <c r="O19" s="244">
        <f t="shared" si="5"/>
        <v>19209.333333333332</v>
      </c>
      <c r="P19" s="385">
        <f t="shared" ref="P19:AA19" si="15">+O19-$I19</f>
        <v>18609.041666666664</v>
      </c>
      <c r="Q19" s="385">
        <f t="shared" si="15"/>
        <v>18008.749999999996</v>
      </c>
      <c r="R19" s="385">
        <f t="shared" si="15"/>
        <v>17408.458333333328</v>
      </c>
      <c r="S19" s="385">
        <f t="shared" si="15"/>
        <v>16808.166666666661</v>
      </c>
      <c r="T19" s="385">
        <f t="shared" si="15"/>
        <v>16207.874999999995</v>
      </c>
      <c r="U19" s="385">
        <f t="shared" si="15"/>
        <v>15607.583333333328</v>
      </c>
      <c r="V19" s="385">
        <f t="shared" si="15"/>
        <v>15007.291666666662</v>
      </c>
      <c r="W19" s="385">
        <f t="shared" si="15"/>
        <v>14406.999999999996</v>
      </c>
      <c r="X19" s="385">
        <f t="shared" si="15"/>
        <v>13806.70833333333</v>
      </c>
      <c r="Y19" s="385">
        <f t="shared" si="15"/>
        <v>13206.416666666664</v>
      </c>
      <c r="Z19" s="385">
        <f t="shared" si="15"/>
        <v>12606.124999999998</v>
      </c>
      <c r="AA19" s="385">
        <f t="shared" si="15"/>
        <v>12005.833333333332</v>
      </c>
      <c r="AB19" s="244">
        <f t="shared" si="13"/>
        <v>15607.583333333332</v>
      </c>
    </row>
    <row r="20" spans="1:28">
      <c r="A20" s="242" t="s">
        <v>574</v>
      </c>
      <c r="B20" s="468">
        <v>0</v>
      </c>
      <c r="C20" s="468">
        <v>1820</v>
      </c>
      <c r="D20" s="468">
        <f t="shared" si="7"/>
        <v>1820</v>
      </c>
      <c r="E20" s="468">
        <v>3598</v>
      </c>
      <c r="F20" s="468">
        <f t="shared" si="8"/>
        <v>899.5</v>
      </c>
      <c r="G20" s="946">
        <f t="shared" si="9"/>
        <v>0</v>
      </c>
      <c r="H20" s="244">
        <f t="shared" si="10"/>
        <v>899.5</v>
      </c>
      <c r="I20" s="468">
        <f t="shared" si="0"/>
        <v>74.958333333333329</v>
      </c>
      <c r="J20" s="468">
        <f t="shared" si="1"/>
        <v>2398.6666666666665</v>
      </c>
      <c r="K20" s="468">
        <f t="shared" si="2"/>
        <v>1499.1666666666665</v>
      </c>
      <c r="L20" s="244">
        <f t="shared" si="3"/>
        <v>1948.9166666666665</v>
      </c>
      <c r="M20" s="468">
        <f t="shared" si="4"/>
        <v>0</v>
      </c>
      <c r="N20" s="244">
        <f t="shared" si="11"/>
        <v>1948.9166666666665</v>
      </c>
      <c r="O20" s="244">
        <f t="shared" si="5"/>
        <v>2398.6666666666665</v>
      </c>
      <c r="P20" s="385">
        <f t="shared" ref="P20:AA20" si="16">+O20-$I20</f>
        <v>2323.708333333333</v>
      </c>
      <c r="Q20" s="385">
        <f t="shared" si="16"/>
        <v>2248.7499999999995</v>
      </c>
      <c r="R20" s="385">
        <f t="shared" si="16"/>
        <v>2173.7916666666661</v>
      </c>
      <c r="S20" s="385">
        <f t="shared" si="16"/>
        <v>2098.8333333333326</v>
      </c>
      <c r="T20" s="385">
        <f t="shared" si="16"/>
        <v>2023.8749999999993</v>
      </c>
      <c r="U20" s="385">
        <f t="shared" si="16"/>
        <v>1948.9166666666661</v>
      </c>
      <c r="V20" s="385">
        <f t="shared" si="16"/>
        <v>1873.9583333333328</v>
      </c>
      <c r="W20" s="385">
        <f t="shared" si="16"/>
        <v>1798.9999999999995</v>
      </c>
      <c r="X20" s="385">
        <f t="shared" si="16"/>
        <v>1724.0416666666663</v>
      </c>
      <c r="Y20" s="385">
        <f t="shared" si="16"/>
        <v>1649.083333333333</v>
      </c>
      <c r="Z20" s="385">
        <f t="shared" si="16"/>
        <v>1574.1249999999998</v>
      </c>
      <c r="AA20" s="385">
        <f t="shared" si="16"/>
        <v>1499.1666666666665</v>
      </c>
      <c r="AB20" s="244">
        <f t="shared" si="13"/>
        <v>1948.9166666666665</v>
      </c>
    </row>
    <row r="21" spans="1:28">
      <c r="A21" s="242" t="s">
        <v>650</v>
      </c>
      <c r="B21" s="468">
        <v>0</v>
      </c>
      <c r="C21" s="468">
        <v>3513</v>
      </c>
      <c r="D21" s="468">
        <f t="shared" si="7"/>
        <v>3513</v>
      </c>
      <c r="E21" s="468">
        <v>6945</v>
      </c>
      <c r="F21" s="468">
        <f t="shared" si="8"/>
        <v>1736.25</v>
      </c>
      <c r="G21" s="946">
        <f t="shared" si="9"/>
        <v>0</v>
      </c>
      <c r="H21" s="244">
        <f t="shared" si="10"/>
        <v>1736.25</v>
      </c>
      <c r="I21" s="468">
        <f t="shared" si="0"/>
        <v>144.6875</v>
      </c>
      <c r="J21" s="468">
        <f t="shared" si="1"/>
        <v>4630</v>
      </c>
      <c r="K21" s="468">
        <f t="shared" si="2"/>
        <v>2893.75</v>
      </c>
      <c r="L21" s="244">
        <f t="shared" si="3"/>
        <v>3761.875</v>
      </c>
      <c r="M21" s="468">
        <f t="shared" si="4"/>
        <v>0</v>
      </c>
      <c r="N21" s="244">
        <f t="shared" si="11"/>
        <v>3761.875</v>
      </c>
      <c r="O21" s="244">
        <f t="shared" si="5"/>
        <v>4630</v>
      </c>
      <c r="P21" s="385">
        <f t="shared" ref="P21:AA21" si="17">+O21-$I21</f>
        <v>4485.3125</v>
      </c>
      <c r="Q21" s="385">
        <f t="shared" si="17"/>
        <v>4340.625</v>
      </c>
      <c r="R21" s="385">
        <f t="shared" si="17"/>
        <v>4195.9375</v>
      </c>
      <c r="S21" s="385">
        <f t="shared" si="17"/>
        <v>4051.25</v>
      </c>
      <c r="T21" s="385">
        <f t="shared" si="17"/>
        <v>3906.5625</v>
      </c>
      <c r="U21" s="385">
        <f t="shared" si="17"/>
        <v>3761.875</v>
      </c>
      <c r="V21" s="385">
        <f t="shared" si="17"/>
        <v>3617.1875</v>
      </c>
      <c r="W21" s="385">
        <f t="shared" si="17"/>
        <v>3472.5</v>
      </c>
      <c r="X21" s="385">
        <f t="shared" si="17"/>
        <v>3327.8125</v>
      </c>
      <c r="Y21" s="385">
        <f t="shared" si="17"/>
        <v>3183.125</v>
      </c>
      <c r="Z21" s="385">
        <f t="shared" si="17"/>
        <v>3038.4375</v>
      </c>
      <c r="AA21" s="385">
        <f t="shared" si="17"/>
        <v>2893.75</v>
      </c>
      <c r="AB21" s="244">
        <f t="shared" si="13"/>
        <v>3761.875</v>
      </c>
    </row>
    <row r="22" spans="1:28">
      <c r="A22" s="242" t="s">
        <v>572</v>
      </c>
      <c r="B22" s="468">
        <v>1544</v>
      </c>
      <c r="C22" s="468">
        <v>1287</v>
      </c>
      <c r="D22" s="468">
        <f t="shared" si="7"/>
        <v>2831</v>
      </c>
      <c r="E22" s="468">
        <v>5597</v>
      </c>
      <c r="F22" s="468">
        <f t="shared" si="8"/>
        <v>1399.25</v>
      </c>
      <c r="G22" s="946">
        <f t="shared" si="9"/>
        <v>763.13740727658069</v>
      </c>
      <c r="H22" s="244">
        <f t="shared" si="10"/>
        <v>636.11259272341931</v>
      </c>
      <c r="I22" s="468">
        <f t="shared" si="0"/>
        <v>116.60416666666667</v>
      </c>
      <c r="J22" s="468">
        <f t="shared" si="1"/>
        <v>3731.3333333333335</v>
      </c>
      <c r="K22" s="468">
        <f t="shared" si="2"/>
        <v>2332.0833333333335</v>
      </c>
      <c r="L22" s="244">
        <f t="shared" si="3"/>
        <v>3031.7083333333339</v>
      </c>
      <c r="M22" s="468">
        <f t="shared" si="4"/>
        <v>1653.4643824325919</v>
      </c>
      <c r="N22" s="244">
        <f t="shared" si="11"/>
        <v>1378.243950900742</v>
      </c>
      <c r="O22" s="244">
        <f t="shared" si="5"/>
        <v>3731.3333333333335</v>
      </c>
      <c r="P22" s="385">
        <f t="shared" ref="P22:AA22" si="18">+O22-$I22</f>
        <v>3614.729166666667</v>
      </c>
      <c r="Q22" s="385">
        <f t="shared" si="18"/>
        <v>3498.1250000000005</v>
      </c>
      <c r="R22" s="385">
        <f t="shared" si="18"/>
        <v>3381.5208333333339</v>
      </c>
      <c r="S22" s="385">
        <f t="shared" si="18"/>
        <v>3264.9166666666674</v>
      </c>
      <c r="T22" s="385">
        <f t="shared" si="18"/>
        <v>3148.3125000000009</v>
      </c>
      <c r="U22" s="385">
        <f t="shared" si="18"/>
        <v>3031.7083333333344</v>
      </c>
      <c r="V22" s="385">
        <f t="shared" si="18"/>
        <v>2915.1041666666679</v>
      </c>
      <c r="W22" s="385">
        <f t="shared" si="18"/>
        <v>2798.5000000000014</v>
      </c>
      <c r="X22" s="385">
        <f t="shared" si="18"/>
        <v>2681.8958333333348</v>
      </c>
      <c r="Y22" s="385">
        <f t="shared" si="18"/>
        <v>2565.2916666666683</v>
      </c>
      <c r="Z22" s="385">
        <f t="shared" si="18"/>
        <v>2448.6875000000018</v>
      </c>
      <c r="AA22" s="385">
        <f t="shared" si="18"/>
        <v>2332.0833333333353</v>
      </c>
      <c r="AB22" s="244">
        <f t="shared" si="13"/>
        <v>3031.7083333333339</v>
      </c>
    </row>
    <row r="23" spans="1:28">
      <c r="A23" s="242" t="s">
        <v>578</v>
      </c>
      <c r="B23" s="468">
        <v>0</v>
      </c>
      <c r="C23" s="468">
        <v>2192</v>
      </c>
      <c r="D23" s="468">
        <f t="shared" si="7"/>
        <v>2192</v>
      </c>
      <c r="E23" s="468">
        <v>4334</v>
      </c>
      <c r="F23" s="468">
        <f t="shared" si="8"/>
        <v>1083.5</v>
      </c>
      <c r="G23" s="946">
        <f t="shared" si="9"/>
        <v>0</v>
      </c>
      <c r="H23" s="244">
        <f t="shared" si="10"/>
        <v>1083.5</v>
      </c>
      <c r="I23" s="468">
        <f t="shared" si="0"/>
        <v>90.291666666666671</v>
      </c>
      <c r="J23" s="468">
        <f t="shared" si="1"/>
        <v>2889.3333333333335</v>
      </c>
      <c r="K23" s="468">
        <f t="shared" si="2"/>
        <v>1805.8333333333335</v>
      </c>
      <c r="L23" s="244">
        <f t="shared" si="3"/>
        <v>2347.5833333333344</v>
      </c>
      <c r="M23" s="468">
        <f t="shared" si="4"/>
        <v>0</v>
      </c>
      <c r="N23" s="244">
        <f t="shared" si="11"/>
        <v>2347.5833333333344</v>
      </c>
      <c r="O23" s="244">
        <f t="shared" si="5"/>
        <v>2889.3333333333335</v>
      </c>
      <c r="P23" s="385">
        <f t="shared" ref="P23:AA23" si="19">+O23-$I23</f>
        <v>2799.041666666667</v>
      </c>
      <c r="Q23" s="385">
        <f t="shared" si="19"/>
        <v>2708.7500000000005</v>
      </c>
      <c r="R23" s="385">
        <f t="shared" si="19"/>
        <v>2618.4583333333339</v>
      </c>
      <c r="S23" s="385">
        <f t="shared" si="19"/>
        <v>2528.1666666666674</v>
      </c>
      <c r="T23" s="385">
        <f t="shared" si="19"/>
        <v>2437.8750000000009</v>
      </c>
      <c r="U23" s="385">
        <f t="shared" si="19"/>
        <v>2347.5833333333344</v>
      </c>
      <c r="V23" s="385">
        <f t="shared" si="19"/>
        <v>2257.2916666666679</v>
      </c>
      <c r="W23" s="385">
        <f t="shared" si="19"/>
        <v>2167.0000000000014</v>
      </c>
      <c r="X23" s="385">
        <f t="shared" si="19"/>
        <v>2076.7083333333348</v>
      </c>
      <c r="Y23" s="385">
        <f t="shared" si="19"/>
        <v>1986.4166666666681</v>
      </c>
      <c r="Z23" s="385">
        <f t="shared" si="19"/>
        <v>1896.1250000000014</v>
      </c>
      <c r="AA23" s="385">
        <f t="shared" si="19"/>
        <v>1805.8333333333346</v>
      </c>
      <c r="AB23" s="244">
        <f t="shared" si="13"/>
        <v>2347.5833333333344</v>
      </c>
    </row>
    <row r="24" spans="1:28">
      <c r="A24" s="242" t="s">
        <v>1159</v>
      </c>
      <c r="B24" s="468">
        <v>2960</v>
      </c>
      <c r="C24" s="468">
        <v>1284</v>
      </c>
      <c r="D24" s="468">
        <f t="shared" si="7"/>
        <v>4244</v>
      </c>
      <c r="E24" s="468">
        <v>19714</v>
      </c>
      <c r="F24" s="468">
        <f t="shared" si="8"/>
        <v>4928.5</v>
      </c>
      <c r="G24" s="946">
        <f t="shared" si="9"/>
        <v>3437.4081055607917</v>
      </c>
      <c r="H24" s="244">
        <f t="shared" si="10"/>
        <v>1491.0918944392083</v>
      </c>
      <c r="I24" s="468">
        <f t="shared" si="0"/>
        <v>410.70833333333331</v>
      </c>
      <c r="J24" s="468">
        <f t="shared" si="1"/>
        <v>13142.666666666666</v>
      </c>
      <c r="K24" s="468">
        <f t="shared" si="2"/>
        <v>8214.1666666666661</v>
      </c>
      <c r="L24" s="244">
        <f t="shared" si="3"/>
        <v>10678.416666666661</v>
      </c>
      <c r="M24" s="468">
        <f t="shared" si="4"/>
        <v>7447.7175620483786</v>
      </c>
      <c r="N24" s="244">
        <f t="shared" si="11"/>
        <v>3230.699104618282</v>
      </c>
      <c r="O24" s="244">
        <f t="shared" si="5"/>
        <v>13142.666666666666</v>
      </c>
      <c r="P24" s="385">
        <f t="shared" ref="P24:AA24" si="20">+O24-$I24</f>
        <v>12731.958333333332</v>
      </c>
      <c r="Q24" s="385">
        <f t="shared" si="20"/>
        <v>12321.249999999998</v>
      </c>
      <c r="R24" s="385">
        <f t="shared" si="20"/>
        <v>11910.541666666664</v>
      </c>
      <c r="S24" s="385">
        <f t="shared" si="20"/>
        <v>11499.83333333333</v>
      </c>
      <c r="T24" s="385">
        <f t="shared" si="20"/>
        <v>11089.124999999996</v>
      </c>
      <c r="U24" s="385">
        <f t="shared" si="20"/>
        <v>10678.416666666662</v>
      </c>
      <c r="V24" s="385">
        <f t="shared" si="20"/>
        <v>10267.708333333328</v>
      </c>
      <c r="W24" s="385">
        <f t="shared" si="20"/>
        <v>9856.9999999999945</v>
      </c>
      <c r="X24" s="385">
        <f t="shared" si="20"/>
        <v>9446.2916666666606</v>
      </c>
      <c r="Y24" s="385">
        <f t="shared" si="20"/>
        <v>9035.5833333333267</v>
      </c>
      <c r="Z24" s="385">
        <f t="shared" si="20"/>
        <v>8624.8749999999927</v>
      </c>
      <c r="AA24" s="385">
        <f t="shared" si="20"/>
        <v>8214.1666666666588</v>
      </c>
      <c r="AB24" s="244">
        <f t="shared" si="13"/>
        <v>10678.416666666661</v>
      </c>
    </row>
    <row r="25" spans="1:28">
      <c r="A25" s="242" t="s">
        <v>73</v>
      </c>
      <c r="B25" s="468">
        <f>SUM(B16:B24)</f>
        <v>17076</v>
      </c>
      <c r="C25" s="468">
        <f>SUM(C16:C24)</f>
        <v>17552</v>
      </c>
      <c r="D25" s="468">
        <f>SUM(D16:D24)</f>
        <v>34628</v>
      </c>
      <c r="E25" s="468">
        <f t="shared" ref="E25:N25" si="21">SUM(E16:E24)</f>
        <v>79786</v>
      </c>
      <c r="F25" s="468">
        <f t="shared" si="21"/>
        <v>19946.5</v>
      </c>
      <c r="G25" s="468">
        <f t="shared" si="21"/>
        <v>10414.727077492853</v>
      </c>
      <c r="H25" s="468">
        <f t="shared" si="21"/>
        <v>9531.7729225071471</v>
      </c>
      <c r="I25" s="468">
        <f t="shared" si="21"/>
        <v>1662.2083333333333</v>
      </c>
      <c r="J25" s="468">
        <f t="shared" si="21"/>
        <v>53190.666666666664</v>
      </c>
      <c r="K25" s="468">
        <f t="shared" si="21"/>
        <v>33244.166666666664</v>
      </c>
      <c r="L25" s="468">
        <f t="shared" si="21"/>
        <v>43217.416666666657</v>
      </c>
      <c r="M25" s="468">
        <f t="shared" si="21"/>
        <v>22565.24200123451</v>
      </c>
      <c r="N25" s="468">
        <f t="shared" si="21"/>
        <v>20652.174665432147</v>
      </c>
      <c r="O25" s="244">
        <f t="shared" si="5"/>
        <v>53190.666666666664</v>
      </c>
      <c r="P25" s="385">
        <f t="shared" ref="P25:AA25" si="22">+O25-$I25</f>
        <v>51528.458333333328</v>
      </c>
      <c r="Q25" s="385">
        <f t="shared" si="22"/>
        <v>49866.249999999993</v>
      </c>
      <c r="R25" s="385">
        <f t="shared" si="22"/>
        <v>48204.041666666657</v>
      </c>
      <c r="S25" s="385">
        <f t="shared" si="22"/>
        <v>46541.833333333321</v>
      </c>
      <c r="T25" s="385">
        <f t="shared" si="22"/>
        <v>44879.624999999985</v>
      </c>
      <c r="U25" s="385">
        <f t="shared" si="22"/>
        <v>43217.41666666665</v>
      </c>
      <c r="V25" s="385">
        <f t="shared" si="22"/>
        <v>41555.208333333314</v>
      </c>
      <c r="W25" s="385">
        <f t="shared" si="22"/>
        <v>39892.999999999978</v>
      </c>
      <c r="X25" s="385">
        <f t="shared" si="22"/>
        <v>38230.791666666642</v>
      </c>
      <c r="Y25" s="385">
        <f t="shared" si="22"/>
        <v>36568.583333333307</v>
      </c>
      <c r="Z25" s="385">
        <f t="shared" si="22"/>
        <v>34906.374999999971</v>
      </c>
      <c r="AA25" s="385">
        <f t="shared" si="22"/>
        <v>33244.166666666635</v>
      </c>
      <c r="AB25" s="244">
        <f t="shared" si="13"/>
        <v>43217.416666666642</v>
      </c>
    </row>
    <row r="27" spans="1:28">
      <c r="A27" s="549"/>
      <c r="B27" s="549"/>
      <c r="C27" s="549"/>
      <c r="D27" s="549"/>
      <c r="E27" s="549"/>
      <c r="F27" s="549"/>
      <c r="G27" s="549"/>
      <c r="H27" s="549"/>
      <c r="I27" s="549"/>
      <c r="J27" s="549"/>
      <c r="K27" s="549"/>
      <c r="L27" s="549"/>
      <c r="M27" s="549"/>
      <c r="N27" s="549"/>
      <c r="O27" s="549"/>
      <c r="P27" s="549"/>
      <c r="Q27" s="549"/>
      <c r="R27" s="549"/>
      <c r="S27" s="549"/>
      <c r="T27" s="549"/>
      <c r="U27" s="549"/>
      <c r="V27" s="549"/>
      <c r="W27" s="549"/>
      <c r="X27" s="549"/>
      <c r="Y27" s="549"/>
    </row>
    <row r="28" spans="1:28" ht="12.75" thickBot="1">
      <c r="A28" s="536" t="s">
        <v>1162</v>
      </c>
      <c r="B28" s="276"/>
      <c r="C28" s="276"/>
      <c r="D28" s="276"/>
      <c r="E28" s="276"/>
      <c r="F28" s="276"/>
    </row>
    <row r="29" spans="1:28" s="947" customFormat="1" ht="12.75" thickBot="1">
      <c r="A29" s="942" t="s">
        <v>1160</v>
      </c>
      <c r="B29" s="943"/>
      <c r="C29" s="944">
        <f>+I40</f>
        <v>38416.839743589742</v>
      </c>
    </row>
    <row r="30" spans="1:28" s="947" customFormat="1" ht="12.75" thickBot="1">
      <c r="A30" s="942" t="s">
        <v>1161</v>
      </c>
      <c r="B30" s="943"/>
      <c r="C30" s="944" t="s">
        <v>256</v>
      </c>
    </row>
    <row r="31" spans="1:28">
      <c r="C31" s="242" t="s">
        <v>576</v>
      </c>
      <c r="D31" s="242" t="s">
        <v>580</v>
      </c>
      <c r="E31" s="242" t="s">
        <v>581</v>
      </c>
      <c r="F31" s="242" t="s">
        <v>511</v>
      </c>
      <c r="G31" s="242" t="s">
        <v>514</v>
      </c>
      <c r="H31" s="242" t="s">
        <v>512</v>
      </c>
      <c r="I31" s="242" t="s">
        <v>438</v>
      </c>
    </row>
    <row r="32" spans="1:28">
      <c r="A32" s="242" t="s">
        <v>1146</v>
      </c>
      <c r="B32" s="288"/>
      <c r="C32" s="948" t="s">
        <v>1163</v>
      </c>
      <c r="D32" s="948" t="s">
        <v>1164</v>
      </c>
      <c r="E32" s="948" t="s">
        <v>1165</v>
      </c>
      <c r="F32" s="948" t="s">
        <v>1166</v>
      </c>
      <c r="G32" s="948" t="s">
        <v>1166</v>
      </c>
      <c r="H32" s="948" t="s">
        <v>1167</v>
      </c>
    </row>
    <row r="33" spans="1:15">
      <c r="A33" s="242" t="s">
        <v>1148</v>
      </c>
      <c r="B33" s="288"/>
      <c r="C33" s="948" t="s">
        <v>1168</v>
      </c>
      <c r="D33" s="948" t="s">
        <v>1169</v>
      </c>
      <c r="E33" s="948" t="s">
        <v>1170</v>
      </c>
      <c r="F33" s="948" t="s">
        <v>1171</v>
      </c>
      <c r="G33" s="948" t="s">
        <v>1171</v>
      </c>
      <c r="H33" s="948" t="s">
        <v>1172</v>
      </c>
    </row>
    <row r="34" spans="1:15">
      <c r="A34" s="242" t="s">
        <v>1150</v>
      </c>
      <c r="B34" s="288"/>
      <c r="C34" s="468">
        <f>+C35*12</f>
        <v>20904</v>
      </c>
      <c r="D34" s="468">
        <f>+D35*12</f>
        <v>34260</v>
      </c>
      <c r="E34" s="468">
        <f>+E35*12</f>
        <v>30756</v>
      </c>
      <c r="F34" s="468">
        <v>1684</v>
      </c>
      <c r="G34" s="468">
        <v>1936</v>
      </c>
      <c r="H34" s="468">
        <v>6273</v>
      </c>
    </row>
    <row r="35" spans="1:15">
      <c r="A35" s="242" t="s">
        <v>1151</v>
      </c>
      <c r="B35" s="288"/>
      <c r="C35" s="468">
        <v>1742</v>
      </c>
      <c r="D35" s="468">
        <v>2855</v>
      </c>
      <c r="E35" s="468">
        <v>2563</v>
      </c>
      <c r="F35" s="468">
        <f>+F34/12</f>
        <v>140.33333333333334</v>
      </c>
      <c r="G35" s="468">
        <f>+G34/12</f>
        <v>161.33333333333334</v>
      </c>
      <c r="H35" s="468">
        <f>+H34/12</f>
        <v>522.75</v>
      </c>
    </row>
    <row r="36" spans="1:15">
      <c r="A36" s="242" t="s">
        <v>1152</v>
      </c>
      <c r="B36" s="288"/>
      <c r="C36" s="468"/>
      <c r="D36" s="468"/>
      <c r="E36" s="468"/>
      <c r="F36" s="468"/>
      <c r="G36" s="468"/>
      <c r="H36" s="468"/>
    </row>
    <row r="37" spans="1:15">
      <c r="A37" s="242" t="s">
        <v>1153</v>
      </c>
      <c r="B37" s="288"/>
      <c r="C37" s="468"/>
      <c r="D37" s="468"/>
      <c r="E37" s="468"/>
      <c r="F37" s="468"/>
      <c r="G37" s="468"/>
      <c r="H37" s="468"/>
    </row>
    <row r="38" spans="1:15">
      <c r="A38" s="242" t="s">
        <v>1154</v>
      </c>
      <c r="C38" s="468">
        <f>+C35*5</f>
        <v>8710</v>
      </c>
      <c r="D38" s="468">
        <f>+D35*6</f>
        <v>17130</v>
      </c>
      <c r="E38" s="468">
        <f>+E35*13</f>
        <v>33319</v>
      </c>
      <c r="F38" s="468">
        <f>+F35*19</f>
        <v>2666.3333333333335</v>
      </c>
      <c r="G38" s="468">
        <f>+G35*19</f>
        <v>3065.3333333333335</v>
      </c>
      <c r="H38" s="468">
        <f>+H35*25</f>
        <v>13068.75</v>
      </c>
    </row>
    <row r="39" spans="1:15" ht="12.75" thickBot="1">
      <c r="A39" s="242" t="s">
        <v>1155</v>
      </c>
      <c r="C39" s="468">
        <v>0</v>
      </c>
      <c r="D39" s="468">
        <v>0</v>
      </c>
      <c r="E39" s="468">
        <f>+E35*1</f>
        <v>2563</v>
      </c>
      <c r="F39" s="468">
        <f>+F35*7</f>
        <v>982.33333333333337</v>
      </c>
      <c r="G39" s="468">
        <f>+G35*7</f>
        <v>1129.3333333333335</v>
      </c>
      <c r="H39" s="468">
        <f>+H35*13</f>
        <v>6795.75</v>
      </c>
    </row>
    <row r="40" spans="1:15" ht="12.75" thickBot="1">
      <c r="A40" s="242" t="s">
        <v>1173</v>
      </c>
      <c r="C40" s="949">
        <f>+O53</f>
        <v>2010</v>
      </c>
      <c r="D40" s="950">
        <f>+O54</f>
        <v>4611.9230769230771</v>
      </c>
      <c r="E40" s="950">
        <f>+O55</f>
        <v>17941</v>
      </c>
      <c r="F40" s="950">
        <f>+O56</f>
        <v>1824.3333333333333</v>
      </c>
      <c r="G40" s="950">
        <f>+G38-(G35*6)</f>
        <v>2097.3333333333335</v>
      </c>
      <c r="H40" s="950">
        <f>+H38-(H35*6)</f>
        <v>9932.25</v>
      </c>
      <c r="I40" s="951">
        <f>SUM(C40:H40)</f>
        <v>38416.839743589742</v>
      </c>
    </row>
    <row r="41" spans="1:15">
      <c r="J41" s="1008" t="s">
        <v>1092</v>
      </c>
      <c r="K41" s="1008"/>
      <c r="L41" s="1008"/>
      <c r="M41" s="1008" t="s">
        <v>1184</v>
      </c>
      <c r="N41" s="1008"/>
      <c r="O41" s="1008"/>
    </row>
    <row r="42" spans="1:15">
      <c r="B42" s="242" t="s">
        <v>73</v>
      </c>
      <c r="C42" s="242" t="s">
        <v>251</v>
      </c>
      <c r="D42" s="242" t="s">
        <v>7</v>
      </c>
      <c r="J42" s="952" t="s">
        <v>251</v>
      </c>
      <c r="K42" s="953" t="s">
        <v>7</v>
      </c>
      <c r="L42" s="952" t="s">
        <v>73</v>
      </c>
      <c r="M42" s="952" t="s">
        <v>251</v>
      </c>
      <c r="N42" s="953" t="s">
        <v>7</v>
      </c>
      <c r="O42" s="952" t="s">
        <v>73</v>
      </c>
    </row>
    <row r="43" spans="1:15">
      <c r="A43" s="242" t="s">
        <v>576</v>
      </c>
      <c r="B43" s="425">
        <f t="shared" ref="B43:B48" si="23">+O53</f>
        <v>2010</v>
      </c>
      <c r="C43" s="468">
        <f t="shared" ref="C43:C48" si="24">+B43*M43</f>
        <v>1008.9686718441488</v>
      </c>
      <c r="D43" s="468">
        <f t="shared" ref="D43:D48" si="25">+B43*N43</f>
        <v>1001.0313281558512</v>
      </c>
      <c r="J43" s="954">
        <v>762.7</v>
      </c>
      <c r="K43" s="954">
        <v>756.7</v>
      </c>
      <c r="L43" s="954">
        <f>+J43+K43</f>
        <v>1519.4</v>
      </c>
      <c r="M43" s="955">
        <f t="shared" ref="M43:M48" si="26">+J43/L43</f>
        <v>0.50197446360405418</v>
      </c>
      <c r="N43" s="955">
        <f t="shared" ref="N43:N48" si="27">1-M43</f>
        <v>0.49802553639594582</v>
      </c>
      <c r="O43" s="955">
        <f t="shared" ref="O43:O48" si="28">+M43+N43</f>
        <v>1</v>
      </c>
    </row>
    <row r="44" spans="1:15">
      <c r="A44" s="242" t="s">
        <v>580</v>
      </c>
      <c r="B44" s="425">
        <f t="shared" si="23"/>
        <v>4611.9230769230771</v>
      </c>
      <c r="C44" s="468">
        <f t="shared" si="24"/>
        <v>0</v>
      </c>
      <c r="D44" s="468">
        <f t="shared" si="25"/>
        <v>4611.9230769230771</v>
      </c>
      <c r="J44" s="954"/>
      <c r="K44" s="954">
        <v>1229</v>
      </c>
      <c r="L44" s="954">
        <f>+J44+K44</f>
        <v>1229</v>
      </c>
      <c r="M44" s="955">
        <f t="shared" si="26"/>
        <v>0</v>
      </c>
      <c r="N44" s="955">
        <f t="shared" si="27"/>
        <v>1</v>
      </c>
      <c r="O44" s="955">
        <f t="shared" si="28"/>
        <v>1</v>
      </c>
    </row>
    <row r="45" spans="1:15">
      <c r="A45" s="242" t="s">
        <v>581</v>
      </c>
      <c r="B45" s="425">
        <f t="shared" si="23"/>
        <v>17941</v>
      </c>
      <c r="C45" s="468">
        <f t="shared" si="24"/>
        <v>9942.2718723499584</v>
      </c>
      <c r="D45" s="468">
        <f t="shared" si="25"/>
        <v>7998.7281276500416</v>
      </c>
      <c r="J45" s="954">
        <v>13853.9</v>
      </c>
      <c r="K45" s="954">
        <v>11145.7</v>
      </c>
      <c r="L45" s="954">
        <f>+J45+K45</f>
        <v>24999.599999999999</v>
      </c>
      <c r="M45" s="955">
        <f t="shared" si="26"/>
        <v>0.55416486663786624</v>
      </c>
      <c r="N45" s="955">
        <f t="shared" si="27"/>
        <v>0.44583513336213376</v>
      </c>
      <c r="O45" s="955">
        <f t="shared" si="28"/>
        <v>1</v>
      </c>
    </row>
    <row r="46" spans="1:15">
      <c r="A46" s="242" t="s">
        <v>521</v>
      </c>
      <c r="B46" s="425">
        <f t="shared" si="23"/>
        <v>1824.3333333333333</v>
      </c>
      <c r="C46" s="468">
        <f t="shared" si="24"/>
        <v>1601.3981659202389</v>
      </c>
      <c r="D46" s="468">
        <f t="shared" si="25"/>
        <v>222.93516741309438</v>
      </c>
      <c r="J46" s="956">
        <v>548.79999999999995</v>
      </c>
      <c r="K46" s="956">
        <v>76.400000000000006</v>
      </c>
      <c r="L46" s="956">
        <v>625.19999999999993</v>
      </c>
      <c r="M46" s="955">
        <f t="shared" si="26"/>
        <v>0.87779910428662833</v>
      </c>
      <c r="N46" s="955">
        <f t="shared" si="27"/>
        <v>0.12220089571337167</v>
      </c>
      <c r="O46" s="955">
        <f t="shared" si="28"/>
        <v>1</v>
      </c>
    </row>
    <row r="47" spans="1:15">
      <c r="A47" s="242" t="s">
        <v>525</v>
      </c>
      <c r="B47" s="425">
        <f t="shared" si="23"/>
        <v>2097.333333333333</v>
      </c>
      <c r="C47" s="468">
        <f t="shared" si="24"/>
        <v>1358.5569358178052</v>
      </c>
      <c r="D47" s="468">
        <f t="shared" si="25"/>
        <v>738.77639751552783</v>
      </c>
      <c r="J47" s="956">
        <v>2711.5</v>
      </c>
      <c r="K47" s="956">
        <v>1474.5</v>
      </c>
      <c r="L47" s="956">
        <v>4186</v>
      </c>
      <c r="M47" s="955">
        <f t="shared" si="26"/>
        <v>0.64775441949354995</v>
      </c>
      <c r="N47" s="955">
        <f t="shared" si="27"/>
        <v>0.35224558050645005</v>
      </c>
      <c r="O47" s="955">
        <f t="shared" si="28"/>
        <v>1</v>
      </c>
    </row>
    <row r="48" spans="1:15">
      <c r="A48" s="242" t="s">
        <v>523</v>
      </c>
      <c r="B48" s="425">
        <f t="shared" si="23"/>
        <v>9932.25</v>
      </c>
      <c r="C48" s="468">
        <f t="shared" si="24"/>
        <v>6926.5296072617693</v>
      </c>
      <c r="D48" s="468">
        <f t="shared" si="25"/>
        <v>3005.7203927382311</v>
      </c>
      <c r="J48" s="956">
        <v>2869.5</v>
      </c>
      <c r="K48" s="956">
        <v>1245.2</v>
      </c>
      <c r="L48" s="956">
        <v>4114.7</v>
      </c>
      <c r="M48" s="955">
        <f t="shared" si="26"/>
        <v>0.69737769460714027</v>
      </c>
      <c r="N48" s="955">
        <f t="shared" si="27"/>
        <v>0.30262230539285973</v>
      </c>
      <c r="O48" s="955">
        <f t="shared" si="28"/>
        <v>1</v>
      </c>
    </row>
    <row r="49" spans="1:15">
      <c r="C49" s="244">
        <f>SUM(C43:C48)</f>
        <v>20837.725253193919</v>
      </c>
      <c r="D49" s="244">
        <f>SUM(D43:D48)</f>
        <v>17579.114490395823</v>
      </c>
    </row>
    <row r="52" spans="1:15">
      <c r="B52" s="242" t="s">
        <v>1179</v>
      </c>
      <c r="C52" s="242" t="s">
        <v>1174</v>
      </c>
      <c r="D52" s="242" t="s">
        <v>1175</v>
      </c>
      <c r="E52" s="242" t="s">
        <v>1176</v>
      </c>
      <c r="F52" s="242" t="s">
        <v>634</v>
      </c>
      <c r="G52" s="242" t="s">
        <v>1176</v>
      </c>
      <c r="H52" s="242" t="s">
        <v>1174</v>
      </c>
      <c r="I52" s="242" t="s">
        <v>1174</v>
      </c>
      <c r="J52" s="242" t="s">
        <v>634</v>
      </c>
      <c r="K52" s="242" t="s">
        <v>816</v>
      </c>
      <c r="L52" s="242" t="s">
        <v>1177</v>
      </c>
      <c r="M52" s="242" t="s">
        <v>1178</v>
      </c>
      <c r="N52" s="242" t="s">
        <v>1179</v>
      </c>
      <c r="O52" s="242">
        <v>13</v>
      </c>
    </row>
    <row r="53" spans="1:15">
      <c r="A53" s="242" t="s">
        <v>576</v>
      </c>
      <c r="B53" s="385">
        <f>+C38</f>
        <v>8710</v>
      </c>
      <c r="C53" s="385">
        <f>+B53-$C35</f>
        <v>6968</v>
      </c>
      <c r="D53" s="385">
        <f>+C53-$C35</f>
        <v>5226</v>
      </c>
      <c r="E53" s="385">
        <f>+D53-$C35</f>
        <v>3484</v>
      </c>
      <c r="F53" s="385">
        <f>+E53-$C35</f>
        <v>1742</v>
      </c>
      <c r="G53" s="385">
        <f>+F53-$C35</f>
        <v>0</v>
      </c>
      <c r="O53" s="385">
        <f t="shared" ref="O53:O58" si="29">(SUM(B53:N53))/13</f>
        <v>2010</v>
      </c>
    </row>
    <row r="54" spans="1:15">
      <c r="A54" s="242" t="s">
        <v>580</v>
      </c>
      <c r="B54" s="385">
        <f>+D38</f>
        <v>17130</v>
      </c>
      <c r="C54" s="385">
        <f t="shared" ref="C54:H54" si="30">+B54-$D35</f>
        <v>14275</v>
      </c>
      <c r="D54" s="385">
        <f t="shared" si="30"/>
        <v>11420</v>
      </c>
      <c r="E54" s="385">
        <f t="shared" si="30"/>
        <v>8565</v>
      </c>
      <c r="F54" s="385">
        <f t="shared" si="30"/>
        <v>5710</v>
      </c>
      <c r="G54" s="385">
        <f t="shared" si="30"/>
        <v>2855</v>
      </c>
      <c r="H54" s="385">
        <f t="shared" si="30"/>
        <v>0</v>
      </c>
      <c r="O54" s="385">
        <f t="shared" si="29"/>
        <v>4611.9230769230771</v>
      </c>
    </row>
    <row r="55" spans="1:15">
      <c r="A55" s="242" t="s">
        <v>581</v>
      </c>
      <c r="B55" s="385">
        <f>+E38</f>
        <v>33319</v>
      </c>
      <c r="C55" s="385">
        <f t="shared" ref="C55:N55" si="31">+B55-$E35</f>
        <v>30756</v>
      </c>
      <c r="D55" s="385">
        <f t="shared" si="31"/>
        <v>28193</v>
      </c>
      <c r="E55" s="385">
        <f t="shared" si="31"/>
        <v>25630</v>
      </c>
      <c r="F55" s="385">
        <f t="shared" si="31"/>
        <v>23067</v>
      </c>
      <c r="G55" s="385">
        <f t="shared" si="31"/>
        <v>20504</v>
      </c>
      <c r="H55" s="385">
        <f t="shared" si="31"/>
        <v>17941</v>
      </c>
      <c r="I55" s="385">
        <f t="shared" si="31"/>
        <v>15378</v>
      </c>
      <c r="J55" s="385">
        <f t="shared" si="31"/>
        <v>12815</v>
      </c>
      <c r="K55" s="385">
        <f t="shared" si="31"/>
        <v>10252</v>
      </c>
      <c r="L55" s="385">
        <f t="shared" si="31"/>
        <v>7689</v>
      </c>
      <c r="M55" s="385">
        <f t="shared" si="31"/>
        <v>5126</v>
      </c>
      <c r="N55" s="385">
        <f t="shared" si="31"/>
        <v>2563</v>
      </c>
      <c r="O55" s="385">
        <f t="shared" si="29"/>
        <v>17941</v>
      </c>
    </row>
    <row r="56" spans="1:15">
      <c r="A56" s="242" t="s">
        <v>521</v>
      </c>
      <c r="B56" s="385">
        <f>+F38</f>
        <v>2666.3333333333335</v>
      </c>
      <c r="C56" s="385">
        <f t="shared" ref="C56:N56" si="32">+B56-$F35</f>
        <v>2526</v>
      </c>
      <c r="D56" s="385">
        <f t="shared" si="32"/>
        <v>2385.6666666666665</v>
      </c>
      <c r="E56" s="385">
        <f t="shared" si="32"/>
        <v>2245.333333333333</v>
      </c>
      <c r="F56" s="385">
        <f t="shared" si="32"/>
        <v>2104.9999999999995</v>
      </c>
      <c r="G56" s="385">
        <f t="shared" si="32"/>
        <v>1964.6666666666663</v>
      </c>
      <c r="H56" s="385">
        <f t="shared" si="32"/>
        <v>1824.333333333333</v>
      </c>
      <c r="I56" s="385">
        <f t="shared" si="32"/>
        <v>1683.9999999999998</v>
      </c>
      <c r="J56" s="385">
        <f t="shared" si="32"/>
        <v>1543.6666666666665</v>
      </c>
      <c r="K56" s="385">
        <f t="shared" si="32"/>
        <v>1403.3333333333333</v>
      </c>
      <c r="L56" s="385">
        <f t="shared" si="32"/>
        <v>1263</v>
      </c>
      <c r="M56" s="385">
        <f t="shared" si="32"/>
        <v>1122.6666666666667</v>
      </c>
      <c r="N56" s="385">
        <f t="shared" si="32"/>
        <v>982.33333333333337</v>
      </c>
      <c r="O56" s="385">
        <f t="shared" si="29"/>
        <v>1824.3333333333333</v>
      </c>
    </row>
    <row r="57" spans="1:15">
      <c r="A57" s="242" t="s">
        <v>525</v>
      </c>
      <c r="B57" s="385">
        <f>+G38</f>
        <v>3065.3333333333335</v>
      </c>
      <c r="C57" s="385">
        <f t="shared" ref="C57:N57" si="33">+B57-$G35</f>
        <v>2904</v>
      </c>
      <c r="D57" s="385">
        <f t="shared" si="33"/>
        <v>2742.6666666666665</v>
      </c>
      <c r="E57" s="385">
        <f t="shared" si="33"/>
        <v>2581.333333333333</v>
      </c>
      <c r="F57" s="385">
        <f t="shared" si="33"/>
        <v>2419.9999999999995</v>
      </c>
      <c r="G57" s="385">
        <f t="shared" si="33"/>
        <v>2258.6666666666661</v>
      </c>
      <c r="H57" s="385">
        <f t="shared" si="33"/>
        <v>2097.3333333333326</v>
      </c>
      <c r="I57" s="385">
        <f t="shared" si="33"/>
        <v>1935.9999999999993</v>
      </c>
      <c r="J57" s="385">
        <f t="shared" si="33"/>
        <v>1774.6666666666661</v>
      </c>
      <c r="K57" s="385">
        <f t="shared" si="33"/>
        <v>1613.3333333333328</v>
      </c>
      <c r="L57" s="385">
        <f t="shared" si="33"/>
        <v>1451.9999999999995</v>
      </c>
      <c r="M57" s="385">
        <f t="shared" si="33"/>
        <v>1290.6666666666663</v>
      </c>
      <c r="N57" s="385">
        <f t="shared" si="33"/>
        <v>1129.333333333333</v>
      </c>
      <c r="O57" s="385">
        <f t="shared" si="29"/>
        <v>2097.333333333333</v>
      </c>
    </row>
    <row r="58" spans="1:15">
      <c r="A58" s="242" t="s">
        <v>523</v>
      </c>
      <c r="B58" s="385">
        <f>+H38</f>
        <v>13068.75</v>
      </c>
      <c r="C58" s="385">
        <f t="shared" ref="C58:N58" si="34">+B58-$H35</f>
        <v>12546</v>
      </c>
      <c r="D58" s="385">
        <f t="shared" si="34"/>
        <v>12023.25</v>
      </c>
      <c r="E58" s="385">
        <f t="shared" si="34"/>
        <v>11500.5</v>
      </c>
      <c r="F58" s="385">
        <f t="shared" si="34"/>
        <v>10977.75</v>
      </c>
      <c r="G58" s="385">
        <f t="shared" si="34"/>
        <v>10455</v>
      </c>
      <c r="H58" s="385">
        <f t="shared" si="34"/>
        <v>9932.25</v>
      </c>
      <c r="I58" s="385">
        <f t="shared" si="34"/>
        <v>9409.5</v>
      </c>
      <c r="J58" s="385">
        <f t="shared" si="34"/>
        <v>8886.75</v>
      </c>
      <c r="K58" s="385">
        <f t="shared" si="34"/>
        <v>8364</v>
      </c>
      <c r="L58" s="385">
        <f t="shared" si="34"/>
        <v>7841.25</v>
      </c>
      <c r="M58" s="385">
        <f t="shared" si="34"/>
        <v>7318.5</v>
      </c>
      <c r="N58" s="385">
        <f t="shared" si="34"/>
        <v>6795.75</v>
      </c>
      <c r="O58" s="385">
        <f t="shared" si="29"/>
        <v>9932.25</v>
      </c>
    </row>
    <row r="60" spans="1:15">
      <c r="A60" s="957"/>
      <c r="B60" s="958"/>
      <c r="C60" s="958"/>
      <c r="D60" s="958"/>
      <c r="E60" s="958"/>
      <c r="F60" s="958"/>
      <c r="G60" s="958"/>
      <c r="H60" s="958"/>
      <c r="I60" s="958"/>
      <c r="J60" s="958"/>
      <c r="K60" s="958"/>
      <c r="L60" s="958"/>
      <c r="M60" s="958"/>
      <c r="N60" s="958"/>
      <c r="O60" s="958"/>
    </row>
    <row r="61" spans="1:15" ht="12.75" thickBot="1">
      <c r="A61" s="246" t="s">
        <v>1192</v>
      </c>
      <c r="D61" s="242" t="s">
        <v>251</v>
      </c>
      <c r="E61" s="242" t="s">
        <v>7</v>
      </c>
    </row>
    <row r="62" spans="1:15" ht="12.75" thickBot="1">
      <c r="A62" s="942" t="s">
        <v>1191</v>
      </c>
      <c r="B62" s="943"/>
      <c r="C62" s="944">
        <f>+C90</f>
        <v>14818.333333333332</v>
      </c>
      <c r="D62" s="425">
        <f>+D90</f>
        <v>7717.1666666666661</v>
      </c>
      <c r="E62" s="425">
        <f>+E90</f>
        <v>7101.166666666667</v>
      </c>
    </row>
    <row r="63" spans="1:15" ht="12.75" thickBot="1">
      <c r="A63" s="942" t="s">
        <v>1161</v>
      </c>
      <c r="B63" s="943"/>
      <c r="C63" s="944">
        <f>+C84</f>
        <v>6836</v>
      </c>
      <c r="D63" s="425">
        <f>+D76</f>
        <v>3559</v>
      </c>
      <c r="E63" s="425">
        <f>+E76</f>
        <v>3277</v>
      </c>
    </row>
    <row r="65" spans="1:14">
      <c r="B65" s="1009" t="s">
        <v>1189</v>
      </c>
      <c r="C65" s="1009"/>
      <c r="D65" s="1009" t="s">
        <v>1150</v>
      </c>
      <c r="E65" s="1009"/>
      <c r="F65" s="1010" t="s">
        <v>1190</v>
      </c>
      <c r="G65" s="1010"/>
      <c r="H65" s="242" t="s">
        <v>1194</v>
      </c>
      <c r="K65" s="1010" t="s">
        <v>1193</v>
      </c>
      <c r="L65" s="1010"/>
    </row>
    <row r="66" spans="1:14">
      <c r="B66" s="852" t="s">
        <v>251</v>
      </c>
      <c r="C66" s="852" t="s">
        <v>252</v>
      </c>
      <c r="D66" s="852" t="s">
        <v>251</v>
      </c>
      <c r="E66" s="852" t="s">
        <v>252</v>
      </c>
      <c r="F66" s="852" t="s">
        <v>251</v>
      </c>
      <c r="G66" s="852" t="s">
        <v>252</v>
      </c>
      <c r="H66" s="852" t="s">
        <v>251</v>
      </c>
      <c r="I66" s="852" t="s">
        <v>252</v>
      </c>
      <c r="K66" s="959" t="s">
        <v>251</v>
      </c>
      <c r="L66" s="959" t="s">
        <v>252</v>
      </c>
    </row>
    <row r="67" spans="1:14">
      <c r="A67" s="242" t="s">
        <v>579</v>
      </c>
      <c r="B67" s="387">
        <v>7173</v>
      </c>
      <c r="C67" s="387">
        <v>6587</v>
      </c>
      <c r="D67" s="387">
        <v>1793</v>
      </c>
      <c r="E67" s="387">
        <v>1647</v>
      </c>
      <c r="F67" s="387">
        <v>5380</v>
      </c>
      <c r="G67" s="387">
        <v>4941</v>
      </c>
      <c r="H67" s="702">
        <f>+B67/B$76</f>
        <v>0.50365117258811964</v>
      </c>
      <c r="I67" s="702">
        <f>+C67/C$76</f>
        <v>0.50247921275459606</v>
      </c>
      <c r="K67" s="385">
        <f>+$D$62*H67</f>
        <v>3886.7600407246168</v>
      </c>
      <c r="L67" s="385">
        <f>+$E$62*I67</f>
        <v>3568.1886363058461</v>
      </c>
    </row>
    <row r="68" spans="1:14">
      <c r="A68" s="242" t="s">
        <v>577</v>
      </c>
      <c r="B68" s="387">
        <v>0</v>
      </c>
      <c r="C68" s="387">
        <v>3421</v>
      </c>
      <c r="D68" s="387">
        <v>0</v>
      </c>
      <c r="E68" s="387">
        <v>855</v>
      </c>
      <c r="F68" s="387">
        <v>0</v>
      </c>
      <c r="G68" s="387">
        <v>2565</v>
      </c>
      <c r="H68" s="702">
        <f t="shared" ref="H68:I75" si="35">+B68/B$76</f>
        <v>0</v>
      </c>
      <c r="I68" s="702">
        <f t="shared" si="35"/>
        <v>0.26096574872225187</v>
      </c>
      <c r="K68" s="385">
        <f t="shared" ref="K68:K75" si="36">+$D$62*H68</f>
        <v>0</v>
      </c>
      <c r="L68" s="385">
        <f t="shared" ref="L68:L75" si="37">+$E$62*I68</f>
        <v>1853.1612759681643</v>
      </c>
    </row>
    <row r="69" spans="1:14">
      <c r="A69" s="242" t="s">
        <v>575</v>
      </c>
      <c r="B69" s="387">
        <v>689</v>
      </c>
      <c r="C69" s="387">
        <v>769</v>
      </c>
      <c r="D69" s="387">
        <v>172</v>
      </c>
      <c r="E69" s="387">
        <v>192</v>
      </c>
      <c r="F69" s="387">
        <v>517</v>
      </c>
      <c r="G69" s="387">
        <v>577</v>
      </c>
      <c r="H69" s="702">
        <f t="shared" si="35"/>
        <v>4.8378036792585309E-2</v>
      </c>
      <c r="I69" s="702">
        <f t="shared" si="35"/>
        <v>5.8661987947211842E-2</v>
      </c>
      <c r="K69" s="385">
        <f t="shared" si="36"/>
        <v>373.34137293451289</v>
      </c>
      <c r="L69" s="385">
        <f t="shared" si="37"/>
        <v>416.56855341114249</v>
      </c>
    </row>
    <row r="70" spans="1:14">
      <c r="A70" s="242" t="s">
        <v>572</v>
      </c>
      <c r="B70" s="387">
        <v>-1113</v>
      </c>
      <c r="C70" s="387">
        <v>-892</v>
      </c>
      <c r="D70" s="387">
        <v>-278</v>
      </c>
      <c r="E70" s="387">
        <v>-223</v>
      </c>
      <c r="F70" s="387">
        <v>-835</v>
      </c>
      <c r="G70" s="387">
        <v>-669</v>
      </c>
      <c r="H70" s="702">
        <f t="shared" si="35"/>
        <v>-7.8149136357253193E-2</v>
      </c>
      <c r="I70" s="702">
        <f t="shared" si="35"/>
        <v>-6.8044854679990843E-2</v>
      </c>
      <c r="K70" s="385">
        <f t="shared" si="36"/>
        <v>-603.08991012498234</v>
      </c>
      <c r="L70" s="385">
        <f t="shared" si="37"/>
        <v>-483.19785389172836</v>
      </c>
    </row>
    <row r="71" spans="1:14">
      <c r="A71" s="242" t="s">
        <v>580</v>
      </c>
      <c r="F71" s="387">
        <v>2496</v>
      </c>
      <c r="G71" s="387">
        <v>1947</v>
      </c>
      <c r="H71" s="702">
        <f t="shared" si="35"/>
        <v>0</v>
      </c>
      <c r="I71" s="702">
        <f t="shared" si="35"/>
        <v>0</v>
      </c>
      <c r="K71" s="385">
        <f t="shared" si="36"/>
        <v>0</v>
      </c>
      <c r="L71" s="385">
        <f t="shared" si="37"/>
        <v>0</v>
      </c>
    </row>
    <row r="72" spans="1:14">
      <c r="A72" s="242" t="s">
        <v>522</v>
      </c>
      <c r="B72" s="387">
        <v>368</v>
      </c>
      <c r="C72" s="387"/>
      <c r="D72" s="387">
        <v>92</v>
      </c>
      <c r="E72" s="387">
        <v>0</v>
      </c>
      <c r="F72" s="387">
        <v>276</v>
      </c>
      <c r="G72" s="387">
        <v>0</v>
      </c>
      <c r="H72" s="702">
        <f t="shared" si="35"/>
        <v>2.5839067546692879E-2</v>
      </c>
      <c r="I72" s="702">
        <f t="shared" si="35"/>
        <v>0</v>
      </c>
      <c r="K72" s="385">
        <f t="shared" si="36"/>
        <v>199.40439076908672</v>
      </c>
      <c r="L72" s="385">
        <f t="shared" si="37"/>
        <v>0</v>
      </c>
    </row>
    <row r="73" spans="1:14">
      <c r="A73" s="242" t="s">
        <v>523</v>
      </c>
      <c r="B73" s="387">
        <v>3401</v>
      </c>
      <c r="C73" s="387">
        <v>1476</v>
      </c>
      <c r="D73" s="387">
        <v>850</v>
      </c>
      <c r="E73" s="387">
        <v>369</v>
      </c>
      <c r="F73" s="387">
        <v>2551</v>
      </c>
      <c r="G73" s="387">
        <v>1107</v>
      </c>
      <c r="H73" s="702">
        <f t="shared" si="35"/>
        <v>0.23880073023451762</v>
      </c>
      <c r="I73" s="702">
        <f t="shared" si="35"/>
        <v>0.11259440079334808</v>
      </c>
      <c r="K73" s="385">
        <f t="shared" si="36"/>
        <v>1842.865035341478</v>
      </c>
      <c r="L73" s="385">
        <f t="shared" si="37"/>
        <v>799.55160576703031</v>
      </c>
    </row>
    <row r="74" spans="1:14">
      <c r="A74" s="242" t="s">
        <v>524</v>
      </c>
      <c r="B74" s="387">
        <v>510</v>
      </c>
      <c r="C74" s="387">
        <v>0</v>
      </c>
      <c r="D74" s="387">
        <v>127</v>
      </c>
      <c r="E74" s="387">
        <v>0</v>
      </c>
      <c r="F74" s="387">
        <v>382</v>
      </c>
      <c r="G74" s="387">
        <v>0</v>
      </c>
      <c r="H74" s="702">
        <f t="shared" si="35"/>
        <v>3.5809577306558066E-2</v>
      </c>
      <c r="I74" s="702">
        <f t="shared" si="35"/>
        <v>0</v>
      </c>
      <c r="K74" s="385">
        <f t="shared" si="36"/>
        <v>276.34847633759301</v>
      </c>
      <c r="L74" s="385">
        <f t="shared" si="37"/>
        <v>0</v>
      </c>
    </row>
    <row r="75" spans="1:14" ht="14.25">
      <c r="A75" s="242" t="s">
        <v>525</v>
      </c>
      <c r="B75" s="960">
        <v>3214</v>
      </c>
      <c r="C75" s="960">
        <v>1748</v>
      </c>
      <c r="D75" s="960">
        <v>803</v>
      </c>
      <c r="E75" s="960">
        <v>437</v>
      </c>
      <c r="F75" s="960">
        <v>2410</v>
      </c>
      <c r="G75" s="960">
        <v>1311</v>
      </c>
      <c r="H75" s="702">
        <f t="shared" si="35"/>
        <v>0.22567055188877966</v>
      </c>
      <c r="I75" s="702">
        <f t="shared" si="35"/>
        <v>0.13334350446258295</v>
      </c>
      <c r="K75" s="385">
        <f t="shared" si="36"/>
        <v>1741.5372606843607</v>
      </c>
      <c r="L75" s="385">
        <f t="shared" si="37"/>
        <v>946.89444910621194</v>
      </c>
      <c r="N75" s="385"/>
    </row>
    <row r="76" spans="1:14">
      <c r="B76" s="387">
        <f t="shared" ref="B76:G76" si="38">SUM(B67:B75)</f>
        <v>14242</v>
      </c>
      <c r="C76" s="387">
        <f t="shared" si="38"/>
        <v>13109</v>
      </c>
      <c r="D76" s="387">
        <f t="shared" si="38"/>
        <v>3559</v>
      </c>
      <c r="E76" s="387">
        <f t="shared" si="38"/>
        <v>3277</v>
      </c>
      <c r="F76" s="387">
        <f t="shared" si="38"/>
        <v>13177</v>
      </c>
      <c r="G76" s="387">
        <f t="shared" si="38"/>
        <v>11779</v>
      </c>
      <c r="K76" s="385">
        <f>SUM(K67:K75)</f>
        <v>7717.1666666666642</v>
      </c>
      <c r="L76" s="385">
        <f>SUM(L67:L75)</f>
        <v>7101.166666666667</v>
      </c>
    </row>
    <row r="78" spans="1:14">
      <c r="F78" s="425"/>
    </row>
    <row r="79" spans="1:14">
      <c r="F79" s="425"/>
    </row>
    <row r="81" spans="1:18">
      <c r="C81" s="242" t="s">
        <v>73</v>
      </c>
      <c r="D81" s="242" t="s">
        <v>251</v>
      </c>
      <c r="E81" s="242" t="s">
        <v>7</v>
      </c>
    </row>
    <row r="82" spans="1:18">
      <c r="A82" s="242" t="s">
        <v>1146</v>
      </c>
      <c r="B82" s="288" t="s">
        <v>1147</v>
      </c>
    </row>
    <row r="83" spans="1:18">
      <c r="A83" s="242" t="s">
        <v>1148</v>
      </c>
      <c r="B83" s="288" t="s">
        <v>1149</v>
      </c>
    </row>
    <row r="84" spans="1:18">
      <c r="A84" s="242" t="s">
        <v>1150</v>
      </c>
      <c r="B84" s="288"/>
      <c r="C84" s="387">
        <f>+D76+E76</f>
        <v>6836</v>
      </c>
      <c r="D84" s="387">
        <f>+D76</f>
        <v>3559</v>
      </c>
      <c r="E84" s="387">
        <f>+E76</f>
        <v>3277</v>
      </c>
    </row>
    <row r="85" spans="1:18">
      <c r="A85" s="242" t="s">
        <v>1183</v>
      </c>
      <c r="B85" s="288"/>
      <c r="C85" s="387">
        <f>+C84/12</f>
        <v>569.66666666666663</v>
      </c>
      <c r="D85" s="387">
        <f>+D84/12</f>
        <v>296.58333333333331</v>
      </c>
      <c r="E85" s="387">
        <f>+E84/12</f>
        <v>273.08333333333331</v>
      </c>
    </row>
    <row r="86" spans="1:18">
      <c r="A86" s="242" t="s">
        <v>1152</v>
      </c>
      <c r="B86" s="288"/>
      <c r="C86" s="425">
        <f>+B76+C76</f>
        <v>27351</v>
      </c>
      <c r="D86" s="425">
        <f>+B76</f>
        <v>14242</v>
      </c>
      <c r="E86" s="425">
        <f>+C76</f>
        <v>13109</v>
      </c>
    </row>
    <row r="87" spans="1:18">
      <c r="A87" s="242" t="s">
        <v>1153</v>
      </c>
      <c r="B87" s="288"/>
      <c r="C87" s="425">
        <f>+C86-(C85*4)</f>
        <v>25072.333333333332</v>
      </c>
      <c r="D87" s="425">
        <f>+D86-(D85*4)</f>
        <v>13055.666666666666</v>
      </c>
      <c r="E87" s="425">
        <f>+E86-(E85*4)</f>
        <v>12016.666666666666</v>
      </c>
    </row>
    <row r="88" spans="1:18">
      <c r="A88" s="242" t="s">
        <v>1154</v>
      </c>
      <c r="C88" s="425">
        <f>+C87-C84</f>
        <v>18236.333333333332</v>
      </c>
      <c r="D88" s="425">
        <f>+D87-D84</f>
        <v>9496.6666666666661</v>
      </c>
      <c r="E88" s="425">
        <f>+E87-E84</f>
        <v>8739.6666666666661</v>
      </c>
    </row>
    <row r="89" spans="1:18">
      <c r="A89" s="242" t="s">
        <v>1155</v>
      </c>
      <c r="C89" s="425">
        <f>+C88-C84</f>
        <v>11400.333333333332</v>
      </c>
      <c r="D89" s="425">
        <f>+D88-D84</f>
        <v>5937.6666666666661</v>
      </c>
      <c r="E89" s="425">
        <f>+E88-E84</f>
        <v>5462.6666666666661</v>
      </c>
    </row>
    <row r="90" spans="1:18">
      <c r="A90" s="242" t="s">
        <v>1191</v>
      </c>
      <c r="C90" s="425">
        <f>+R92</f>
        <v>14818.333333333332</v>
      </c>
      <c r="D90" s="425">
        <f>+R93</f>
        <v>7717.1666666666661</v>
      </c>
      <c r="E90" s="425">
        <f>+R94</f>
        <v>7101.166666666667</v>
      </c>
      <c r="F90" s="425">
        <f>+C88-(C85*6)</f>
        <v>14818.333333333332</v>
      </c>
    </row>
    <row r="92" spans="1:18">
      <c r="D92" s="242" t="s">
        <v>563</v>
      </c>
      <c r="E92" s="425">
        <f>+C88</f>
        <v>18236.333333333332</v>
      </c>
      <c r="F92" s="425">
        <f>+E92-$C85</f>
        <v>17666.666666666664</v>
      </c>
      <c r="G92" s="425">
        <f t="shared" ref="G92:Q92" si="39">+F92-$C85</f>
        <v>17096.999999999996</v>
      </c>
      <c r="H92" s="425">
        <f t="shared" si="39"/>
        <v>16527.333333333328</v>
      </c>
      <c r="I92" s="425">
        <f t="shared" si="39"/>
        <v>15957.666666666662</v>
      </c>
      <c r="J92" s="425">
        <f t="shared" si="39"/>
        <v>15387.999999999996</v>
      </c>
      <c r="K92" s="425">
        <f t="shared" si="39"/>
        <v>14818.33333333333</v>
      </c>
      <c r="L92" s="425">
        <f t="shared" si="39"/>
        <v>14248.666666666664</v>
      </c>
      <c r="M92" s="425">
        <f t="shared" si="39"/>
        <v>13678.999999999998</v>
      </c>
      <c r="N92" s="425">
        <f t="shared" si="39"/>
        <v>13109.333333333332</v>
      </c>
      <c r="O92" s="425">
        <f t="shared" si="39"/>
        <v>12539.666666666666</v>
      </c>
      <c r="P92" s="425">
        <f t="shared" si="39"/>
        <v>11970</v>
      </c>
      <c r="Q92" s="425">
        <f t="shared" si="39"/>
        <v>11400.333333333334</v>
      </c>
      <c r="R92" s="425">
        <f>SUM(E92:Q92)/13</f>
        <v>14818.333333333332</v>
      </c>
    </row>
    <row r="93" spans="1:18">
      <c r="D93" s="242" t="s">
        <v>54</v>
      </c>
      <c r="E93" s="425">
        <f>+D88</f>
        <v>9496.6666666666661</v>
      </c>
      <c r="F93" s="425">
        <f>+E93-$D85</f>
        <v>9200.0833333333321</v>
      </c>
      <c r="G93" s="425">
        <f t="shared" ref="G93:Q93" si="40">+F93-$D85</f>
        <v>8903.4999999999982</v>
      </c>
      <c r="H93" s="425">
        <f t="shared" si="40"/>
        <v>8606.9166666666642</v>
      </c>
      <c r="I93" s="425">
        <f t="shared" si="40"/>
        <v>8310.3333333333303</v>
      </c>
      <c r="J93" s="425">
        <f t="shared" si="40"/>
        <v>8013.7499999999973</v>
      </c>
      <c r="K93" s="425">
        <f t="shared" si="40"/>
        <v>7717.1666666666642</v>
      </c>
      <c r="L93" s="425">
        <f t="shared" si="40"/>
        <v>7420.5833333333312</v>
      </c>
      <c r="M93" s="425">
        <f t="shared" si="40"/>
        <v>7123.9999999999982</v>
      </c>
      <c r="N93" s="425">
        <f t="shared" si="40"/>
        <v>6827.4166666666652</v>
      </c>
      <c r="O93" s="425">
        <f t="shared" si="40"/>
        <v>6530.8333333333321</v>
      </c>
      <c r="P93" s="425">
        <f t="shared" si="40"/>
        <v>6234.2499999999991</v>
      </c>
      <c r="Q93" s="425">
        <f t="shared" si="40"/>
        <v>5937.6666666666661</v>
      </c>
      <c r="R93" s="425">
        <f>SUM(E93:Q93)/13</f>
        <v>7717.1666666666661</v>
      </c>
    </row>
    <row r="94" spans="1:18">
      <c r="D94" s="242" t="s">
        <v>816</v>
      </c>
      <c r="E94" s="425">
        <f>+E88</f>
        <v>8739.6666666666661</v>
      </c>
      <c r="F94" s="425">
        <f>+E94-$E85</f>
        <v>8466.5833333333321</v>
      </c>
      <c r="G94" s="425">
        <f t="shared" ref="G94:Q94" si="41">+F94-$E85</f>
        <v>8193.4999999999982</v>
      </c>
      <c r="H94" s="425">
        <f t="shared" si="41"/>
        <v>7920.4166666666652</v>
      </c>
      <c r="I94" s="425">
        <f t="shared" si="41"/>
        <v>7647.3333333333321</v>
      </c>
      <c r="J94" s="425">
        <f t="shared" si="41"/>
        <v>7374.2499999999991</v>
      </c>
      <c r="K94" s="425">
        <f t="shared" si="41"/>
        <v>7101.1666666666661</v>
      </c>
      <c r="L94" s="425">
        <f t="shared" si="41"/>
        <v>6828.083333333333</v>
      </c>
      <c r="M94" s="425">
        <f t="shared" si="41"/>
        <v>6555</v>
      </c>
      <c r="N94" s="425">
        <f t="shared" si="41"/>
        <v>6281.916666666667</v>
      </c>
      <c r="O94" s="425">
        <f t="shared" si="41"/>
        <v>6008.8333333333339</v>
      </c>
      <c r="P94" s="425">
        <f t="shared" si="41"/>
        <v>5735.7500000000009</v>
      </c>
      <c r="Q94" s="425">
        <f t="shared" si="41"/>
        <v>5462.6666666666679</v>
      </c>
      <c r="R94" s="425">
        <f>SUM(E94:Q94)/13</f>
        <v>7101.166666666667</v>
      </c>
    </row>
  </sheetData>
  <mergeCells count="7">
    <mergeCell ref="B14:D14"/>
    <mergeCell ref="J41:L41"/>
    <mergeCell ref="M41:O41"/>
    <mergeCell ref="B65:C65"/>
    <mergeCell ref="D65:E65"/>
    <mergeCell ref="F65:G65"/>
    <mergeCell ref="K65:L6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P336"/>
  <sheetViews>
    <sheetView workbookViewId="0"/>
  </sheetViews>
  <sheetFormatPr defaultColWidth="10.7109375" defaultRowHeight="12.75"/>
  <cols>
    <col min="1" max="1" width="6.42578125" style="907" customWidth="1"/>
    <col min="2" max="2" width="39.28515625" style="907" customWidth="1"/>
    <col min="3" max="3" width="1.42578125" style="907" customWidth="1"/>
    <col min="4" max="18" width="12.28515625" style="907" customWidth="1"/>
    <col min="19" max="24" width="10.7109375" style="907"/>
    <col min="25" max="250" width="10.7109375" style="1"/>
    <col min="251" max="16384" width="10.7109375" style="907"/>
  </cols>
  <sheetData>
    <row r="1" spans="1:250" ht="12">
      <c r="A1" s="905" t="s">
        <v>113</v>
      </c>
      <c r="B1" s="905"/>
      <c r="C1" s="905"/>
      <c r="D1" s="906"/>
      <c r="E1" s="906"/>
      <c r="F1" s="906"/>
      <c r="G1" s="906"/>
      <c r="H1" s="906"/>
      <c r="I1" s="906"/>
      <c r="J1" s="906"/>
      <c r="K1" s="906"/>
      <c r="L1" s="906"/>
      <c r="P1" s="906"/>
      <c r="Q1" s="906"/>
      <c r="R1" s="908" t="s">
        <v>84</v>
      </c>
      <c r="Y1" s="907"/>
      <c r="Z1" s="907"/>
      <c r="AA1" s="907"/>
      <c r="AB1" s="907"/>
      <c r="AC1" s="907"/>
      <c r="AD1" s="907"/>
      <c r="AE1" s="907"/>
      <c r="AF1" s="907"/>
      <c r="AG1" s="907"/>
      <c r="AH1" s="907"/>
      <c r="AI1" s="907"/>
      <c r="AJ1" s="907"/>
      <c r="AK1" s="907"/>
      <c r="AL1" s="907"/>
      <c r="AM1" s="907"/>
      <c r="AN1" s="907"/>
      <c r="AO1" s="907"/>
      <c r="AP1" s="907"/>
      <c r="AQ1" s="907"/>
      <c r="AR1" s="907"/>
      <c r="AS1" s="907"/>
      <c r="AT1" s="907"/>
      <c r="AU1" s="907"/>
      <c r="AV1" s="907"/>
      <c r="AW1" s="907"/>
      <c r="AX1" s="907"/>
      <c r="AY1" s="907"/>
      <c r="AZ1" s="907"/>
      <c r="BA1" s="907"/>
      <c r="BB1" s="907"/>
      <c r="BC1" s="907"/>
      <c r="BD1" s="907"/>
      <c r="BE1" s="907"/>
      <c r="BF1" s="907"/>
      <c r="BG1" s="907"/>
      <c r="BH1" s="907"/>
      <c r="BI1" s="907"/>
      <c r="BJ1" s="907"/>
      <c r="BK1" s="907"/>
      <c r="BL1" s="907"/>
      <c r="BM1" s="907"/>
      <c r="BN1" s="907"/>
      <c r="BO1" s="907"/>
      <c r="BP1" s="907"/>
      <c r="BQ1" s="907"/>
      <c r="BR1" s="907"/>
      <c r="BS1" s="907"/>
      <c r="BT1" s="907"/>
      <c r="BU1" s="907"/>
      <c r="BV1" s="907"/>
      <c r="BW1" s="907"/>
      <c r="BX1" s="907"/>
      <c r="BY1" s="907"/>
      <c r="BZ1" s="907"/>
      <c r="CA1" s="907"/>
      <c r="CB1" s="907"/>
      <c r="CC1" s="907"/>
      <c r="CD1" s="907"/>
      <c r="CE1" s="907"/>
      <c r="CF1" s="907"/>
      <c r="CG1" s="907"/>
      <c r="CH1" s="907"/>
      <c r="CI1" s="907"/>
      <c r="CJ1" s="907"/>
      <c r="CK1" s="907"/>
      <c r="CL1" s="907"/>
      <c r="CM1" s="907"/>
      <c r="CN1" s="907"/>
      <c r="CO1" s="907"/>
      <c r="CP1" s="907"/>
      <c r="CQ1" s="907"/>
      <c r="CR1" s="907"/>
      <c r="CS1" s="907"/>
      <c r="CT1" s="907"/>
      <c r="CU1" s="907"/>
      <c r="CV1" s="907"/>
      <c r="CW1" s="907"/>
      <c r="CX1" s="907"/>
      <c r="CY1" s="907"/>
      <c r="CZ1" s="907"/>
      <c r="DA1" s="907"/>
      <c r="DB1" s="907"/>
      <c r="DC1" s="907"/>
      <c r="DD1" s="907"/>
      <c r="DE1" s="907"/>
      <c r="DF1" s="907"/>
      <c r="DG1" s="907"/>
      <c r="DH1" s="907"/>
      <c r="DI1" s="907"/>
      <c r="DJ1" s="907"/>
      <c r="DK1" s="907"/>
      <c r="DL1" s="907"/>
      <c r="DM1" s="907"/>
      <c r="DN1" s="907"/>
      <c r="DO1" s="907"/>
      <c r="DP1" s="907"/>
      <c r="DQ1" s="907"/>
      <c r="DR1" s="907"/>
      <c r="DS1" s="907"/>
      <c r="DT1" s="907"/>
      <c r="DU1" s="907"/>
      <c r="DV1" s="907"/>
      <c r="DW1" s="907"/>
      <c r="DX1" s="907"/>
      <c r="DY1" s="907"/>
      <c r="DZ1" s="907"/>
      <c r="EA1" s="907"/>
      <c r="EB1" s="907"/>
      <c r="EC1" s="907"/>
      <c r="ED1" s="907"/>
      <c r="EE1" s="907"/>
      <c r="EF1" s="907"/>
      <c r="EG1" s="907"/>
      <c r="EH1" s="907"/>
      <c r="EI1" s="907"/>
      <c r="EJ1" s="907"/>
      <c r="EK1" s="907"/>
      <c r="EL1" s="907"/>
      <c r="EM1" s="907"/>
      <c r="EN1" s="907"/>
      <c r="EO1" s="907"/>
      <c r="EP1" s="907"/>
      <c r="EQ1" s="907"/>
      <c r="ER1" s="907"/>
      <c r="ES1" s="907"/>
      <c r="ET1" s="907"/>
      <c r="EU1" s="907"/>
      <c r="EV1" s="907"/>
      <c r="EW1" s="907"/>
      <c r="EX1" s="907"/>
      <c r="EY1" s="907"/>
      <c r="EZ1" s="907"/>
      <c r="FA1" s="907"/>
      <c r="FB1" s="907"/>
      <c r="FC1" s="907"/>
      <c r="FD1" s="907"/>
      <c r="FE1" s="907"/>
      <c r="FF1" s="907"/>
      <c r="FG1" s="907"/>
      <c r="FH1" s="907"/>
      <c r="FI1" s="907"/>
      <c r="FJ1" s="907"/>
      <c r="FK1" s="907"/>
      <c r="FL1" s="907"/>
      <c r="FM1" s="907"/>
      <c r="FN1" s="907"/>
      <c r="FO1" s="907"/>
      <c r="FP1" s="907"/>
      <c r="FQ1" s="907"/>
      <c r="FR1" s="907"/>
      <c r="FS1" s="907"/>
      <c r="FT1" s="907"/>
      <c r="FU1" s="907"/>
      <c r="FV1" s="907"/>
      <c r="FW1" s="907"/>
      <c r="FX1" s="907"/>
      <c r="FY1" s="907"/>
      <c r="FZ1" s="907"/>
      <c r="GA1" s="907"/>
      <c r="GB1" s="907"/>
      <c r="GC1" s="907"/>
      <c r="GD1" s="907"/>
      <c r="GE1" s="907"/>
      <c r="GF1" s="907"/>
      <c r="GG1" s="907"/>
      <c r="GH1" s="907"/>
      <c r="GI1" s="907"/>
      <c r="GJ1" s="907"/>
      <c r="GK1" s="907"/>
      <c r="GL1" s="907"/>
      <c r="GM1" s="907"/>
      <c r="GN1" s="907"/>
      <c r="GO1" s="907"/>
      <c r="GP1" s="907"/>
      <c r="GQ1" s="907"/>
      <c r="GR1" s="907"/>
      <c r="GS1" s="907"/>
      <c r="GT1" s="907"/>
      <c r="GU1" s="907"/>
      <c r="GV1" s="907"/>
      <c r="GW1" s="907"/>
      <c r="GX1" s="907"/>
      <c r="GY1" s="907"/>
      <c r="GZ1" s="907"/>
      <c r="HA1" s="907"/>
      <c r="HB1" s="907"/>
      <c r="HC1" s="907"/>
      <c r="HD1" s="907"/>
      <c r="HE1" s="907"/>
      <c r="HF1" s="907"/>
      <c r="HG1" s="907"/>
      <c r="HH1" s="907"/>
      <c r="HI1" s="907"/>
      <c r="HJ1" s="907"/>
      <c r="HK1" s="907"/>
      <c r="HL1" s="907"/>
      <c r="HM1" s="907"/>
      <c r="HN1" s="907"/>
      <c r="HO1" s="907"/>
      <c r="HP1" s="907"/>
      <c r="HQ1" s="907"/>
      <c r="HR1" s="907"/>
      <c r="HS1" s="907"/>
      <c r="HT1" s="907"/>
      <c r="HU1" s="907"/>
      <c r="HV1" s="907"/>
      <c r="HW1" s="907"/>
      <c r="HX1" s="907"/>
      <c r="HY1" s="907"/>
      <c r="HZ1" s="907"/>
      <c r="IA1" s="907"/>
      <c r="IB1" s="907"/>
      <c r="IC1" s="907"/>
      <c r="ID1" s="907"/>
      <c r="IE1" s="907"/>
      <c r="IF1" s="907"/>
      <c r="IG1" s="907"/>
      <c r="IH1" s="907"/>
      <c r="II1" s="907"/>
      <c r="IJ1" s="907"/>
      <c r="IK1" s="907"/>
      <c r="IL1" s="907"/>
      <c r="IM1" s="907"/>
      <c r="IN1" s="907"/>
      <c r="IO1" s="907"/>
      <c r="IP1" s="907"/>
    </row>
    <row r="2" spans="1:250" ht="12">
      <c r="A2" s="905" t="s">
        <v>114</v>
      </c>
      <c r="B2" s="905"/>
      <c r="C2" s="905"/>
      <c r="D2" s="906"/>
      <c r="E2" s="906"/>
      <c r="F2" s="909"/>
      <c r="G2" s="906"/>
      <c r="H2" s="906"/>
      <c r="I2" s="906"/>
      <c r="J2" s="906"/>
      <c r="K2" s="906"/>
      <c r="L2" s="906"/>
      <c r="O2" s="906"/>
      <c r="P2" s="906"/>
      <c r="Q2" s="906"/>
      <c r="R2" s="910"/>
      <c r="Y2" s="907"/>
      <c r="Z2" s="907"/>
      <c r="AA2" s="907"/>
      <c r="AB2" s="907"/>
      <c r="AC2" s="907"/>
      <c r="AD2" s="907"/>
      <c r="AE2" s="907"/>
      <c r="AF2" s="907"/>
      <c r="AG2" s="907"/>
      <c r="AH2" s="907"/>
      <c r="AI2" s="907"/>
      <c r="AJ2" s="907"/>
      <c r="AK2" s="907"/>
      <c r="AL2" s="907"/>
      <c r="AM2" s="907"/>
      <c r="AN2" s="907"/>
      <c r="AO2" s="907"/>
      <c r="AP2" s="907"/>
      <c r="AQ2" s="907"/>
      <c r="AR2" s="907"/>
      <c r="AS2" s="907"/>
      <c r="AT2" s="907"/>
      <c r="AU2" s="907"/>
      <c r="AV2" s="907"/>
      <c r="AW2" s="907"/>
      <c r="AX2" s="907"/>
      <c r="AY2" s="907"/>
      <c r="AZ2" s="907"/>
      <c r="BA2" s="907"/>
      <c r="BB2" s="907"/>
      <c r="BC2" s="907"/>
      <c r="BD2" s="907"/>
      <c r="BE2" s="907"/>
      <c r="BF2" s="907"/>
      <c r="BG2" s="907"/>
      <c r="BH2" s="907"/>
      <c r="BI2" s="907"/>
      <c r="BJ2" s="907"/>
      <c r="BK2" s="907"/>
      <c r="BL2" s="907"/>
      <c r="BM2" s="907"/>
      <c r="BN2" s="907"/>
      <c r="BO2" s="907"/>
      <c r="BP2" s="907"/>
      <c r="BQ2" s="907"/>
      <c r="BR2" s="907"/>
      <c r="BS2" s="907"/>
      <c r="BT2" s="907"/>
      <c r="BU2" s="907"/>
      <c r="BV2" s="907"/>
      <c r="BW2" s="907"/>
      <c r="BX2" s="907"/>
      <c r="BY2" s="907"/>
      <c r="BZ2" s="907"/>
      <c r="CA2" s="907"/>
      <c r="CB2" s="907"/>
      <c r="CC2" s="907"/>
      <c r="CD2" s="907"/>
      <c r="CE2" s="907"/>
      <c r="CF2" s="907"/>
      <c r="CG2" s="907"/>
      <c r="CH2" s="907"/>
      <c r="CI2" s="907"/>
      <c r="CJ2" s="907"/>
      <c r="CK2" s="907"/>
      <c r="CL2" s="907"/>
      <c r="CM2" s="907"/>
      <c r="CN2" s="907"/>
      <c r="CO2" s="907"/>
      <c r="CP2" s="907"/>
      <c r="CQ2" s="907"/>
      <c r="CR2" s="907"/>
      <c r="CS2" s="907"/>
      <c r="CT2" s="907"/>
      <c r="CU2" s="907"/>
      <c r="CV2" s="907"/>
      <c r="CW2" s="907"/>
      <c r="CX2" s="907"/>
      <c r="CY2" s="907"/>
      <c r="CZ2" s="907"/>
      <c r="DA2" s="907"/>
      <c r="DB2" s="907"/>
      <c r="DC2" s="907"/>
      <c r="DD2" s="907"/>
      <c r="DE2" s="907"/>
      <c r="DF2" s="907"/>
      <c r="DG2" s="907"/>
      <c r="DH2" s="907"/>
      <c r="DI2" s="907"/>
      <c r="DJ2" s="907"/>
      <c r="DK2" s="907"/>
      <c r="DL2" s="907"/>
      <c r="DM2" s="907"/>
      <c r="DN2" s="907"/>
      <c r="DO2" s="907"/>
      <c r="DP2" s="907"/>
      <c r="DQ2" s="907"/>
      <c r="DR2" s="907"/>
      <c r="DS2" s="907"/>
      <c r="DT2" s="907"/>
      <c r="DU2" s="907"/>
      <c r="DV2" s="907"/>
      <c r="DW2" s="907"/>
      <c r="DX2" s="907"/>
      <c r="DY2" s="907"/>
      <c r="DZ2" s="907"/>
      <c r="EA2" s="907"/>
      <c r="EB2" s="907"/>
      <c r="EC2" s="907"/>
      <c r="ED2" s="907"/>
      <c r="EE2" s="907"/>
      <c r="EF2" s="907"/>
      <c r="EG2" s="907"/>
      <c r="EH2" s="907"/>
      <c r="EI2" s="907"/>
      <c r="EJ2" s="907"/>
      <c r="EK2" s="907"/>
      <c r="EL2" s="907"/>
      <c r="EM2" s="907"/>
      <c r="EN2" s="907"/>
      <c r="EO2" s="907"/>
      <c r="EP2" s="907"/>
      <c r="EQ2" s="907"/>
      <c r="ER2" s="907"/>
      <c r="ES2" s="907"/>
      <c r="ET2" s="907"/>
      <c r="EU2" s="907"/>
      <c r="EV2" s="907"/>
      <c r="EW2" s="907"/>
      <c r="EX2" s="907"/>
      <c r="EY2" s="907"/>
      <c r="EZ2" s="907"/>
      <c r="FA2" s="907"/>
      <c r="FB2" s="907"/>
      <c r="FC2" s="907"/>
      <c r="FD2" s="907"/>
      <c r="FE2" s="907"/>
      <c r="FF2" s="907"/>
      <c r="FG2" s="907"/>
      <c r="FH2" s="907"/>
      <c r="FI2" s="907"/>
      <c r="FJ2" s="907"/>
      <c r="FK2" s="907"/>
      <c r="FL2" s="907"/>
      <c r="FM2" s="907"/>
      <c r="FN2" s="907"/>
      <c r="FO2" s="907"/>
      <c r="FP2" s="907"/>
      <c r="FQ2" s="907"/>
      <c r="FR2" s="907"/>
      <c r="FS2" s="907"/>
      <c r="FT2" s="907"/>
      <c r="FU2" s="907"/>
      <c r="FV2" s="907"/>
      <c r="FW2" s="907"/>
      <c r="FX2" s="907"/>
      <c r="FY2" s="907"/>
      <c r="FZ2" s="907"/>
      <c r="GA2" s="907"/>
      <c r="GB2" s="907"/>
      <c r="GC2" s="907"/>
      <c r="GD2" s="907"/>
      <c r="GE2" s="907"/>
      <c r="GF2" s="907"/>
      <c r="GG2" s="907"/>
      <c r="GH2" s="907"/>
      <c r="GI2" s="907"/>
      <c r="GJ2" s="907"/>
      <c r="GK2" s="907"/>
      <c r="GL2" s="907"/>
      <c r="GM2" s="907"/>
      <c r="GN2" s="907"/>
      <c r="GO2" s="907"/>
      <c r="GP2" s="907"/>
      <c r="GQ2" s="907"/>
      <c r="GR2" s="907"/>
      <c r="GS2" s="907"/>
      <c r="GT2" s="907"/>
      <c r="GU2" s="907"/>
      <c r="GV2" s="907"/>
      <c r="GW2" s="907"/>
      <c r="GX2" s="907"/>
      <c r="GY2" s="907"/>
      <c r="GZ2" s="907"/>
      <c r="HA2" s="907"/>
      <c r="HB2" s="907"/>
      <c r="HC2" s="907"/>
      <c r="HD2" s="907"/>
      <c r="HE2" s="907"/>
      <c r="HF2" s="907"/>
      <c r="HG2" s="907"/>
      <c r="HH2" s="907"/>
      <c r="HI2" s="907"/>
      <c r="HJ2" s="907"/>
      <c r="HK2" s="907"/>
      <c r="HL2" s="907"/>
      <c r="HM2" s="907"/>
      <c r="HN2" s="907"/>
      <c r="HO2" s="907"/>
      <c r="HP2" s="907"/>
      <c r="HQ2" s="907"/>
      <c r="HR2" s="907"/>
      <c r="HS2" s="907"/>
      <c r="HT2" s="907"/>
      <c r="HU2" s="907"/>
      <c r="HV2" s="907"/>
      <c r="HW2" s="907"/>
      <c r="HX2" s="907"/>
      <c r="HY2" s="907"/>
      <c r="HZ2" s="907"/>
      <c r="IA2" s="907"/>
      <c r="IB2" s="907"/>
      <c r="IC2" s="907"/>
      <c r="ID2" s="907"/>
      <c r="IE2" s="907"/>
      <c r="IF2" s="907"/>
      <c r="IG2" s="907"/>
      <c r="IH2" s="907"/>
      <c r="II2" s="907"/>
      <c r="IJ2" s="907"/>
      <c r="IK2" s="907"/>
      <c r="IL2" s="907"/>
      <c r="IM2" s="907"/>
      <c r="IN2" s="907"/>
      <c r="IO2" s="907"/>
      <c r="IP2" s="907"/>
    </row>
    <row r="3" spans="1:250" ht="12">
      <c r="A3" s="905"/>
      <c r="B3" s="905"/>
      <c r="C3" s="905"/>
      <c r="D3" s="906"/>
      <c r="E3" s="906"/>
      <c r="F3" s="906"/>
      <c r="G3" s="906"/>
      <c r="H3" s="906"/>
      <c r="I3" s="906"/>
      <c r="J3" s="906"/>
      <c r="K3" s="906"/>
      <c r="L3" s="906"/>
      <c r="O3" s="905"/>
      <c r="R3" s="911" t="s">
        <v>138</v>
      </c>
      <c r="Y3" s="907"/>
      <c r="Z3" s="907"/>
      <c r="AA3" s="907"/>
      <c r="AB3" s="907"/>
      <c r="AC3" s="907"/>
      <c r="AD3" s="907"/>
      <c r="AE3" s="907"/>
      <c r="AF3" s="907"/>
      <c r="AG3" s="907"/>
      <c r="AH3" s="907"/>
      <c r="AI3" s="907"/>
      <c r="AJ3" s="907"/>
      <c r="AK3" s="907"/>
      <c r="AL3" s="907"/>
      <c r="AM3" s="907"/>
      <c r="AN3" s="907"/>
      <c r="AO3" s="907"/>
      <c r="AP3" s="907"/>
      <c r="AQ3" s="907"/>
      <c r="AR3" s="907"/>
      <c r="AS3" s="907"/>
      <c r="AT3" s="907"/>
      <c r="AU3" s="907"/>
      <c r="AV3" s="907"/>
      <c r="AW3" s="907"/>
      <c r="AX3" s="907"/>
      <c r="AY3" s="907"/>
      <c r="AZ3" s="907"/>
      <c r="BA3" s="907"/>
      <c r="BB3" s="907"/>
      <c r="BC3" s="907"/>
      <c r="BD3" s="907"/>
      <c r="BE3" s="907"/>
      <c r="BF3" s="907"/>
      <c r="BG3" s="907"/>
      <c r="BH3" s="907"/>
      <c r="BI3" s="907"/>
      <c r="BJ3" s="907"/>
      <c r="BK3" s="907"/>
      <c r="BL3" s="907"/>
      <c r="BM3" s="907"/>
      <c r="BN3" s="907"/>
      <c r="BO3" s="907"/>
      <c r="BP3" s="907"/>
      <c r="BQ3" s="907"/>
      <c r="BR3" s="907"/>
      <c r="BS3" s="907"/>
      <c r="BT3" s="907"/>
      <c r="BU3" s="907"/>
      <c r="BV3" s="907"/>
      <c r="BW3" s="907"/>
      <c r="BX3" s="907"/>
      <c r="BY3" s="907"/>
      <c r="BZ3" s="907"/>
      <c r="CA3" s="907"/>
      <c r="CB3" s="907"/>
      <c r="CC3" s="907"/>
      <c r="CD3" s="907"/>
      <c r="CE3" s="907"/>
      <c r="CF3" s="907"/>
      <c r="CG3" s="907"/>
      <c r="CH3" s="907"/>
      <c r="CI3" s="907"/>
      <c r="CJ3" s="907"/>
      <c r="CK3" s="907"/>
      <c r="CL3" s="907"/>
      <c r="CM3" s="907"/>
      <c r="CN3" s="907"/>
      <c r="CO3" s="907"/>
      <c r="CP3" s="907"/>
      <c r="CQ3" s="907"/>
      <c r="CR3" s="907"/>
      <c r="CS3" s="907"/>
      <c r="CT3" s="907"/>
      <c r="CU3" s="907"/>
      <c r="CV3" s="907"/>
      <c r="CW3" s="907"/>
      <c r="CX3" s="907"/>
      <c r="CY3" s="907"/>
      <c r="CZ3" s="907"/>
      <c r="DA3" s="907"/>
      <c r="DB3" s="907"/>
      <c r="DC3" s="907"/>
      <c r="DD3" s="907"/>
      <c r="DE3" s="907"/>
      <c r="DF3" s="907"/>
      <c r="DG3" s="907"/>
      <c r="DH3" s="907"/>
      <c r="DI3" s="907"/>
      <c r="DJ3" s="907"/>
      <c r="DK3" s="907"/>
      <c r="DL3" s="907"/>
      <c r="DM3" s="907"/>
      <c r="DN3" s="907"/>
      <c r="DO3" s="907"/>
      <c r="DP3" s="907"/>
      <c r="DQ3" s="907"/>
      <c r="DR3" s="907"/>
      <c r="DS3" s="907"/>
      <c r="DT3" s="907"/>
      <c r="DU3" s="907"/>
      <c r="DV3" s="907"/>
      <c r="DW3" s="907"/>
      <c r="DX3" s="907"/>
      <c r="DY3" s="907"/>
      <c r="DZ3" s="907"/>
      <c r="EA3" s="907"/>
      <c r="EB3" s="907"/>
      <c r="EC3" s="907"/>
      <c r="ED3" s="907"/>
      <c r="EE3" s="907"/>
      <c r="EF3" s="907"/>
      <c r="EG3" s="907"/>
      <c r="EH3" s="907"/>
      <c r="EI3" s="907"/>
      <c r="EJ3" s="907"/>
      <c r="EK3" s="907"/>
      <c r="EL3" s="907"/>
      <c r="EM3" s="907"/>
      <c r="EN3" s="907"/>
      <c r="EO3" s="907"/>
      <c r="EP3" s="907"/>
      <c r="EQ3" s="907"/>
      <c r="ER3" s="907"/>
      <c r="ES3" s="907"/>
      <c r="ET3" s="907"/>
      <c r="EU3" s="907"/>
      <c r="EV3" s="907"/>
      <c r="EW3" s="907"/>
      <c r="EX3" s="907"/>
      <c r="EY3" s="907"/>
      <c r="EZ3" s="907"/>
      <c r="FA3" s="907"/>
      <c r="FB3" s="907"/>
      <c r="FC3" s="907"/>
      <c r="FD3" s="907"/>
      <c r="FE3" s="907"/>
      <c r="FF3" s="907"/>
      <c r="FG3" s="907"/>
      <c r="FH3" s="907"/>
      <c r="FI3" s="907"/>
      <c r="FJ3" s="907"/>
      <c r="FK3" s="907"/>
      <c r="FL3" s="907"/>
      <c r="FM3" s="907"/>
      <c r="FN3" s="907"/>
      <c r="FO3" s="907"/>
      <c r="FP3" s="907"/>
      <c r="FQ3" s="907"/>
      <c r="FR3" s="907"/>
      <c r="FS3" s="907"/>
      <c r="FT3" s="907"/>
      <c r="FU3" s="907"/>
      <c r="FV3" s="907"/>
      <c r="FW3" s="907"/>
      <c r="FX3" s="907"/>
      <c r="FY3" s="907"/>
      <c r="FZ3" s="907"/>
      <c r="GA3" s="907"/>
      <c r="GB3" s="907"/>
      <c r="GC3" s="907"/>
      <c r="GD3" s="907"/>
      <c r="GE3" s="907"/>
      <c r="GF3" s="907"/>
      <c r="GG3" s="907"/>
      <c r="GH3" s="907"/>
      <c r="GI3" s="907"/>
      <c r="GJ3" s="907"/>
      <c r="GK3" s="907"/>
      <c r="GL3" s="907"/>
      <c r="GM3" s="907"/>
      <c r="GN3" s="907"/>
      <c r="GO3" s="907"/>
      <c r="GP3" s="907"/>
      <c r="GQ3" s="907"/>
      <c r="GR3" s="907"/>
      <c r="GS3" s="907"/>
      <c r="GT3" s="907"/>
      <c r="GU3" s="907"/>
      <c r="GV3" s="907"/>
      <c r="GW3" s="907"/>
      <c r="GX3" s="907"/>
      <c r="GY3" s="907"/>
      <c r="GZ3" s="907"/>
      <c r="HA3" s="907"/>
      <c r="HB3" s="907"/>
      <c r="HC3" s="907"/>
      <c r="HD3" s="907"/>
      <c r="HE3" s="907"/>
      <c r="HF3" s="907"/>
      <c r="HG3" s="907"/>
      <c r="HH3" s="907"/>
      <c r="HI3" s="907"/>
      <c r="HJ3" s="907"/>
      <c r="HK3" s="907"/>
      <c r="HL3" s="907"/>
      <c r="HM3" s="907"/>
      <c r="HN3" s="907"/>
      <c r="HO3" s="907"/>
      <c r="HP3" s="907"/>
      <c r="HQ3" s="907"/>
      <c r="HR3" s="907"/>
      <c r="HS3" s="907"/>
      <c r="HT3" s="907"/>
      <c r="HU3" s="907"/>
      <c r="HV3" s="907"/>
      <c r="HW3" s="907"/>
      <c r="HX3" s="907"/>
      <c r="HY3" s="907"/>
      <c r="HZ3" s="907"/>
      <c r="IA3" s="907"/>
      <c r="IB3" s="907"/>
      <c r="IC3" s="907"/>
      <c r="ID3" s="907"/>
      <c r="IE3" s="907"/>
      <c r="IF3" s="907"/>
      <c r="IG3" s="907"/>
      <c r="IH3" s="907"/>
      <c r="II3" s="907"/>
      <c r="IJ3" s="907"/>
      <c r="IK3" s="907"/>
      <c r="IL3" s="907"/>
      <c r="IM3" s="907"/>
      <c r="IN3" s="907"/>
      <c r="IO3" s="907"/>
      <c r="IP3" s="907"/>
    </row>
    <row r="4" spans="1:250" ht="12" customHeight="1">
      <c r="A4" s="860" t="s">
        <v>565</v>
      </c>
      <c r="B4" s="860"/>
      <c r="C4" s="861"/>
      <c r="D4" s="866"/>
      <c r="E4" s="866"/>
      <c r="F4" s="1011" t="s">
        <v>99</v>
      </c>
      <c r="G4" s="1011"/>
      <c r="H4" s="1011"/>
      <c r="I4" s="1011"/>
      <c r="J4" s="1011"/>
      <c r="K4" s="1011"/>
      <c r="L4" s="1011"/>
      <c r="M4" s="861"/>
      <c r="N4" s="861"/>
      <c r="O4" s="867"/>
      <c r="P4" s="861"/>
      <c r="Q4" s="861"/>
      <c r="R4" s="865" t="s">
        <v>411</v>
      </c>
      <c r="Y4" s="907"/>
      <c r="Z4" s="907"/>
      <c r="AA4" s="907"/>
      <c r="AB4" s="907"/>
      <c r="AC4" s="907"/>
      <c r="AD4" s="907"/>
      <c r="AE4" s="907"/>
      <c r="AF4" s="907"/>
      <c r="AG4" s="907"/>
      <c r="AH4" s="907"/>
      <c r="AI4" s="907"/>
      <c r="AJ4" s="907"/>
      <c r="AK4" s="907"/>
      <c r="AL4" s="907"/>
      <c r="AM4" s="907"/>
      <c r="AN4" s="907"/>
      <c r="AO4" s="907"/>
      <c r="AP4" s="907"/>
      <c r="AQ4" s="907"/>
      <c r="AR4" s="907"/>
      <c r="AS4" s="907"/>
      <c r="AT4" s="907"/>
      <c r="AU4" s="907"/>
      <c r="AV4" s="907"/>
      <c r="AW4" s="907"/>
      <c r="AX4" s="907"/>
      <c r="AY4" s="907"/>
      <c r="AZ4" s="907"/>
      <c r="BA4" s="907"/>
      <c r="BB4" s="907"/>
      <c r="BC4" s="907"/>
      <c r="BD4" s="907"/>
      <c r="BE4" s="907"/>
      <c r="BF4" s="907"/>
      <c r="BG4" s="907"/>
      <c r="BH4" s="907"/>
      <c r="BI4" s="907"/>
      <c r="BJ4" s="907"/>
      <c r="BK4" s="907"/>
      <c r="BL4" s="907"/>
      <c r="BM4" s="907"/>
      <c r="BN4" s="907"/>
      <c r="BO4" s="907"/>
      <c r="BP4" s="907"/>
      <c r="BQ4" s="907"/>
      <c r="BR4" s="907"/>
      <c r="BS4" s="907"/>
      <c r="BT4" s="907"/>
      <c r="BU4" s="907"/>
      <c r="BV4" s="907"/>
      <c r="BW4" s="907"/>
      <c r="BX4" s="907"/>
      <c r="BY4" s="907"/>
      <c r="BZ4" s="907"/>
      <c r="CA4" s="907"/>
      <c r="CB4" s="907"/>
      <c r="CC4" s="907"/>
      <c r="CD4" s="907"/>
      <c r="CE4" s="907"/>
      <c r="CF4" s="907"/>
      <c r="CG4" s="907"/>
      <c r="CH4" s="907"/>
      <c r="CI4" s="907"/>
      <c r="CJ4" s="907"/>
      <c r="CK4" s="907"/>
      <c r="CL4" s="907"/>
      <c r="CM4" s="907"/>
      <c r="CN4" s="907"/>
      <c r="CO4" s="907"/>
      <c r="CP4" s="907"/>
      <c r="CQ4" s="907"/>
      <c r="CR4" s="907"/>
      <c r="CS4" s="907"/>
      <c r="CT4" s="907"/>
      <c r="CU4" s="907"/>
      <c r="CV4" s="907"/>
      <c r="CW4" s="907"/>
      <c r="CX4" s="907"/>
      <c r="CY4" s="907"/>
      <c r="CZ4" s="907"/>
      <c r="DA4" s="907"/>
      <c r="DB4" s="907"/>
      <c r="DC4" s="907"/>
      <c r="DD4" s="907"/>
      <c r="DE4" s="907"/>
      <c r="DF4" s="907"/>
      <c r="DG4" s="907"/>
      <c r="DH4" s="907"/>
      <c r="DI4" s="907"/>
      <c r="DJ4" s="907"/>
      <c r="DK4" s="907"/>
      <c r="DL4" s="907"/>
      <c r="DM4" s="907"/>
      <c r="DN4" s="907"/>
      <c r="DO4" s="907"/>
      <c r="DP4" s="907"/>
      <c r="DQ4" s="907"/>
      <c r="DR4" s="907"/>
      <c r="DS4" s="907"/>
      <c r="DT4" s="907"/>
      <c r="DU4" s="907"/>
      <c r="DV4" s="907"/>
      <c r="DW4" s="907"/>
      <c r="DX4" s="907"/>
      <c r="DY4" s="907"/>
      <c r="DZ4" s="907"/>
      <c r="EA4" s="907"/>
      <c r="EB4" s="907"/>
      <c r="EC4" s="907"/>
      <c r="ED4" s="907"/>
      <c r="EE4" s="907"/>
      <c r="EF4" s="907"/>
      <c r="EG4" s="907"/>
      <c r="EH4" s="907"/>
      <c r="EI4" s="907"/>
      <c r="EJ4" s="907"/>
      <c r="EK4" s="907"/>
      <c r="EL4" s="907"/>
      <c r="EM4" s="907"/>
      <c r="EN4" s="907"/>
      <c r="EO4" s="907"/>
      <c r="EP4" s="907"/>
      <c r="EQ4" s="907"/>
      <c r="ER4" s="907"/>
      <c r="ES4" s="907"/>
      <c r="ET4" s="907"/>
      <c r="EU4" s="907"/>
      <c r="EV4" s="907"/>
      <c r="EW4" s="907"/>
      <c r="EX4" s="907"/>
      <c r="EY4" s="907"/>
      <c r="EZ4" s="907"/>
      <c r="FA4" s="907"/>
      <c r="FB4" s="907"/>
      <c r="FC4" s="907"/>
      <c r="FD4" s="907"/>
      <c r="FE4" s="907"/>
      <c r="FF4" s="907"/>
      <c r="FG4" s="907"/>
      <c r="FH4" s="907"/>
      <c r="FI4" s="907"/>
      <c r="FJ4" s="907"/>
      <c r="FK4" s="907"/>
      <c r="FL4" s="907"/>
      <c r="FM4" s="907"/>
      <c r="FN4" s="907"/>
      <c r="FO4" s="907"/>
      <c r="FP4" s="907"/>
      <c r="FQ4" s="907"/>
      <c r="FR4" s="907"/>
      <c r="FS4" s="907"/>
      <c r="FT4" s="907"/>
      <c r="FU4" s="907"/>
      <c r="FV4" s="907"/>
      <c r="FW4" s="907"/>
      <c r="FX4" s="907"/>
      <c r="FY4" s="907"/>
      <c r="FZ4" s="907"/>
      <c r="GA4" s="907"/>
      <c r="GB4" s="907"/>
      <c r="GC4" s="907"/>
      <c r="GD4" s="907"/>
      <c r="GE4" s="907"/>
      <c r="GF4" s="907"/>
      <c r="GG4" s="907"/>
      <c r="GH4" s="907"/>
      <c r="GI4" s="907"/>
      <c r="GJ4" s="907"/>
      <c r="GK4" s="907"/>
      <c r="GL4" s="907"/>
      <c r="GM4" s="907"/>
      <c r="GN4" s="907"/>
      <c r="GO4" s="907"/>
      <c r="GP4" s="907"/>
      <c r="GQ4" s="907"/>
      <c r="GR4" s="907"/>
      <c r="GS4" s="907"/>
      <c r="GT4" s="907"/>
      <c r="GU4" s="907"/>
      <c r="GV4" s="907"/>
      <c r="GW4" s="907"/>
      <c r="GX4" s="907"/>
      <c r="GY4" s="907"/>
      <c r="GZ4" s="907"/>
      <c r="HA4" s="907"/>
      <c r="HB4" s="907"/>
      <c r="HC4" s="907"/>
      <c r="HD4" s="907"/>
      <c r="HE4" s="907"/>
      <c r="HF4" s="907"/>
      <c r="HG4" s="907"/>
      <c r="HH4" s="907"/>
      <c r="HI4" s="907"/>
      <c r="HJ4" s="907"/>
      <c r="HK4" s="907"/>
      <c r="HL4" s="907"/>
      <c r="HM4" s="907"/>
      <c r="HN4" s="907"/>
      <c r="HO4" s="907"/>
      <c r="HP4" s="907"/>
      <c r="HQ4" s="907"/>
      <c r="HR4" s="907"/>
      <c r="HS4" s="907"/>
      <c r="HT4" s="907"/>
      <c r="HU4" s="907"/>
      <c r="HV4" s="907"/>
      <c r="HW4" s="907"/>
      <c r="HX4" s="907"/>
      <c r="HY4" s="907"/>
      <c r="HZ4" s="907"/>
      <c r="IA4" s="907"/>
      <c r="IB4" s="907"/>
      <c r="IC4" s="907"/>
      <c r="ID4" s="907"/>
      <c r="IE4" s="907"/>
      <c r="IF4" s="907"/>
      <c r="IG4" s="907"/>
      <c r="IH4" s="907"/>
      <c r="II4" s="907"/>
      <c r="IJ4" s="907"/>
      <c r="IK4" s="907"/>
      <c r="IL4" s="907"/>
      <c r="IM4" s="907"/>
      <c r="IN4" s="907"/>
      <c r="IO4" s="907"/>
      <c r="IP4" s="907"/>
    </row>
    <row r="5" spans="1:250" ht="12">
      <c r="A5" s="860" t="s">
        <v>705</v>
      </c>
      <c r="B5" s="860"/>
      <c r="C5" s="866"/>
      <c r="D5" s="866"/>
      <c r="E5" s="866"/>
      <c r="F5" s="1011"/>
      <c r="G5" s="1011"/>
      <c r="H5" s="1011"/>
      <c r="I5" s="1011"/>
      <c r="J5" s="1011"/>
      <c r="K5" s="1011"/>
      <c r="L5" s="1011"/>
      <c r="M5" s="861"/>
      <c r="N5" s="861"/>
      <c r="O5" s="867"/>
      <c r="P5" s="861"/>
      <c r="Q5" s="861"/>
      <c r="R5" s="862" t="s">
        <v>558</v>
      </c>
      <c r="Y5" s="907"/>
      <c r="Z5" s="907"/>
      <c r="AA5" s="907"/>
      <c r="AB5" s="907"/>
      <c r="AC5" s="907"/>
      <c r="AD5" s="907"/>
      <c r="AE5" s="907"/>
      <c r="AF5" s="907"/>
      <c r="AG5" s="907"/>
      <c r="AH5" s="907"/>
      <c r="AI5" s="907"/>
      <c r="AJ5" s="907"/>
      <c r="AK5" s="907"/>
      <c r="AL5" s="907"/>
      <c r="AM5" s="907"/>
      <c r="AN5" s="907"/>
      <c r="AO5" s="907"/>
      <c r="AP5" s="907"/>
      <c r="AQ5" s="907"/>
      <c r="AR5" s="907"/>
      <c r="AS5" s="907"/>
      <c r="AT5" s="907"/>
      <c r="AU5" s="907"/>
      <c r="AV5" s="907"/>
      <c r="AW5" s="907"/>
      <c r="AX5" s="907"/>
      <c r="AY5" s="907"/>
      <c r="AZ5" s="907"/>
      <c r="BA5" s="907"/>
      <c r="BB5" s="907"/>
      <c r="BC5" s="907"/>
      <c r="BD5" s="907"/>
      <c r="BE5" s="907"/>
      <c r="BF5" s="907"/>
      <c r="BG5" s="907"/>
      <c r="BH5" s="907"/>
      <c r="BI5" s="907"/>
      <c r="BJ5" s="907"/>
      <c r="BK5" s="907"/>
      <c r="BL5" s="907"/>
      <c r="BM5" s="907"/>
      <c r="BN5" s="907"/>
      <c r="BO5" s="907"/>
      <c r="BP5" s="907"/>
      <c r="BQ5" s="907"/>
      <c r="BR5" s="907"/>
      <c r="BS5" s="907"/>
      <c r="BT5" s="907"/>
      <c r="BU5" s="907"/>
      <c r="BV5" s="907"/>
      <c r="BW5" s="907"/>
      <c r="BX5" s="907"/>
      <c r="BY5" s="907"/>
      <c r="BZ5" s="907"/>
      <c r="CA5" s="907"/>
      <c r="CB5" s="907"/>
      <c r="CC5" s="907"/>
      <c r="CD5" s="907"/>
      <c r="CE5" s="907"/>
      <c r="CF5" s="907"/>
      <c r="CG5" s="907"/>
      <c r="CH5" s="907"/>
      <c r="CI5" s="907"/>
      <c r="CJ5" s="907"/>
      <c r="CK5" s="907"/>
      <c r="CL5" s="907"/>
      <c r="CM5" s="907"/>
      <c r="CN5" s="907"/>
      <c r="CO5" s="907"/>
      <c r="CP5" s="907"/>
      <c r="CQ5" s="907"/>
      <c r="CR5" s="907"/>
      <c r="CS5" s="907"/>
      <c r="CT5" s="907"/>
      <c r="CU5" s="907"/>
      <c r="CV5" s="907"/>
      <c r="CW5" s="907"/>
      <c r="CX5" s="907"/>
      <c r="CY5" s="907"/>
      <c r="CZ5" s="907"/>
      <c r="DA5" s="907"/>
      <c r="DB5" s="907"/>
      <c r="DC5" s="907"/>
      <c r="DD5" s="907"/>
      <c r="DE5" s="907"/>
      <c r="DF5" s="907"/>
      <c r="DG5" s="907"/>
      <c r="DH5" s="907"/>
      <c r="DI5" s="907"/>
      <c r="DJ5" s="907"/>
      <c r="DK5" s="907"/>
      <c r="DL5" s="907"/>
      <c r="DM5" s="907"/>
      <c r="DN5" s="907"/>
      <c r="DO5" s="907"/>
      <c r="DP5" s="907"/>
      <c r="DQ5" s="907"/>
      <c r="DR5" s="907"/>
      <c r="DS5" s="907"/>
      <c r="DT5" s="907"/>
      <c r="DU5" s="907"/>
      <c r="DV5" s="907"/>
      <c r="DW5" s="907"/>
      <c r="DX5" s="907"/>
      <c r="DY5" s="907"/>
      <c r="DZ5" s="907"/>
      <c r="EA5" s="907"/>
      <c r="EB5" s="907"/>
      <c r="EC5" s="907"/>
      <c r="ED5" s="907"/>
      <c r="EE5" s="907"/>
      <c r="EF5" s="907"/>
      <c r="EG5" s="907"/>
      <c r="EH5" s="907"/>
      <c r="EI5" s="907"/>
      <c r="EJ5" s="907"/>
      <c r="EK5" s="907"/>
      <c r="EL5" s="907"/>
      <c r="EM5" s="907"/>
      <c r="EN5" s="907"/>
      <c r="EO5" s="907"/>
      <c r="EP5" s="907"/>
      <c r="EQ5" s="907"/>
      <c r="ER5" s="907"/>
      <c r="ES5" s="907"/>
      <c r="ET5" s="907"/>
      <c r="EU5" s="907"/>
      <c r="EV5" s="907"/>
      <c r="EW5" s="907"/>
      <c r="EX5" s="907"/>
      <c r="EY5" s="907"/>
      <c r="EZ5" s="907"/>
      <c r="FA5" s="907"/>
      <c r="FB5" s="907"/>
      <c r="FC5" s="907"/>
      <c r="FD5" s="907"/>
      <c r="FE5" s="907"/>
      <c r="FF5" s="907"/>
      <c r="FG5" s="907"/>
      <c r="FH5" s="907"/>
      <c r="FI5" s="907"/>
      <c r="FJ5" s="907"/>
      <c r="FK5" s="907"/>
      <c r="FL5" s="907"/>
      <c r="FM5" s="907"/>
      <c r="FN5" s="907"/>
      <c r="FO5" s="907"/>
      <c r="FP5" s="907"/>
      <c r="FQ5" s="907"/>
      <c r="FR5" s="907"/>
      <c r="FS5" s="907"/>
      <c r="FT5" s="907"/>
      <c r="FU5" s="907"/>
      <c r="FV5" s="907"/>
      <c r="FW5" s="907"/>
      <c r="FX5" s="907"/>
      <c r="FY5" s="907"/>
      <c r="FZ5" s="907"/>
      <c r="GA5" s="907"/>
      <c r="GB5" s="907"/>
      <c r="GC5" s="907"/>
      <c r="GD5" s="907"/>
      <c r="GE5" s="907"/>
      <c r="GF5" s="907"/>
      <c r="GG5" s="907"/>
      <c r="GH5" s="907"/>
      <c r="GI5" s="907"/>
      <c r="GJ5" s="907"/>
      <c r="GK5" s="907"/>
      <c r="GL5" s="907"/>
      <c r="GM5" s="907"/>
      <c r="GN5" s="907"/>
      <c r="GO5" s="907"/>
      <c r="GP5" s="907"/>
      <c r="GQ5" s="907"/>
      <c r="GR5" s="907"/>
      <c r="GS5" s="907"/>
      <c r="GT5" s="907"/>
      <c r="GU5" s="907"/>
      <c r="GV5" s="907"/>
      <c r="GW5" s="907"/>
      <c r="GX5" s="907"/>
      <c r="GY5" s="907"/>
      <c r="GZ5" s="907"/>
      <c r="HA5" s="907"/>
      <c r="HB5" s="907"/>
      <c r="HC5" s="907"/>
      <c r="HD5" s="907"/>
      <c r="HE5" s="907"/>
      <c r="HF5" s="907"/>
      <c r="HG5" s="907"/>
      <c r="HH5" s="907"/>
      <c r="HI5" s="907"/>
      <c r="HJ5" s="907"/>
      <c r="HK5" s="907"/>
      <c r="HL5" s="907"/>
      <c r="HM5" s="907"/>
      <c r="HN5" s="907"/>
      <c r="HO5" s="907"/>
      <c r="HP5" s="907"/>
      <c r="HQ5" s="907"/>
      <c r="HR5" s="907"/>
      <c r="HS5" s="907"/>
      <c r="HT5" s="907"/>
      <c r="HU5" s="907"/>
      <c r="HV5" s="907"/>
      <c r="HW5" s="907"/>
      <c r="HX5" s="907"/>
      <c r="HY5" s="907"/>
      <c r="HZ5" s="907"/>
      <c r="IA5" s="907"/>
      <c r="IB5" s="907"/>
      <c r="IC5" s="907"/>
      <c r="ID5" s="907"/>
      <c r="IE5" s="907"/>
      <c r="IF5" s="907"/>
      <c r="IG5" s="907"/>
      <c r="IH5" s="907"/>
      <c r="II5" s="907"/>
      <c r="IJ5" s="907"/>
      <c r="IK5" s="907"/>
      <c r="IL5" s="907"/>
      <c r="IM5" s="907"/>
      <c r="IN5" s="907"/>
      <c r="IO5" s="907"/>
      <c r="IP5" s="907"/>
    </row>
    <row r="6" spans="1:250" ht="12">
      <c r="A6" s="860" t="s">
        <v>566</v>
      </c>
      <c r="B6" s="860"/>
      <c r="C6" s="866"/>
      <c r="D6" s="866"/>
      <c r="E6" s="866"/>
      <c r="F6" s="1011"/>
      <c r="G6" s="1011"/>
      <c r="H6" s="1011"/>
      <c r="I6" s="1011"/>
      <c r="J6" s="1011"/>
      <c r="K6" s="1011"/>
      <c r="L6" s="1011"/>
      <c r="M6" s="861"/>
      <c r="N6" s="861"/>
      <c r="O6" s="867"/>
      <c r="P6" s="861"/>
      <c r="Q6" s="861"/>
      <c r="R6" s="862"/>
      <c r="Y6" s="907"/>
      <c r="Z6" s="907"/>
      <c r="AA6" s="907"/>
      <c r="AB6" s="907"/>
      <c r="AC6" s="907"/>
      <c r="AD6" s="907"/>
      <c r="AE6" s="907"/>
      <c r="AF6" s="907"/>
      <c r="AG6" s="907"/>
      <c r="AH6" s="907"/>
      <c r="AI6" s="907"/>
      <c r="AJ6" s="907"/>
      <c r="AK6" s="907"/>
      <c r="AL6" s="907"/>
      <c r="AM6" s="907"/>
      <c r="AN6" s="907"/>
      <c r="AO6" s="907"/>
      <c r="AP6" s="907"/>
      <c r="AQ6" s="907"/>
      <c r="AR6" s="907"/>
      <c r="AS6" s="907"/>
      <c r="AT6" s="907"/>
      <c r="AU6" s="907"/>
      <c r="AV6" s="907"/>
      <c r="AW6" s="907"/>
      <c r="AX6" s="907"/>
      <c r="AY6" s="907"/>
      <c r="AZ6" s="907"/>
      <c r="BA6" s="907"/>
      <c r="BB6" s="907"/>
      <c r="BC6" s="907"/>
      <c r="BD6" s="907"/>
      <c r="BE6" s="907"/>
      <c r="BF6" s="907"/>
      <c r="BG6" s="907"/>
      <c r="BH6" s="907"/>
      <c r="BI6" s="907"/>
      <c r="BJ6" s="907"/>
      <c r="BK6" s="907"/>
      <c r="BL6" s="907"/>
      <c r="BM6" s="907"/>
      <c r="BN6" s="907"/>
      <c r="BO6" s="907"/>
      <c r="BP6" s="907"/>
      <c r="BQ6" s="907"/>
      <c r="BR6" s="907"/>
      <c r="BS6" s="907"/>
      <c r="BT6" s="907"/>
      <c r="BU6" s="907"/>
      <c r="BV6" s="907"/>
      <c r="BW6" s="907"/>
      <c r="BX6" s="907"/>
      <c r="BY6" s="907"/>
      <c r="BZ6" s="907"/>
      <c r="CA6" s="907"/>
      <c r="CB6" s="907"/>
      <c r="CC6" s="907"/>
      <c r="CD6" s="907"/>
      <c r="CE6" s="907"/>
      <c r="CF6" s="907"/>
      <c r="CG6" s="907"/>
      <c r="CH6" s="907"/>
      <c r="CI6" s="907"/>
      <c r="CJ6" s="907"/>
      <c r="CK6" s="907"/>
      <c r="CL6" s="907"/>
      <c r="CM6" s="907"/>
      <c r="CN6" s="907"/>
      <c r="CO6" s="907"/>
      <c r="CP6" s="907"/>
      <c r="CQ6" s="907"/>
      <c r="CR6" s="907"/>
      <c r="CS6" s="907"/>
      <c r="CT6" s="907"/>
      <c r="CU6" s="907"/>
      <c r="CV6" s="907"/>
      <c r="CW6" s="907"/>
      <c r="CX6" s="907"/>
      <c r="CY6" s="907"/>
      <c r="CZ6" s="907"/>
      <c r="DA6" s="907"/>
      <c r="DB6" s="907"/>
      <c r="DC6" s="907"/>
      <c r="DD6" s="907"/>
      <c r="DE6" s="907"/>
      <c r="DF6" s="907"/>
      <c r="DG6" s="907"/>
      <c r="DH6" s="907"/>
      <c r="DI6" s="907"/>
      <c r="DJ6" s="907"/>
      <c r="DK6" s="907"/>
      <c r="DL6" s="907"/>
      <c r="DM6" s="907"/>
      <c r="DN6" s="907"/>
      <c r="DO6" s="907"/>
      <c r="DP6" s="907"/>
      <c r="DQ6" s="907"/>
      <c r="DR6" s="907"/>
      <c r="DS6" s="907"/>
      <c r="DT6" s="907"/>
      <c r="DU6" s="907"/>
      <c r="DV6" s="907"/>
      <c r="DW6" s="907"/>
      <c r="DX6" s="907"/>
      <c r="DY6" s="907"/>
      <c r="DZ6" s="907"/>
      <c r="EA6" s="907"/>
      <c r="EB6" s="907"/>
      <c r="EC6" s="907"/>
      <c r="ED6" s="907"/>
      <c r="EE6" s="907"/>
      <c r="EF6" s="907"/>
      <c r="EG6" s="907"/>
      <c r="EH6" s="907"/>
      <c r="EI6" s="907"/>
      <c r="EJ6" s="907"/>
      <c r="EK6" s="907"/>
      <c r="EL6" s="907"/>
      <c r="EM6" s="907"/>
      <c r="EN6" s="907"/>
      <c r="EO6" s="907"/>
      <c r="EP6" s="907"/>
      <c r="EQ6" s="907"/>
      <c r="ER6" s="907"/>
      <c r="ES6" s="907"/>
      <c r="ET6" s="907"/>
      <c r="EU6" s="907"/>
      <c r="EV6" s="907"/>
      <c r="EW6" s="907"/>
      <c r="EX6" s="907"/>
      <c r="EY6" s="907"/>
      <c r="EZ6" s="907"/>
      <c r="FA6" s="907"/>
      <c r="FB6" s="907"/>
      <c r="FC6" s="907"/>
      <c r="FD6" s="907"/>
      <c r="FE6" s="907"/>
      <c r="FF6" s="907"/>
      <c r="FG6" s="907"/>
      <c r="FH6" s="907"/>
      <c r="FI6" s="907"/>
      <c r="FJ6" s="907"/>
      <c r="FK6" s="907"/>
      <c r="FL6" s="907"/>
      <c r="FM6" s="907"/>
      <c r="FN6" s="907"/>
      <c r="FO6" s="907"/>
      <c r="FP6" s="907"/>
      <c r="FQ6" s="907"/>
      <c r="FR6" s="907"/>
      <c r="FS6" s="907"/>
      <c r="FT6" s="907"/>
      <c r="FU6" s="907"/>
      <c r="FV6" s="907"/>
      <c r="FW6" s="907"/>
      <c r="FX6" s="907"/>
      <c r="FY6" s="907"/>
      <c r="FZ6" s="907"/>
      <c r="GA6" s="907"/>
      <c r="GB6" s="907"/>
      <c r="GC6" s="907"/>
      <c r="GD6" s="907"/>
      <c r="GE6" s="907"/>
      <c r="GF6" s="907"/>
      <c r="GG6" s="907"/>
      <c r="GH6" s="907"/>
      <c r="GI6" s="907"/>
      <c r="GJ6" s="907"/>
      <c r="GK6" s="907"/>
      <c r="GL6" s="907"/>
      <c r="GM6" s="907"/>
      <c r="GN6" s="907"/>
      <c r="GO6" s="907"/>
      <c r="GP6" s="907"/>
      <c r="GQ6" s="907"/>
      <c r="GR6" s="907"/>
      <c r="GS6" s="907"/>
      <c r="GT6" s="907"/>
      <c r="GU6" s="907"/>
      <c r="GV6" s="907"/>
      <c r="GW6" s="907"/>
      <c r="GX6" s="907"/>
      <c r="GY6" s="907"/>
      <c r="GZ6" s="907"/>
      <c r="HA6" s="907"/>
      <c r="HB6" s="907"/>
      <c r="HC6" s="907"/>
      <c r="HD6" s="907"/>
      <c r="HE6" s="907"/>
      <c r="HF6" s="907"/>
      <c r="HG6" s="907"/>
      <c r="HH6" s="907"/>
      <c r="HI6" s="907"/>
      <c r="HJ6" s="907"/>
      <c r="HK6" s="907"/>
      <c r="HL6" s="907"/>
      <c r="HM6" s="907"/>
      <c r="HN6" s="907"/>
      <c r="HO6" s="907"/>
      <c r="HP6" s="907"/>
      <c r="HQ6" s="907"/>
      <c r="HR6" s="907"/>
      <c r="HS6" s="907"/>
      <c r="HT6" s="907"/>
      <c r="HU6" s="907"/>
      <c r="HV6" s="907"/>
      <c r="HW6" s="907"/>
      <c r="HX6" s="907"/>
      <c r="HY6" s="907"/>
      <c r="HZ6" s="907"/>
      <c r="IA6" s="907"/>
      <c r="IB6" s="907"/>
      <c r="IC6" s="907"/>
      <c r="ID6" s="907"/>
      <c r="IE6" s="907"/>
      <c r="IF6" s="907"/>
      <c r="IG6" s="907"/>
      <c r="IH6" s="907"/>
      <c r="II6" s="907"/>
      <c r="IJ6" s="907"/>
      <c r="IK6" s="907"/>
      <c r="IL6" s="907"/>
      <c r="IM6" s="907"/>
      <c r="IN6" s="907"/>
      <c r="IO6" s="907"/>
      <c r="IP6" s="907"/>
    </row>
    <row r="7" spans="1:250" ht="12">
      <c r="A7" s="868" t="s">
        <v>248</v>
      </c>
      <c r="B7" s="869"/>
      <c r="C7" s="866"/>
      <c r="D7" s="866"/>
      <c r="E7" s="866"/>
      <c r="F7" s="1011"/>
      <c r="G7" s="1011"/>
      <c r="H7" s="1011"/>
      <c r="I7" s="1011"/>
      <c r="J7" s="1011"/>
      <c r="K7" s="1011"/>
      <c r="L7" s="1011"/>
      <c r="M7" s="861"/>
      <c r="N7" s="861"/>
      <c r="O7" s="867"/>
      <c r="P7" s="861"/>
      <c r="Q7" s="861"/>
      <c r="R7" s="862" t="s">
        <v>356</v>
      </c>
      <c r="Y7" s="907"/>
      <c r="Z7" s="907"/>
      <c r="AA7" s="907"/>
      <c r="AB7" s="907"/>
      <c r="AC7" s="907"/>
      <c r="AD7" s="907"/>
      <c r="AE7" s="907"/>
      <c r="AF7" s="907"/>
      <c r="AG7" s="907"/>
      <c r="AH7" s="907"/>
      <c r="AI7" s="907"/>
      <c r="AJ7" s="907"/>
      <c r="AK7" s="907"/>
      <c r="AL7" s="907"/>
      <c r="AM7" s="907"/>
      <c r="AN7" s="907"/>
      <c r="AO7" s="907"/>
      <c r="AP7" s="907"/>
      <c r="AQ7" s="907"/>
      <c r="AR7" s="907"/>
      <c r="AS7" s="907"/>
      <c r="AT7" s="907"/>
      <c r="AU7" s="907"/>
      <c r="AV7" s="907"/>
      <c r="AW7" s="907"/>
      <c r="AX7" s="907"/>
      <c r="AY7" s="907"/>
      <c r="AZ7" s="907"/>
      <c r="BA7" s="907"/>
      <c r="BB7" s="907"/>
      <c r="BC7" s="907"/>
      <c r="BD7" s="907"/>
      <c r="BE7" s="907"/>
      <c r="BF7" s="907"/>
      <c r="BG7" s="907"/>
      <c r="BH7" s="907"/>
      <c r="BI7" s="907"/>
      <c r="BJ7" s="907"/>
      <c r="BK7" s="907"/>
      <c r="BL7" s="907"/>
      <c r="BM7" s="907"/>
      <c r="BN7" s="907"/>
      <c r="BO7" s="907"/>
      <c r="BP7" s="907"/>
      <c r="BQ7" s="907"/>
      <c r="BR7" s="907"/>
      <c r="BS7" s="907"/>
      <c r="BT7" s="907"/>
      <c r="BU7" s="907"/>
      <c r="BV7" s="907"/>
      <c r="BW7" s="907"/>
      <c r="BX7" s="907"/>
      <c r="BY7" s="907"/>
      <c r="BZ7" s="907"/>
      <c r="CA7" s="907"/>
      <c r="CB7" s="907"/>
      <c r="CC7" s="907"/>
      <c r="CD7" s="907"/>
      <c r="CE7" s="907"/>
      <c r="CF7" s="907"/>
      <c r="CG7" s="907"/>
      <c r="CH7" s="907"/>
      <c r="CI7" s="907"/>
      <c r="CJ7" s="907"/>
      <c r="CK7" s="907"/>
      <c r="CL7" s="907"/>
      <c r="CM7" s="907"/>
      <c r="CN7" s="907"/>
      <c r="CO7" s="907"/>
      <c r="CP7" s="907"/>
      <c r="CQ7" s="907"/>
      <c r="CR7" s="907"/>
      <c r="CS7" s="907"/>
      <c r="CT7" s="907"/>
      <c r="CU7" s="907"/>
      <c r="CV7" s="907"/>
      <c r="CW7" s="907"/>
      <c r="CX7" s="907"/>
      <c r="CY7" s="907"/>
      <c r="CZ7" s="907"/>
      <c r="DA7" s="907"/>
      <c r="DB7" s="907"/>
      <c r="DC7" s="907"/>
      <c r="DD7" s="907"/>
      <c r="DE7" s="907"/>
      <c r="DF7" s="907"/>
      <c r="DG7" s="907"/>
      <c r="DH7" s="907"/>
      <c r="DI7" s="907"/>
      <c r="DJ7" s="907"/>
      <c r="DK7" s="907"/>
      <c r="DL7" s="907"/>
      <c r="DM7" s="907"/>
      <c r="DN7" s="907"/>
      <c r="DO7" s="907"/>
      <c r="DP7" s="907"/>
      <c r="DQ7" s="907"/>
      <c r="DR7" s="907"/>
      <c r="DS7" s="907"/>
      <c r="DT7" s="907"/>
      <c r="DU7" s="907"/>
      <c r="DV7" s="907"/>
      <c r="DW7" s="907"/>
      <c r="DX7" s="907"/>
      <c r="DY7" s="907"/>
      <c r="DZ7" s="907"/>
      <c r="EA7" s="907"/>
      <c r="EB7" s="907"/>
      <c r="EC7" s="907"/>
      <c r="ED7" s="907"/>
      <c r="EE7" s="907"/>
      <c r="EF7" s="907"/>
      <c r="EG7" s="907"/>
      <c r="EH7" s="907"/>
      <c r="EI7" s="907"/>
      <c r="EJ7" s="907"/>
      <c r="EK7" s="907"/>
      <c r="EL7" s="907"/>
      <c r="EM7" s="907"/>
      <c r="EN7" s="907"/>
      <c r="EO7" s="907"/>
      <c r="EP7" s="907"/>
      <c r="EQ7" s="907"/>
      <c r="ER7" s="907"/>
      <c r="ES7" s="907"/>
      <c r="ET7" s="907"/>
      <c r="EU7" s="907"/>
      <c r="EV7" s="907"/>
      <c r="EW7" s="907"/>
      <c r="EX7" s="907"/>
      <c r="EY7" s="907"/>
      <c r="EZ7" s="907"/>
      <c r="FA7" s="907"/>
      <c r="FB7" s="907"/>
      <c r="FC7" s="907"/>
      <c r="FD7" s="907"/>
      <c r="FE7" s="907"/>
      <c r="FF7" s="907"/>
      <c r="FG7" s="907"/>
      <c r="FH7" s="907"/>
      <c r="FI7" s="907"/>
      <c r="FJ7" s="907"/>
      <c r="FK7" s="907"/>
      <c r="FL7" s="907"/>
      <c r="FM7" s="907"/>
      <c r="FN7" s="907"/>
      <c r="FO7" s="907"/>
      <c r="FP7" s="907"/>
      <c r="FQ7" s="907"/>
      <c r="FR7" s="907"/>
      <c r="FS7" s="907"/>
      <c r="FT7" s="907"/>
      <c r="FU7" s="907"/>
      <c r="FV7" s="907"/>
      <c r="FW7" s="907"/>
      <c r="FX7" s="907"/>
      <c r="FY7" s="907"/>
      <c r="FZ7" s="907"/>
      <c r="GA7" s="907"/>
      <c r="GB7" s="907"/>
      <c r="GC7" s="907"/>
      <c r="GD7" s="907"/>
      <c r="GE7" s="907"/>
      <c r="GF7" s="907"/>
      <c r="GG7" s="907"/>
      <c r="GH7" s="907"/>
      <c r="GI7" s="907"/>
      <c r="GJ7" s="907"/>
      <c r="GK7" s="907"/>
      <c r="GL7" s="907"/>
      <c r="GM7" s="907"/>
      <c r="GN7" s="907"/>
      <c r="GO7" s="907"/>
      <c r="GP7" s="907"/>
      <c r="GQ7" s="907"/>
      <c r="GR7" s="907"/>
      <c r="GS7" s="907"/>
      <c r="GT7" s="907"/>
      <c r="GU7" s="907"/>
      <c r="GV7" s="907"/>
      <c r="GW7" s="907"/>
      <c r="GX7" s="907"/>
      <c r="GY7" s="907"/>
      <c r="GZ7" s="907"/>
      <c r="HA7" s="907"/>
      <c r="HB7" s="907"/>
      <c r="HC7" s="907"/>
      <c r="HD7" s="907"/>
      <c r="HE7" s="907"/>
      <c r="HF7" s="907"/>
      <c r="HG7" s="907"/>
      <c r="HH7" s="907"/>
      <c r="HI7" s="907"/>
      <c r="HJ7" s="907"/>
      <c r="HK7" s="907"/>
      <c r="HL7" s="907"/>
      <c r="HM7" s="907"/>
      <c r="HN7" s="907"/>
      <c r="HO7" s="907"/>
      <c r="HP7" s="907"/>
      <c r="HQ7" s="907"/>
      <c r="HR7" s="907"/>
      <c r="HS7" s="907"/>
      <c r="HT7" s="907"/>
      <c r="HU7" s="907"/>
      <c r="HV7" s="907"/>
      <c r="HW7" s="907"/>
      <c r="HX7" s="907"/>
      <c r="HY7" s="907"/>
      <c r="HZ7" s="907"/>
      <c r="IA7" s="907"/>
      <c r="IB7" s="907"/>
      <c r="IC7" s="907"/>
      <c r="ID7" s="907"/>
      <c r="IE7" s="907"/>
      <c r="IF7" s="907"/>
      <c r="IG7" s="907"/>
      <c r="IH7" s="907"/>
      <c r="II7" s="907"/>
      <c r="IJ7" s="907"/>
      <c r="IK7" s="907"/>
      <c r="IL7" s="907"/>
      <c r="IM7" s="907"/>
      <c r="IN7" s="907"/>
      <c r="IO7" s="907"/>
      <c r="IP7" s="907"/>
    </row>
    <row r="8" spans="1:250" thickBot="1">
      <c r="A8" s="912"/>
      <c r="B8" s="912"/>
      <c r="C8" s="912"/>
      <c r="D8" s="913"/>
      <c r="E8" s="913"/>
      <c r="F8" s="913"/>
      <c r="G8" s="913"/>
      <c r="H8" s="913"/>
      <c r="I8" s="913"/>
      <c r="J8" s="913"/>
      <c r="K8" s="913"/>
      <c r="L8" s="913"/>
      <c r="M8" s="913"/>
      <c r="N8" s="913"/>
      <c r="O8" s="913"/>
      <c r="P8" s="913"/>
      <c r="Q8" s="913"/>
      <c r="R8" s="913"/>
      <c r="Y8" s="907"/>
      <c r="Z8" s="907"/>
      <c r="AA8" s="907"/>
      <c r="AB8" s="907"/>
      <c r="AC8" s="907"/>
      <c r="AD8" s="907"/>
      <c r="AE8" s="907"/>
      <c r="AF8" s="907"/>
      <c r="AG8" s="907"/>
      <c r="AH8" s="907"/>
      <c r="AI8" s="907"/>
      <c r="AJ8" s="907"/>
      <c r="AK8" s="907"/>
      <c r="AL8" s="907"/>
      <c r="AM8" s="907"/>
      <c r="AN8" s="907"/>
      <c r="AO8" s="907"/>
      <c r="AP8" s="907"/>
      <c r="AQ8" s="907"/>
      <c r="AR8" s="907"/>
      <c r="AS8" s="907"/>
      <c r="AT8" s="907"/>
      <c r="AU8" s="907"/>
      <c r="AV8" s="907"/>
      <c r="AW8" s="907"/>
      <c r="AX8" s="907"/>
      <c r="AY8" s="907"/>
      <c r="AZ8" s="907"/>
      <c r="BA8" s="907"/>
      <c r="BB8" s="907"/>
      <c r="BC8" s="907"/>
      <c r="BD8" s="907"/>
      <c r="BE8" s="907"/>
      <c r="BF8" s="907"/>
      <c r="BG8" s="907"/>
      <c r="BH8" s="907"/>
      <c r="BI8" s="907"/>
      <c r="BJ8" s="907"/>
      <c r="BK8" s="907"/>
      <c r="BL8" s="907"/>
      <c r="BM8" s="907"/>
      <c r="BN8" s="907"/>
      <c r="BO8" s="907"/>
      <c r="BP8" s="907"/>
      <c r="BQ8" s="907"/>
      <c r="BR8" s="907"/>
      <c r="BS8" s="907"/>
      <c r="BT8" s="907"/>
      <c r="BU8" s="907"/>
      <c r="BV8" s="907"/>
      <c r="BW8" s="907"/>
      <c r="BX8" s="907"/>
      <c r="BY8" s="907"/>
      <c r="BZ8" s="907"/>
      <c r="CA8" s="907"/>
      <c r="CB8" s="907"/>
      <c r="CC8" s="907"/>
      <c r="CD8" s="907"/>
      <c r="CE8" s="907"/>
      <c r="CF8" s="907"/>
      <c r="CG8" s="907"/>
      <c r="CH8" s="907"/>
      <c r="CI8" s="907"/>
      <c r="CJ8" s="907"/>
      <c r="CK8" s="907"/>
      <c r="CL8" s="907"/>
      <c r="CM8" s="907"/>
      <c r="CN8" s="907"/>
      <c r="CO8" s="907"/>
      <c r="CP8" s="907"/>
      <c r="CQ8" s="907"/>
      <c r="CR8" s="907"/>
      <c r="CS8" s="907"/>
      <c r="CT8" s="907"/>
      <c r="CU8" s="907"/>
      <c r="CV8" s="907"/>
      <c r="CW8" s="907"/>
      <c r="CX8" s="907"/>
      <c r="CY8" s="907"/>
      <c r="CZ8" s="907"/>
      <c r="DA8" s="907"/>
      <c r="DB8" s="907"/>
      <c r="DC8" s="907"/>
      <c r="DD8" s="907"/>
      <c r="DE8" s="907"/>
      <c r="DF8" s="907"/>
      <c r="DG8" s="907"/>
      <c r="DH8" s="907"/>
      <c r="DI8" s="907"/>
      <c r="DJ8" s="907"/>
      <c r="DK8" s="907"/>
      <c r="DL8" s="907"/>
      <c r="DM8" s="907"/>
      <c r="DN8" s="907"/>
      <c r="DO8" s="907"/>
      <c r="DP8" s="907"/>
      <c r="DQ8" s="907"/>
      <c r="DR8" s="907"/>
      <c r="DS8" s="907"/>
      <c r="DT8" s="907"/>
      <c r="DU8" s="907"/>
      <c r="DV8" s="907"/>
      <c r="DW8" s="907"/>
      <c r="DX8" s="907"/>
      <c r="DY8" s="907"/>
      <c r="DZ8" s="907"/>
      <c r="EA8" s="907"/>
      <c r="EB8" s="907"/>
      <c r="EC8" s="907"/>
      <c r="ED8" s="907"/>
      <c r="EE8" s="907"/>
      <c r="EF8" s="907"/>
      <c r="EG8" s="907"/>
      <c r="EH8" s="907"/>
      <c r="EI8" s="907"/>
      <c r="EJ8" s="907"/>
      <c r="EK8" s="907"/>
      <c r="EL8" s="907"/>
      <c r="EM8" s="907"/>
      <c r="EN8" s="907"/>
      <c r="EO8" s="907"/>
      <c r="EP8" s="907"/>
      <c r="EQ8" s="907"/>
      <c r="ER8" s="907"/>
      <c r="ES8" s="907"/>
      <c r="ET8" s="907"/>
      <c r="EU8" s="907"/>
      <c r="EV8" s="907"/>
      <c r="EW8" s="907"/>
      <c r="EX8" s="907"/>
      <c r="EY8" s="907"/>
      <c r="EZ8" s="907"/>
      <c r="FA8" s="907"/>
      <c r="FB8" s="907"/>
      <c r="FC8" s="907"/>
      <c r="FD8" s="907"/>
      <c r="FE8" s="907"/>
      <c r="FF8" s="907"/>
      <c r="FG8" s="907"/>
      <c r="FH8" s="907"/>
      <c r="FI8" s="907"/>
      <c r="FJ8" s="907"/>
      <c r="FK8" s="907"/>
      <c r="FL8" s="907"/>
      <c r="FM8" s="907"/>
      <c r="FN8" s="907"/>
      <c r="FO8" s="907"/>
      <c r="FP8" s="907"/>
      <c r="FQ8" s="907"/>
      <c r="FR8" s="907"/>
      <c r="FS8" s="907"/>
      <c r="FT8" s="907"/>
      <c r="FU8" s="907"/>
      <c r="FV8" s="907"/>
      <c r="FW8" s="907"/>
      <c r="FX8" s="907"/>
      <c r="FY8" s="907"/>
      <c r="FZ8" s="907"/>
      <c r="GA8" s="907"/>
      <c r="GB8" s="907"/>
      <c r="GC8" s="907"/>
      <c r="GD8" s="907"/>
      <c r="GE8" s="907"/>
      <c r="GF8" s="907"/>
      <c r="GG8" s="907"/>
      <c r="GH8" s="907"/>
      <c r="GI8" s="907"/>
      <c r="GJ8" s="907"/>
      <c r="GK8" s="907"/>
      <c r="GL8" s="907"/>
      <c r="GM8" s="907"/>
      <c r="GN8" s="907"/>
      <c r="GO8" s="907"/>
      <c r="GP8" s="907"/>
      <c r="GQ8" s="907"/>
      <c r="GR8" s="907"/>
      <c r="GS8" s="907"/>
      <c r="GT8" s="907"/>
      <c r="GU8" s="907"/>
      <c r="GV8" s="907"/>
      <c r="GW8" s="907"/>
      <c r="GX8" s="907"/>
      <c r="GY8" s="907"/>
      <c r="GZ8" s="907"/>
      <c r="HA8" s="907"/>
      <c r="HB8" s="907"/>
      <c r="HC8" s="907"/>
      <c r="HD8" s="907"/>
      <c r="HE8" s="907"/>
      <c r="HF8" s="907"/>
      <c r="HG8" s="907"/>
      <c r="HH8" s="907"/>
      <c r="HI8" s="907"/>
      <c r="HJ8" s="907"/>
      <c r="HK8" s="907"/>
      <c r="HL8" s="907"/>
      <c r="HM8" s="907"/>
      <c r="HN8" s="907"/>
      <c r="HO8" s="907"/>
      <c r="HP8" s="907"/>
      <c r="HQ8" s="907"/>
      <c r="HR8" s="907"/>
      <c r="HS8" s="907"/>
      <c r="HT8" s="907"/>
      <c r="HU8" s="907"/>
      <c r="HV8" s="907"/>
      <c r="HW8" s="907"/>
      <c r="HX8" s="907"/>
      <c r="HY8" s="907"/>
      <c r="HZ8" s="907"/>
      <c r="IA8" s="907"/>
      <c r="IB8" s="907"/>
      <c r="IC8" s="907"/>
      <c r="ID8" s="907"/>
      <c r="IE8" s="907"/>
      <c r="IF8" s="907"/>
      <c r="IG8" s="907"/>
      <c r="IH8" s="907"/>
      <c r="II8" s="907"/>
      <c r="IJ8" s="907"/>
      <c r="IK8" s="907"/>
      <c r="IL8" s="907"/>
      <c r="IM8" s="907"/>
      <c r="IN8" s="907"/>
      <c r="IO8" s="907"/>
      <c r="IP8" s="907"/>
    </row>
    <row r="9" spans="1:250" ht="12">
      <c r="A9" s="905"/>
      <c r="B9" s="914" t="s">
        <v>202</v>
      </c>
      <c r="C9" s="915"/>
      <c r="D9" s="916" t="s">
        <v>203</v>
      </c>
      <c r="E9" s="917" t="s">
        <v>204</v>
      </c>
      <c r="F9" s="918" t="s">
        <v>205</v>
      </c>
      <c r="G9" s="918" t="s">
        <v>429</v>
      </c>
      <c r="H9" s="918" t="s">
        <v>435</v>
      </c>
      <c r="I9" s="918" t="s">
        <v>10</v>
      </c>
      <c r="J9" s="918" t="s">
        <v>88</v>
      </c>
      <c r="K9" s="918" t="s">
        <v>89</v>
      </c>
      <c r="L9" s="918" t="s">
        <v>90</v>
      </c>
      <c r="M9" s="918" t="s">
        <v>91</v>
      </c>
      <c r="N9" s="918" t="s">
        <v>92</v>
      </c>
      <c r="O9" s="918" t="s">
        <v>424</v>
      </c>
      <c r="P9" s="918" t="s">
        <v>425</v>
      </c>
      <c r="Q9" s="918"/>
      <c r="R9" s="918" t="s">
        <v>325</v>
      </c>
      <c r="Y9" s="907"/>
      <c r="Z9" s="907"/>
      <c r="AA9" s="907"/>
      <c r="AB9" s="907"/>
      <c r="AC9" s="907"/>
      <c r="AD9" s="907"/>
      <c r="AE9" s="907"/>
      <c r="AF9" s="907"/>
      <c r="AG9" s="907"/>
      <c r="AH9" s="907"/>
      <c r="AI9" s="907"/>
      <c r="AJ9" s="907"/>
      <c r="AK9" s="907"/>
      <c r="AL9" s="907"/>
      <c r="AM9" s="907"/>
      <c r="AN9" s="907"/>
      <c r="AO9" s="907"/>
      <c r="AP9" s="907"/>
      <c r="AQ9" s="907"/>
      <c r="AR9" s="907"/>
      <c r="AS9" s="907"/>
      <c r="AT9" s="907"/>
      <c r="AU9" s="907"/>
      <c r="AV9" s="907"/>
      <c r="AW9" s="907"/>
      <c r="AX9" s="907"/>
      <c r="AY9" s="907"/>
      <c r="AZ9" s="907"/>
      <c r="BA9" s="907"/>
      <c r="BB9" s="907"/>
      <c r="BC9" s="907"/>
      <c r="BD9" s="907"/>
      <c r="BE9" s="907"/>
      <c r="BF9" s="907"/>
      <c r="BG9" s="907"/>
      <c r="BH9" s="907"/>
      <c r="BI9" s="907"/>
      <c r="BJ9" s="907"/>
      <c r="BK9" s="907"/>
      <c r="BL9" s="907"/>
      <c r="BM9" s="907"/>
      <c r="BN9" s="907"/>
      <c r="BO9" s="907"/>
      <c r="BP9" s="907"/>
      <c r="BQ9" s="907"/>
      <c r="BR9" s="907"/>
      <c r="BS9" s="907"/>
      <c r="BT9" s="907"/>
      <c r="BU9" s="907"/>
      <c r="BV9" s="907"/>
      <c r="BW9" s="907"/>
      <c r="BX9" s="907"/>
      <c r="BY9" s="907"/>
      <c r="BZ9" s="907"/>
      <c r="CA9" s="907"/>
      <c r="CB9" s="907"/>
      <c r="CC9" s="907"/>
      <c r="CD9" s="907"/>
      <c r="CE9" s="907"/>
      <c r="CF9" s="907"/>
      <c r="CG9" s="907"/>
      <c r="CH9" s="907"/>
      <c r="CI9" s="907"/>
      <c r="CJ9" s="907"/>
      <c r="CK9" s="907"/>
      <c r="CL9" s="907"/>
      <c r="CM9" s="907"/>
      <c r="CN9" s="907"/>
      <c r="CO9" s="907"/>
      <c r="CP9" s="907"/>
      <c r="CQ9" s="907"/>
      <c r="CR9" s="907"/>
      <c r="CS9" s="907"/>
      <c r="CT9" s="907"/>
      <c r="CU9" s="907"/>
      <c r="CV9" s="907"/>
      <c r="CW9" s="907"/>
      <c r="CX9" s="907"/>
      <c r="CY9" s="907"/>
      <c r="CZ9" s="907"/>
      <c r="DA9" s="907"/>
      <c r="DB9" s="907"/>
      <c r="DC9" s="907"/>
      <c r="DD9" s="907"/>
      <c r="DE9" s="907"/>
      <c r="DF9" s="907"/>
      <c r="DG9" s="907"/>
      <c r="DH9" s="907"/>
      <c r="DI9" s="907"/>
      <c r="DJ9" s="907"/>
      <c r="DK9" s="907"/>
      <c r="DL9" s="907"/>
      <c r="DM9" s="907"/>
      <c r="DN9" s="907"/>
      <c r="DO9" s="907"/>
      <c r="DP9" s="907"/>
      <c r="DQ9" s="907"/>
      <c r="DR9" s="907"/>
      <c r="DS9" s="907"/>
      <c r="DT9" s="907"/>
      <c r="DU9" s="907"/>
      <c r="DV9" s="907"/>
      <c r="DW9" s="907"/>
      <c r="DX9" s="907"/>
      <c r="DY9" s="907"/>
      <c r="DZ9" s="907"/>
      <c r="EA9" s="907"/>
      <c r="EB9" s="907"/>
      <c r="EC9" s="907"/>
      <c r="ED9" s="907"/>
      <c r="EE9" s="907"/>
      <c r="EF9" s="907"/>
      <c r="EG9" s="907"/>
      <c r="EH9" s="907"/>
      <c r="EI9" s="907"/>
      <c r="EJ9" s="907"/>
      <c r="EK9" s="907"/>
      <c r="EL9" s="907"/>
      <c r="EM9" s="907"/>
      <c r="EN9" s="907"/>
      <c r="EO9" s="907"/>
      <c r="EP9" s="907"/>
      <c r="EQ9" s="907"/>
      <c r="ER9" s="907"/>
      <c r="ES9" s="907"/>
      <c r="ET9" s="907"/>
      <c r="EU9" s="907"/>
      <c r="EV9" s="907"/>
      <c r="EW9" s="907"/>
      <c r="EX9" s="907"/>
      <c r="EY9" s="907"/>
      <c r="EZ9" s="907"/>
      <c r="FA9" s="907"/>
      <c r="FB9" s="907"/>
      <c r="FC9" s="907"/>
      <c r="FD9" s="907"/>
      <c r="FE9" s="907"/>
      <c r="FF9" s="907"/>
      <c r="FG9" s="907"/>
      <c r="FH9" s="907"/>
      <c r="FI9" s="907"/>
      <c r="FJ9" s="907"/>
      <c r="FK9" s="907"/>
      <c r="FL9" s="907"/>
      <c r="FM9" s="907"/>
      <c r="FN9" s="907"/>
      <c r="FO9" s="907"/>
      <c r="FP9" s="907"/>
      <c r="FQ9" s="907"/>
      <c r="FR9" s="907"/>
      <c r="FS9" s="907"/>
      <c r="FT9" s="907"/>
      <c r="FU9" s="907"/>
      <c r="FV9" s="907"/>
      <c r="FW9" s="907"/>
      <c r="FX9" s="907"/>
      <c r="FY9" s="907"/>
      <c r="FZ9" s="907"/>
      <c r="GA9" s="907"/>
      <c r="GB9" s="907"/>
      <c r="GC9" s="907"/>
      <c r="GD9" s="907"/>
      <c r="GE9" s="907"/>
      <c r="GF9" s="907"/>
      <c r="GG9" s="907"/>
      <c r="GH9" s="907"/>
      <c r="GI9" s="907"/>
      <c r="GJ9" s="907"/>
      <c r="GK9" s="907"/>
      <c r="GL9" s="907"/>
      <c r="GM9" s="907"/>
      <c r="GN9" s="907"/>
      <c r="GO9" s="907"/>
      <c r="GP9" s="907"/>
      <c r="GQ9" s="907"/>
      <c r="GR9" s="907"/>
      <c r="GS9" s="907"/>
      <c r="GT9" s="907"/>
      <c r="GU9" s="907"/>
      <c r="GV9" s="907"/>
      <c r="GW9" s="907"/>
      <c r="GX9" s="907"/>
      <c r="GY9" s="907"/>
      <c r="GZ9" s="907"/>
      <c r="HA9" s="907"/>
      <c r="HB9" s="907"/>
      <c r="HC9" s="907"/>
      <c r="HD9" s="907"/>
      <c r="HE9" s="907"/>
      <c r="HF9" s="907"/>
      <c r="HG9" s="907"/>
      <c r="HH9" s="907"/>
      <c r="HI9" s="907"/>
      <c r="HJ9" s="907"/>
      <c r="HK9" s="907"/>
      <c r="HL9" s="907"/>
      <c r="HM9" s="907"/>
      <c r="HN9" s="907"/>
      <c r="HO9" s="907"/>
      <c r="HP9" s="907"/>
      <c r="HQ9" s="907"/>
      <c r="HR9" s="907"/>
      <c r="HS9" s="907"/>
      <c r="HT9" s="907"/>
      <c r="HU9" s="907"/>
      <c r="HV9" s="907"/>
      <c r="HW9" s="907"/>
      <c r="HX9" s="907"/>
      <c r="HY9" s="907"/>
      <c r="HZ9" s="907"/>
      <c r="IA9" s="907"/>
      <c r="IB9" s="907"/>
      <c r="IC9" s="907"/>
      <c r="ID9" s="907"/>
      <c r="IE9" s="907"/>
      <c r="IF9" s="907"/>
      <c r="IG9" s="907"/>
      <c r="IH9" s="907"/>
      <c r="II9" s="907"/>
      <c r="IJ9" s="907"/>
      <c r="IK9" s="907"/>
      <c r="IL9" s="907"/>
      <c r="IM9" s="907"/>
      <c r="IN9" s="907"/>
      <c r="IO9" s="907"/>
      <c r="IP9" s="907"/>
    </row>
    <row r="10" spans="1:250" ht="12">
      <c r="A10" s="919" t="s">
        <v>289</v>
      </c>
      <c r="C10" s="905"/>
      <c r="D10" s="920" t="s">
        <v>80</v>
      </c>
      <c r="E10" s="914"/>
      <c r="F10" s="914"/>
      <c r="G10" s="914"/>
      <c r="H10" s="914"/>
      <c r="I10" s="914"/>
      <c r="J10" s="914"/>
      <c r="K10" s="914"/>
      <c r="L10" s="914"/>
      <c r="M10" s="914"/>
      <c r="N10" s="914"/>
      <c r="O10" s="914"/>
      <c r="P10" s="914"/>
      <c r="Q10" s="914"/>
      <c r="R10" s="921" t="s">
        <v>174</v>
      </c>
      <c r="Y10" s="907"/>
      <c r="Z10" s="907"/>
      <c r="AA10" s="907"/>
      <c r="AB10" s="907"/>
      <c r="AC10" s="907"/>
      <c r="AD10" s="907"/>
      <c r="AE10" s="907"/>
      <c r="AF10" s="907"/>
      <c r="AG10" s="907"/>
      <c r="AH10" s="907"/>
      <c r="AI10" s="907"/>
      <c r="AJ10" s="907"/>
      <c r="AK10" s="907"/>
      <c r="AL10" s="907"/>
      <c r="AM10" s="907"/>
      <c r="AN10" s="907"/>
      <c r="AO10" s="907"/>
      <c r="AP10" s="907"/>
      <c r="AQ10" s="907"/>
      <c r="AR10" s="907"/>
      <c r="AS10" s="907"/>
      <c r="AT10" s="907"/>
      <c r="AU10" s="907"/>
      <c r="AV10" s="907"/>
      <c r="AW10" s="907"/>
      <c r="AX10" s="907"/>
      <c r="AY10" s="907"/>
      <c r="AZ10" s="907"/>
      <c r="BA10" s="907"/>
      <c r="BB10" s="907"/>
      <c r="BC10" s="907"/>
      <c r="BD10" s="907"/>
      <c r="BE10" s="907"/>
      <c r="BF10" s="907"/>
      <c r="BG10" s="907"/>
      <c r="BH10" s="907"/>
      <c r="BI10" s="907"/>
      <c r="BJ10" s="907"/>
      <c r="BK10" s="907"/>
      <c r="BL10" s="907"/>
      <c r="BM10" s="907"/>
      <c r="BN10" s="907"/>
      <c r="BO10" s="907"/>
      <c r="BP10" s="907"/>
      <c r="BQ10" s="907"/>
      <c r="BR10" s="907"/>
      <c r="BS10" s="907"/>
      <c r="BT10" s="907"/>
      <c r="BU10" s="907"/>
      <c r="BV10" s="907"/>
      <c r="BW10" s="907"/>
      <c r="BX10" s="907"/>
      <c r="BY10" s="907"/>
      <c r="BZ10" s="907"/>
      <c r="CA10" s="907"/>
      <c r="CB10" s="907"/>
      <c r="CC10" s="907"/>
      <c r="CD10" s="907"/>
      <c r="CE10" s="907"/>
      <c r="CF10" s="907"/>
      <c r="CG10" s="907"/>
      <c r="CH10" s="907"/>
      <c r="CI10" s="907"/>
      <c r="CJ10" s="907"/>
      <c r="CK10" s="907"/>
      <c r="CL10" s="907"/>
      <c r="CM10" s="907"/>
      <c r="CN10" s="907"/>
      <c r="CO10" s="907"/>
      <c r="CP10" s="907"/>
      <c r="CQ10" s="907"/>
      <c r="CR10" s="907"/>
      <c r="CS10" s="907"/>
      <c r="CT10" s="907"/>
      <c r="CU10" s="907"/>
      <c r="CV10" s="907"/>
      <c r="CW10" s="907"/>
      <c r="CX10" s="907"/>
      <c r="CY10" s="907"/>
      <c r="CZ10" s="907"/>
      <c r="DA10" s="907"/>
      <c r="DB10" s="907"/>
      <c r="DC10" s="907"/>
      <c r="DD10" s="907"/>
      <c r="DE10" s="907"/>
      <c r="DF10" s="907"/>
      <c r="DG10" s="907"/>
      <c r="DH10" s="907"/>
      <c r="DI10" s="907"/>
      <c r="DJ10" s="907"/>
      <c r="DK10" s="907"/>
      <c r="DL10" s="907"/>
      <c r="DM10" s="907"/>
      <c r="DN10" s="907"/>
      <c r="DO10" s="907"/>
      <c r="DP10" s="907"/>
      <c r="DQ10" s="907"/>
      <c r="DR10" s="907"/>
      <c r="DS10" s="907"/>
      <c r="DT10" s="907"/>
      <c r="DU10" s="907"/>
      <c r="DV10" s="907"/>
      <c r="DW10" s="907"/>
      <c r="DX10" s="907"/>
      <c r="DY10" s="907"/>
      <c r="DZ10" s="907"/>
      <c r="EA10" s="907"/>
      <c r="EB10" s="907"/>
      <c r="EC10" s="907"/>
      <c r="ED10" s="907"/>
      <c r="EE10" s="907"/>
      <c r="EF10" s="907"/>
      <c r="EG10" s="907"/>
      <c r="EH10" s="907"/>
      <c r="EI10" s="907"/>
      <c r="EJ10" s="907"/>
      <c r="EK10" s="907"/>
      <c r="EL10" s="907"/>
      <c r="EM10" s="907"/>
      <c r="EN10" s="907"/>
      <c r="EO10" s="907"/>
      <c r="EP10" s="907"/>
      <c r="EQ10" s="907"/>
      <c r="ER10" s="907"/>
      <c r="ES10" s="907"/>
      <c r="ET10" s="907"/>
      <c r="EU10" s="907"/>
      <c r="EV10" s="907"/>
      <c r="EW10" s="907"/>
      <c r="EX10" s="907"/>
      <c r="EY10" s="907"/>
      <c r="EZ10" s="907"/>
      <c r="FA10" s="907"/>
      <c r="FB10" s="907"/>
      <c r="FC10" s="907"/>
      <c r="FD10" s="907"/>
      <c r="FE10" s="907"/>
      <c r="FF10" s="907"/>
      <c r="FG10" s="907"/>
      <c r="FH10" s="907"/>
      <c r="FI10" s="907"/>
      <c r="FJ10" s="907"/>
      <c r="FK10" s="907"/>
      <c r="FL10" s="907"/>
      <c r="FM10" s="907"/>
      <c r="FN10" s="907"/>
      <c r="FO10" s="907"/>
      <c r="FP10" s="907"/>
      <c r="FQ10" s="907"/>
      <c r="FR10" s="907"/>
      <c r="FS10" s="907"/>
      <c r="FT10" s="907"/>
      <c r="FU10" s="907"/>
      <c r="FV10" s="907"/>
      <c r="FW10" s="907"/>
      <c r="FX10" s="907"/>
      <c r="FY10" s="907"/>
      <c r="FZ10" s="907"/>
      <c r="GA10" s="907"/>
      <c r="GB10" s="907"/>
      <c r="GC10" s="907"/>
      <c r="GD10" s="907"/>
      <c r="GE10" s="907"/>
      <c r="GF10" s="907"/>
      <c r="GG10" s="907"/>
      <c r="GH10" s="907"/>
      <c r="GI10" s="907"/>
      <c r="GJ10" s="907"/>
      <c r="GK10" s="907"/>
      <c r="GL10" s="907"/>
      <c r="GM10" s="907"/>
      <c r="GN10" s="907"/>
      <c r="GO10" s="907"/>
      <c r="GP10" s="907"/>
      <c r="GQ10" s="907"/>
      <c r="GR10" s="907"/>
      <c r="GS10" s="907"/>
      <c r="GT10" s="907"/>
      <c r="GU10" s="907"/>
      <c r="GV10" s="907"/>
      <c r="GW10" s="907"/>
      <c r="GX10" s="907"/>
      <c r="GY10" s="907"/>
      <c r="GZ10" s="907"/>
      <c r="HA10" s="907"/>
      <c r="HB10" s="907"/>
      <c r="HC10" s="907"/>
      <c r="HD10" s="907"/>
      <c r="HE10" s="907"/>
      <c r="HF10" s="907"/>
      <c r="HG10" s="907"/>
      <c r="HH10" s="907"/>
      <c r="HI10" s="907"/>
      <c r="HJ10" s="907"/>
      <c r="HK10" s="907"/>
      <c r="HL10" s="907"/>
      <c r="HM10" s="907"/>
      <c r="HN10" s="907"/>
      <c r="HO10" s="907"/>
      <c r="HP10" s="907"/>
      <c r="HQ10" s="907"/>
      <c r="HR10" s="907"/>
      <c r="HS10" s="907"/>
      <c r="HT10" s="907"/>
      <c r="HU10" s="907"/>
      <c r="HV10" s="907"/>
      <c r="HW10" s="907"/>
      <c r="HX10" s="907"/>
      <c r="HY10" s="907"/>
      <c r="HZ10" s="907"/>
      <c r="IA10" s="907"/>
      <c r="IB10" s="907"/>
      <c r="IC10" s="907"/>
      <c r="ID10" s="907"/>
      <c r="IE10" s="907"/>
      <c r="IF10" s="907"/>
      <c r="IG10" s="907"/>
      <c r="IH10" s="907"/>
      <c r="II10" s="907"/>
      <c r="IJ10" s="907"/>
      <c r="IK10" s="907"/>
      <c r="IL10" s="907"/>
      <c r="IM10" s="907"/>
      <c r="IN10" s="907"/>
      <c r="IO10" s="907"/>
      <c r="IP10" s="907"/>
    </row>
    <row r="11" spans="1:250" thickBot="1">
      <c r="A11" s="922" t="s">
        <v>351</v>
      </c>
      <c r="B11" s="161" t="s">
        <v>94</v>
      </c>
      <c r="C11" s="923"/>
      <c r="D11" s="160">
        <v>43448</v>
      </c>
      <c r="E11" s="877">
        <v>43466</v>
      </c>
      <c r="F11" s="877">
        <v>43497</v>
      </c>
      <c r="G11" s="877">
        <v>43525</v>
      </c>
      <c r="H11" s="877">
        <v>43556</v>
      </c>
      <c r="I11" s="877">
        <v>43586</v>
      </c>
      <c r="J11" s="877">
        <v>43617</v>
      </c>
      <c r="K11" s="877">
        <v>43647</v>
      </c>
      <c r="L11" s="877">
        <v>43678</v>
      </c>
      <c r="M11" s="877">
        <v>43709</v>
      </c>
      <c r="N11" s="877">
        <v>43739</v>
      </c>
      <c r="O11" s="877">
        <v>43770</v>
      </c>
      <c r="P11" s="877">
        <v>43800</v>
      </c>
      <c r="Q11" s="877"/>
      <c r="R11" s="159" t="s">
        <v>136</v>
      </c>
      <c r="Y11" s="907"/>
      <c r="Z11" s="907"/>
      <c r="AA11" s="907"/>
      <c r="AB11" s="907"/>
      <c r="AC11" s="907"/>
      <c r="AD11" s="907"/>
      <c r="AE11" s="907"/>
      <c r="AF11" s="907"/>
      <c r="AG11" s="907"/>
      <c r="AH11" s="907"/>
      <c r="AI11" s="907"/>
      <c r="AJ11" s="907"/>
      <c r="AK11" s="907"/>
      <c r="AL11" s="907"/>
      <c r="AM11" s="907"/>
      <c r="AN11" s="907"/>
      <c r="AO11" s="907"/>
      <c r="AP11" s="907"/>
      <c r="AQ11" s="907"/>
      <c r="AR11" s="907"/>
      <c r="AS11" s="907"/>
      <c r="AT11" s="907"/>
      <c r="AU11" s="907"/>
      <c r="AV11" s="907"/>
      <c r="AW11" s="907"/>
      <c r="AX11" s="907"/>
      <c r="AY11" s="907"/>
      <c r="AZ11" s="907"/>
      <c r="BA11" s="907"/>
      <c r="BB11" s="907"/>
      <c r="BC11" s="907"/>
      <c r="BD11" s="907"/>
      <c r="BE11" s="907"/>
      <c r="BF11" s="907"/>
      <c r="BG11" s="907"/>
      <c r="BH11" s="907"/>
      <c r="BI11" s="907"/>
      <c r="BJ11" s="907"/>
      <c r="BK11" s="907"/>
      <c r="BL11" s="907"/>
      <c r="BM11" s="907"/>
      <c r="BN11" s="907"/>
      <c r="BO11" s="907"/>
      <c r="BP11" s="907"/>
      <c r="BQ11" s="907"/>
      <c r="BR11" s="907"/>
      <c r="BS11" s="907"/>
      <c r="BT11" s="907"/>
      <c r="BU11" s="907"/>
      <c r="BV11" s="907"/>
      <c r="BW11" s="907"/>
      <c r="BX11" s="907"/>
      <c r="BY11" s="907"/>
      <c r="BZ11" s="907"/>
      <c r="CA11" s="907"/>
      <c r="CB11" s="907"/>
      <c r="CC11" s="907"/>
      <c r="CD11" s="907"/>
      <c r="CE11" s="907"/>
      <c r="CF11" s="907"/>
      <c r="CG11" s="907"/>
      <c r="CH11" s="907"/>
      <c r="CI11" s="907"/>
      <c r="CJ11" s="907"/>
      <c r="CK11" s="907"/>
      <c r="CL11" s="907"/>
      <c r="CM11" s="907"/>
      <c r="CN11" s="907"/>
      <c r="CO11" s="907"/>
      <c r="CP11" s="907"/>
      <c r="CQ11" s="907"/>
      <c r="CR11" s="907"/>
      <c r="CS11" s="907"/>
      <c r="CT11" s="907"/>
      <c r="CU11" s="907"/>
      <c r="CV11" s="907"/>
      <c r="CW11" s="907"/>
      <c r="CX11" s="907"/>
      <c r="CY11" s="907"/>
      <c r="CZ11" s="907"/>
      <c r="DA11" s="907"/>
      <c r="DB11" s="907"/>
      <c r="DC11" s="907"/>
      <c r="DD11" s="907"/>
      <c r="DE11" s="907"/>
      <c r="DF11" s="907"/>
      <c r="DG11" s="907"/>
      <c r="DH11" s="907"/>
      <c r="DI11" s="907"/>
      <c r="DJ11" s="907"/>
      <c r="DK11" s="907"/>
      <c r="DL11" s="907"/>
      <c r="DM11" s="907"/>
      <c r="DN11" s="907"/>
      <c r="DO11" s="907"/>
      <c r="DP11" s="907"/>
      <c r="DQ11" s="907"/>
      <c r="DR11" s="907"/>
      <c r="DS11" s="907"/>
      <c r="DT11" s="907"/>
      <c r="DU11" s="907"/>
      <c r="DV11" s="907"/>
      <c r="DW11" s="907"/>
      <c r="DX11" s="907"/>
      <c r="DY11" s="907"/>
      <c r="DZ11" s="907"/>
      <c r="EA11" s="907"/>
      <c r="EB11" s="907"/>
      <c r="EC11" s="907"/>
      <c r="ED11" s="907"/>
      <c r="EE11" s="907"/>
      <c r="EF11" s="907"/>
      <c r="EG11" s="907"/>
      <c r="EH11" s="907"/>
      <c r="EI11" s="907"/>
      <c r="EJ11" s="907"/>
      <c r="EK11" s="907"/>
      <c r="EL11" s="907"/>
      <c r="EM11" s="907"/>
      <c r="EN11" s="907"/>
      <c r="EO11" s="907"/>
      <c r="EP11" s="907"/>
      <c r="EQ11" s="907"/>
      <c r="ER11" s="907"/>
      <c r="ES11" s="907"/>
      <c r="ET11" s="907"/>
      <c r="EU11" s="907"/>
      <c r="EV11" s="907"/>
      <c r="EW11" s="907"/>
      <c r="EX11" s="907"/>
      <c r="EY11" s="907"/>
      <c r="EZ11" s="907"/>
      <c r="FA11" s="907"/>
      <c r="FB11" s="907"/>
      <c r="FC11" s="907"/>
      <c r="FD11" s="907"/>
      <c r="FE11" s="907"/>
      <c r="FF11" s="907"/>
      <c r="FG11" s="907"/>
      <c r="FH11" s="907"/>
      <c r="FI11" s="907"/>
      <c r="FJ11" s="907"/>
      <c r="FK11" s="907"/>
      <c r="FL11" s="907"/>
      <c r="FM11" s="907"/>
      <c r="FN11" s="907"/>
      <c r="FO11" s="907"/>
      <c r="FP11" s="907"/>
      <c r="FQ11" s="907"/>
      <c r="FR11" s="907"/>
      <c r="FS11" s="907"/>
      <c r="FT11" s="907"/>
      <c r="FU11" s="907"/>
      <c r="FV11" s="907"/>
      <c r="FW11" s="907"/>
      <c r="FX11" s="907"/>
      <c r="FY11" s="907"/>
      <c r="FZ11" s="907"/>
      <c r="GA11" s="907"/>
      <c r="GB11" s="907"/>
      <c r="GC11" s="907"/>
      <c r="GD11" s="907"/>
      <c r="GE11" s="907"/>
      <c r="GF11" s="907"/>
      <c r="GG11" s="907"/>
      <c r="GH11" s="907"/>
      <c r="GI11" s="907"/>
      <c r="GJ11" s="907"/>
      <c r="GK11" s="907"/>
      <c r="GL11" s="907"/>
      <c r="GM11" s="907"/>
      <c r="GN11" s="907"/>
      <c r="GO11" s="907"/>
      <c r="GP11" s="907"/>
      <c r="GQ11" s="907"/>
      <c r="GR11" s="907"/>
      <c r="GS11" s="907"/>
      <c r="GT11" s="907"/>
      <c r="GU11" s="907"/>
      <c r="GV11" s="907"/>
      <c r="GW11" s="907"/>
      <c r="GX11" s="907"/>
      <c r="GY11" s="907"/>
      <c r="GZ11" s="907"/>
      <c r="HA11" s="907"/>
      <c r="HB11" s="907"/>
      <c r="HC11" s="907"/>
      <c r="HD11" s="907"/>
      <c r="HE11" s="907"/>
      <c r="HF11" s="907"/>
      <c r="HG11" s="907"/>
      <c r="HH11" s="907"/>
      <c r="HI11" s="907"/>
      <c r="HJ11" s="907"/>
      <c r="HK11" s="907"/>
      <c r="HL11" s="907"/>
      <c r="HM11" s="907"/>
      <c r="HN11" s="907"/>
      <c r="HO11" s="907"/>
      <c r="HP11" s="907"/>
      <c r="HQ11" s="907"/>
      <c r="HR11" s="907"/>
      <c r="HS11" s="907"/>
      <c r="HT11" s="907"/>
      <c r="HU11" s="907"/>
      <c r="HV11" s="907"/>
      <c r="HW11" s="907"/>
      <c r="HX11" s="907"/>
      <c r="HY11" s="907"/>
      <c r="HZ11" s="907"/>
      <c r="IA11" s="907"/>
      <c r="IB11" s="907"/>
      <c r="IC11" s="907"/>
      <c r="ID11" s="907"/>
      <c r="IE11" s="907"/>
      <c r="IF11" s="907"/>
      <c r="IG11" s="907"/>
      <c r="IH11" s="907"/>
      <c r="II11" s="907"/>
      <c r="IJ11" s="907"/>
      <c r="IK11" s="907"/>
      <c r="IL11" s="907"/>
      <c r="IM11" s="907"/>
      <c r="IN11" s="907"/>
      <c r="IO11" s="907"/>
      <c r="IP11" s="907"/>
    </row>
    <row r="12" spans="1:250" ht="12">
      <c r="A12" s="924">
        <v>1</v>
      </c>
      <c r="B12" s="905" t="s">
        <v>98</v>
      </c>
      <c r="C12" s="924"/>
      <c r="D12" s="925"/>
      <c r="E12" s="925"/>
      <c r="F12" s="925"/>
      <c r="G12" s="925"/>
      <c r="H12" s="925"/>
      <c r="I12" s="925"/>
      <c r="J12" s="926"/>
      <c r="K12" s="926"/>
      <c r="L12" s="926"/>
      <c r="M12" s="926"/>
      <c r="N12" s="926"/>
      <c r="O12" s="926"/>
      <c r="P12" s="879"/>
      <c r="Q12" s="879"/>
      <c r="R12" s="879"/>
      <c r="S12" s="927"/>
      <c r="T12" s="928"/>
      <c r="Y12" s="907"/>
      <c r="Z12" s="907"/>
      <c r="AA12" s="907"/>
      <c r="AB12" s="907"/>
      <c r="AC12" s="907"/>
      <c r="AD12" s="907"/>
      <c r="AE12" s="907"/>
      <c r="AF12" s="907"/>
      <c r="AG12" s="907"/>
      <c r="AH12" s="907"/>
      <c r="AI12" s="907"/>
      <c r="AJ12" s="907"/>
      <c r="AK12" s="907"/>
      <c r="AL12" s="907"/>
      <c r="AM12" s="907"/>
      <c r="AN12" s="907"/>
      <c r="AO12" s="907"/>
      <c r="AP12" s="907"/>
      <c r="AQ12" s="907"/>
      <c r="AR12" s="907"/>
      <c r="AS12" s="907"/>
      <c r="AT12" s="907"/>
      <c r="AU12" s="907"/>
      <c r="AV12" s="907"/>
      <c r="AW12" s="907"/>
      <c r="AX12" s="907"/>
      <c r="AY12" s="907"/>
      <c r="AZ12" s="907"/>
      <c r="BA12" s="907"/>
      <c r="BB12" s="907"/>
      <c r="BC12" s="907"/>
      <c r="BD12" s="907"/>
      <c r="BE12" s="907"/>
      <c r="BF12" s="907"/>
      <c r="BG12" s="907"/>
      <c r="BH12" s="907"/>
      <c r="BI12" s="907"/>
      <c r="BJ12" s="907"/>
      <c r="BK12" s="907"/>
      <c r="BL12" s="907"/>
      <c r="BM12" s="907"/>
      <c r="BN12" s="907"/>
      <c r="BO12" s="907"/>
      <c r="BP12" s="907"/>
      <c r="BQ12" s="907"/>
      <c r="BR12" s="907"/>
      <c r="BS12" s="907"/>
      <c r="BT12" s="907"/>
      <c r="BU12" s="907"/>
      <c r="BV12" s="907"/>
      <c r="BW12" s="907"/>
      <c r="BX12" s="907"/>
      <c r="BY12" s="907"/>
      <c r="BZ12" s="907"/>
      <c r="CA12" s="907"/>
      <c r="CB12" s="907"/>
      <c r="CC12" s="907"/>
      <c r="CD12" s="907"/>
      <c r="CE12" s="907"/>
      <c r="CF12" s="907"/>
      <c r="CG12" s="907"/>
      <c r="CH12" s="907"/>
      <c r="CI12" s="907"/>
      <c r="CJ12" s="907"/>
      <c r="CK12" s="907"/>
      <c r="CL12" s="907"/>
      <c r="CM12" s="907"/>
      <c r="CN12" s="907"/>
      <c r="CO12" s="907"/>
      <c r="CP12" s="907"/>
      <c r="CQ12" s="907"/>
      <c r="CR12" s="907"/>
      <c r="CS12" s="907"/>
      <c r="CT12" s="907"/>
      <c r="CU12" s="907"/>
      <c r="CV12" s="907"/>
      <c r="CW12" s="907"/>
      <c r="CX12" s="907"/>
      <c r="CY12" s="907"/>
      <c r="CZ12" s="907"/>
      <c r="DA12" s="907"/>
      <c r="DB12" s="907"/>
      <c r="DC12" s="907"/>
      <c r="DD12" s="907"/>
      <c r="DE12" s="907"/>
      <c r="DF12" s="907"/>
      <c r="DG12" s="907"/>
      <c r="DH12" s="907"/>
      <c r="DI12" s="907"/>
      <c r="DJ12" s="907"/>
      <c r="DK12" s="907"/>
      <c r="DL12" s="907"/>
      <c r="DM12" s="907"/>
      <c r="DN12" s="907"/>
      <c r="DO12" s="907"/>
      <c r="DP12" s="907"/>
      <c r="DQ12" s="907"/>
      <c r="DR12" s="907"/>
      <c r="DS12" s="907"/>
      <c r="DT12" s="907"/>
      <c r="DU12" s="907"/>
      <c r="DV12" s="907"/>
      <c r="DW12" s="907"/>
      <c r="DX12" s="907"/>
      <c r="DY12" s="907"/>
      <c r="DZ12" s="907"/>
      <c r="EA12" s="907"/>
      <c r="EB12" s="907"/>
      <c r="EC12" s="907"/>
      <c r="ED12" s="907"/>
      <c r="EE12" s="907"/>
      <c r="EF12" s="907"/>
      <c r="EG12" s="907"/>
      <c r="EH12" s="907"/>
      <c r="EI12" s="907"/>
      <c r="EJ12" s="907"/>
      <c r="EK12" s="907"/>
      <c r="EL12" s="907"/>
      <c r="EM12" s="907"/>
      <c r="EN12" s="907"/>
      <c r="EO12" s="907"/>
      <c r="EP12" s="907"/>
      <c r="EQ12" s="907"/>
      <c r="ER12" s="907"/>
      <c r="ES12" s="907"/>
      <c r="ET12" s="907"/>
      <c r="EU12" s="907"/>
      <c r="EV12" s="907"/>
      <c r="EW12" s="907"/>
      <c r="EX12" s="907"/>
      <c r="EY12" s="907"/>
      <c r="EZ12" s="907"/>
      <c r="FA12" s="907"/>
      <c r="FB12" s="907"/>
      <c r="FC12" s="907"/>
      <c r="FD12" s="907"/>
      <c r="FE12" s="907"/>
      <c r="FF12" s="907"/>
      <c r="FG12" s="907"/>
      <c r="FH12" s="907"/>
      <c r="FI12" s="907"/>
      <c r="FJ12" s="907"/>
      <c r="FK12" s="907"/>
      <c r="FL12" s="907"/>
      <c r="FM12" s="907"/>
      <c r="FN12" s="907"/>
      <c r="FO12" s="907"/>
      <c r="FP12" s="907"/>
      <c r="FQ12" s="907"/>
      <c r="FR12" s="907"/>
      <c r="FS12" s="907"/>
      <c r="FT12" s="907"/>
      <c r="FU12" s="907"/>
      <c r="FV12" s="907"/>
      <c r="FW12" s="907"/>
      <c r="FX12" s="907"/>
      <c r="FY12" s="907"/>
      <c r="FZ12" s="907"/>
      <c r="GA12" s="907"/>
      <c r="GB12" s="907"/>
      <c r="GC12" s="907"/>
      <c r="GD12" s="907"/>
      <c r="GE12" s="907"/>
      <c r="GF12" s="907"/>
      <c r="GG12" s="907"/>
      <c r="GH12" s="907"/>
      <c r="GI12" s="907"/>
      <c r="GJ12" s="907"/>
      <c r="GK12" s="907"/>
      <c r="GL12" s="907"/>
      <c r="GM12" s="907"/>
      <c r="GN12" s="907"/>
      <c r="GO12" s="907"/>
      <c r="GP12" s="907"/>
      <c r="GQ12" s="907"/>
      <c r="GR12" s="907"/>
      <c r="GS12" s="907"/>
      <c r="GT12" s="907"/>
      <c r="GU12" s="907"/>
      <c r="GV12" s="907"/>
      <c r="GW12" s="907"/>
      <c r="GX12" s="907"/>
      <c r="GY12" s="907"/>
      <c r="GZ12" s="907"/>
      <c r="HA12" s="907"/>
      <c r="HB12" s="907"/>
      <c r="HC12" s="907"/>
      <c r="HD12" s="907"/>
      <c r="HE12" s="907"/>
      <c r="HF12" s="907"/>
      <c r="HG12" s="907"/>
      <c r="HH12" s="907"/>
      <c r="HI12" s="907"/>
      <c r="HJ12" s="907"/>
      <c r="HK12" s="907"/>
      <c r="HL12" s="907"/>
      <c r="HM12" s="907"/>
      <c r="HN12" s="907"/>
      <c r="HO12" s="907"/>
      <c r="HP12" s="907"/>
      <c r="HQ12" s="907"/>
      <c r="HR12" s="907"/>
      <c r="HS12" s="907"/>
      <c r="HT12" s="907"/>
      <c r="HU12" s="907"/>
      <c r="HV12" s="907"/>
      <c r="HW12" s="907"/>
      <c r="HX12" s="907"/>
      <c r="HY12" s="907"/>
      <c r="HZ12" s="907"/>
      <c r="IA12" s="907"/>
      <c r="IB12" s="907"/>
      <c r="IC12" s="907"/>
      <c r="ID12" s="907"/>
      <c r="IE12" s="907"/>
      <c r="IF12" s="907"/>
      <c r="IG12" s="907"/>
      <c r="IH12" s="907"/>
      <c r="II12" s="907"/>
      <c r="IJ12" s="907"/>
      <c r="IK12" s="907"/>
      <c r="IL12" s="907"/>
      <c r="IM12" s="907"/>
      <c r="IN12" s="907"/>
      <c r="IO12" s="907"/>
      <c r="IP12" s="907"/>
    </row>
    <row r="13" spans="1:250" ht="12">
      <c r="A13" s="924">
        <f t="shared" ref="A13:A18" si="0">A12+1</f>
        <v>2</v>
      </c>
      <c r="B13" s="907" t="s">
        <v>129</v>
      </c>
      <c r="D13" s="158">
        <v>98683</v>
      </c>
      <c r="E13" s="158">
        <v>98683</v>
      </c>
      <c r="F13" s="158">
        <v>98683</v>
      </c>
      <c r="G13" s="158">
        <v>98683</v>
      </c>
      <c r="H13" s="158">
        <v>98683</v>
      </c>
      <c r="I13" s="158">
        <v>98683</v>
      </c>
      <c r="J13" s="158">
        <v>98683</v>
      </c>
      <c r="K13" s="158">
        <v>98683</v>
      </c>
      <c r="L13" s="158">
        <v>98683</v>
      </c>
      <c r="M13" s="158">
        <v>98683</v>
      </c>
      <c r="N13" s="158">
        <v>98683</v>
      </c>
      <c r="O13" s="158">
        <v>98683</v>
      </c>
      <c r="P13" s="158">
        <v>98683</v>
      </c>
      <c r="Q13" s="158"/>
      <c r="R13" s="155">
        <f>ROUND(SUM(D13:P13)/13,0)</f>
        <v>98683</v>
      </c>
      <c r="S13" s="927">
        <f>+R13-D13</f>
        <v>0</v>
      </c>
      <c r="T13" s="929"/>
      <c r="Y13" s="907"/>
      <c r="Z13" s="907"/>
      <c r="AA13" s="907"/>
      <c r="AB13" s="907"/>
      <c r="AC13" s="907"/>
      <c r="AD13" s="907"/>
      <c r="AE13" s="907"/>
      <c r="AF13" s="907"/>
      <c r="AG13" s="907"/>
      <c r="AH13" s="907"/>
      <c r="AI13" s="907"/>
      <c r="AJ13" s="907"/>
      <c r="AK13" s="907"/>
      <c r="AL13" s="907"/>
      <c r="AM13" s="907"/>
      <c r="AN13" s="907"/>
      <c r="AO13" s="907"/>
      <c r="AP13" s="907"/>
      <c r="AQ13" s="907"/>
      <c r="AR13" s="907"/>
      <c r="AS13" s="907"/>
      <c r="AT13" s="907"/>
      <c r="AU13" s="907"/>
      <c r="AV13" s="907"/>
      <c r="AW13" s="907"/>
      <c r="AX13" s="907"/>
      <c r="AY13" s="907"/>
      <c r="AZ13" s="907"/>
      <c r="BA13" s="907"/>
      <c r="BB13" s="907"/>
      <c r="BC13" s="907"/>
      <c r="BD13" s="907"/>
      <c r="BE13" s="907"/>
      <c r="BF13" s="907"/>
      <c r="BG13" s="907"/>
      <c r="BH13" s="907"/>
      <c r="BI13" s="907"/>
      <c r="BJ13" s="907"/>
      <c r="BK13" s="907"/>
      <c r="BL13" s="907"/>
      <c r="BM13" s="907"/>
      <c r="BN13" s="907"/>
      <c r="BO13" s="907"/>
      <c r="BP13" s="907"/>
      <c r="BQ13" s="907"/>
      <c r="BR13" s="907"/>
      <c r="BS13" s="907"/>
      <c r="BT13" s="907"/>
      <c r="BU13" s="907"/>
      <c r="BV13" s="907"/>
      <c r="BW13" s="907"/>
      <c r="BX13" s="907"/>
      <c r="BY13" s="907"/>
      <c r="BZ13" s="907"/>
      <c r="CA13" s="907"/>
      <c r="CB13" s="907"/>
      <c r="CC13" s="907"/>
      <c r="CD13" s="907"/>
      <c r="CE13" s="907"/>
      <c r="CF13" s="907"/>
      <c r="CG13" s="907"/>
      <c r="CH13" s="907"/>
      <c r="CI13" s="907"/>
      <c r="CJ13" s="907"/>
      <c r="CK13" s="907"/>
      <c r="CL13" s="907"/>
      <c r="CM13" s="907"/>
      <c r="CN13" s="907"/>
      <c r="CO13" s="907"/>
      <c r="CP13" s="907"/>
      <c r="CQ13" s="907"/>
      <c r="CR13" s="907"/>
      <c r="CS13" s="907"/>
      <c r="CT13" s="907"/>
      <c r="CU13" s="907"/>
      <c r="CV13" s="907"/>
      <c r="CW13" s="907"/>
      <c r="CX13" s="907"/>
      <c r="CY13" s="907"/>
      <c r="CZ13" s="907"/>
      <c r="DA13" s="907"/>
      <c r="DB13" s="907"/>
      <c r="DC13" s="907"/>
      <c r="DD13" s="907"/>
      <c r="DE13" s="907"/>
      <c r="DF13" s="907"/>
      <c r="DG13" s="907"/>
      <c r="DH13" s="907"/>
      <c r="DI13" s="907"/>
      <c r="DJ13" s="907"/>
      <c r="DK13" s="907"/>
      <c r="DL13" s="907"/>
      <c r="DM13" s="907"/>
      <c r="DN13" s="907"/>
      <c r="DO13" s="907"/>
      <c r="DP13" s="907"/>
      <c r="DQ13" s="907"/>
      <c r="DR13" s="907"/>
      <c r="DS13" s="907"/>
      <c r="DT13" s="907"/>
      <c r="DU13" s="907"/>
      <c r="DV13" s="907"/>
      <c r="DW13" s="907"/>
      <c r="DX13" s="907"/>
      <c r="DY13" s="907"/>
      <c r="DZ13" s="907"/>
      <c r="EA13" s="907"/>
      <c r="EB13" s="907"/>
      <c r="EC13" s="907"/>
      <c r="ED13" s="907"/>
      <c r="EE13" s="907"/>
      <c r="EF13" s="907"/>
      <c r="EG13" s="907"/>
      <c r="EH13" s="907"/>
      <c r="EI13" s="907"/>
      <c r="EJ13" s="907"/>
      <c r="EK13" s="907"/>
      <c r="EL13" s="907"/>
      <c r="EM13" s="907"/>
      <c r="EN13" s="907"/>
      <c r="EO13" s="907"/>
      <c r="EP13" s="907"/>
      <c r="EQ13" s="907"/>
      <c r="ER13" s="907"/>
      <c r="ES13" s="907"/>
      <c r="ET13" s="907"/>
      <c r="EU13" s="907"/>
      <c r="EV13" s="907"/>
      <c r="EW13" s="907"/>
      <c r="EX13" s="907"/>
      <c r="EY13" s="907"/>
      <c r="EZ13" s="907"/>
      <c r="FA13" s="907"/>
      <c r="FB13" s="907"/>
      <c r="FC13" s="907"/>
      <c r="FD13" s="907"/>
      <c r="FE13" s="907"/>
      <c r="FF13" s="907"/>
      <c r="FG13" s="907"/>
      <c r="FH13" s="907"/>
      <c r="FI13" s="907"/>
      <c r="FJ13" s="907"/>
      <c r="FK13" s="907"/>
      <c r="FL13" s="907"/>
      <c r="FM13" s="907"/>
      <c r="FN13" s="907"/>
      <c r="FO13" s="907"/>
      <c r="FP13" s="907"/>
      <c r="FQ13" s="907"/>
      <c r="FR13" s="907"/>
      <c r="FS13" s="907"/>
      <c r="FT13" s="907"/>
      <c r="FU13" s="907"/>
      <c r="FV13" s="907"/>
      <c r="FW13" s="907"/>
      <c r="FX13" s="907"/>
      <c r="FY13" s="907"/>
      <c r="FZ13" s="907"/>
      <c r="GA13" s="907"/>
      <c r="GB13" s="907"/>
      <c r="GC13" s="907"/>
      <c r="GD13" s="907"/>
      <c r="GE13" s="907"/>
      <c r="GF13" s="907"/>
      <c r="GG13" s="907"/>
      <c r="GH13" s="907"/>
      <c r="GI13" s="907"/>
      <c r="GJ13" s="907"/>
      <c r="GK13" s="907"/>
      <c r="GL13" s="907"/>
      <c r="GM13" s="907"/>
      <c r="GN13" s="907"/>
      <c r="GO13" s="907"/>
      <c r="GP13" s="907"/>
      <c r="GQ13" s="907"/>
      <c r="GR13" s="907"/>
      <c r="GS13" s="907"/>
      <c r="GT13" s="907"/>
      <c r="GU13" s="907"/>
      <c r="GV13" s="907"/>
      <c r="GW13" s="907"/>
      <c r="GX13" s="907"/>
      <c r="GY13" s="907"/>
      <c r="GZ13" s="907"/>
      <c r="HA13" s="907"/>
      <c r="HB13" s="907"/>
      <c r="HC13" s="907"/>
      <c r="HD13" s="907"/>
      <c r="HE13" s="907"/>
      <c r="HF13" s="907"/>
      <c r="HG13" s="907"/>
      <c r="HH13" s="907"/>
      <c r="HI13" s="907"/>
      <c r="HJ13" s="907"/>
      <c r="HK13" s="907"/>
      <c r="HL13" s="907"/>
      <c r="HM13" s="907"/>
      <c r="HN13" s="907"/>
      <c r="HO13" s="907"/>
      <c r="HP13" s="907"/>
      <c r="HQ13" s="907"/>
      <c r="HR13" s="907"/>
      <c r="HS13" s="907"/>
      <c r="HT13" s="907"/>
      <c r="HU13" s="907"/>
      <c r="HV13" s="907"/>
      <c r="HW13" s="907"/>
      <c r="HX13" s="907"/>
      <c r="HY13" s="907"/>
      <c r="HZ13" s="907"/>
      <c r="IA13" s="907"/>
      <c r="IB13" s="907"/>
      <c r="IC13" s="907"/>
      <c r="ID13" s="907"/>
      <c r="IE13" s="907"/>
      <c r="IF13" s="907"/>
      <c r="IG13" s="907"/>
      <c r="IH13" s="907"/>
      <c r="II13" s="907"/>
      <c r="IJ13" s="907"/>
      <c r="IK13" s="907"/>
      <c r="IL13" s="907"/>
      <c r="IM13" s="907"/>
      <c r="IN13" s="907"/>
      <c r="IO13" s="907"/>
      <c r="IP13" s="907"/>
    </row>
    <row r="14" spans="1:250" ht="12">
      <c r="A14" s="924">
        <f t="shared" si="0"/>
        <v>3</v>
      </c>
      <c r="B14" s="907" t="s">
        <v>130</v>
      </c>
      <c r="D14" s="158">
        <v>232782</v>
      </c>
      <c r="E14" s="158">
        <v>232782</v>
      </c>
      <c r="F14" s="158">
        <v>232782</v>
      </c>
      <c r="G14" s="158">
        <v>232782</v>
      </c>
      <c r="H14" s="158">
        <v>232782</v>
      </c>
      <c r="I14" s="158">
        <v>232782</v>
      </c>
      <c r="J14" s="158">
        <v>232782</v>
      </c>
      <c r="K14" s="158">
        <v>232782</v>
      </c>
      <c r="L14" s="158">
        <v>232782</v>
      </c>
      <c r="M14" s="158">
        <v>232782</v>
      </c>
      <c r="N14" s="158">
        <v>232782</v>
      </c>
      <c r="O14" s="158">
        <v>232782</v>
      </c>
      <c r="P14" s="158">
        <v>232782</v>
      </c>
      <c r="Q14" s="158"/>
      <c r="R14" s="155">
        <f>ROUND(SUM(D14:P14)/13,0)</f>
        <v>232782</v>
      </c>
      <c r="S14" s="927">
        <f>+R14-D14</f>
        <v>0</v>
      </c>
      <c r="T14" s="929"/>
      <c r="Y14" s="907"/>
      <c r="Z14" s="907"/>
      <c r="AA14" s="907"/>
      <c r="AB14" s="907"/>
      <c r="AC14" s="907"/>
      <c r="AD14" s="907"/>
      <c r="AE14" s="907"/>
      <c r="AF14" s="907"/>
      <c r="AG14" s="907"/>
      <c r="AH14" s="907"/>
      <c r="AI14" s="907"/>
      <c r="AJ14" s="907"/>
      <c r="AK14" s="907"/>
      <c r="AL14" s="907"/>
      <c r="AM14" s="907"/>
      <c r="AN14" s="907"/>
      <c r="AO14" s="907"/>
      <c r="AP14" s="907"/>
      <c r="AQ14" s="907"/>
      <c r="AR14" s="907"/>
      <c r="AS14" s="907"/>
      <c r="AT14" s="907"/>
      <c r="AU14" s="907"/>
      <c r="AV14" s="907"/>
      <c r="AW14" s="907"/>
      <c r="AX14" s="907"/>
      <c r="AY14" s="907"/>
      <c r="AZ14" s="907"/>
      <c r="BA14" s="907"/>
      <c r="BB14" s="907"/>
      <c r="BC14" s="907"/>
      <c r="BD14" s="907"/>
      <c r="BE14" s="907"/>
      <c r="BF14" s="907"/>
      <c r="BG14" s="907"/>
      <c r="BH14" s="907"/>
      <c r="BI14" s="907"/>
      <c r="BJ14" s="907"/>
      <c r="BK14" s="907"/>
      <c r="BL14" s="907"/>
      <c r="BM14" s="907"/>
      <c r="BN14" s="907"/>
      <c r="BO14" s="907"/>
      <c r="BP14" s="907"/>
      <c r="BQ14" s="907"/>
      <c r="BR14" s="907"/>
      <c r="BS14" s="907"/>
      <c r="BT14" s="907"/>
      <c r="BU14" s="907"/>
      <c r="BV14" s="907"/>
      <c r="BW14" s="907"/>
      <c r="BX14" s="907"/>
      <c r="BY14" s="907"/>
      <c r="BZ14" s="907"/>
      <c r="CA14" s="907"/>
      <c r="CB14" s="907"/>
      <c r="CC14" s="907"/>
      <c r="CD14" s="907"/>
      <c r="CE14" s="907"/>
      <c r="CF14" s="907"/>
      <c r="CG14" s="907"/>
      <c r="CH14" s="907"/>
      <c r="CI14" s="907"/>
      <c r="CJ14" s="907"/>
      <c r="CK14" s="907"/>
      <c r="CL14" s="907"/>
      <c r="CM14" s="907"/>
      <c r="CN14" s="907"/>
      <c r="CO14" s="907"/>
      <c r="CP14" s="907"/>
      <c r="CQ14" s="907"/>
      <c r="CR14" s="907"/>
      <c r="CS14" s="907"/>
      <c r="CT14" s="907"/>
      <c r="CU14" s="907"/>
      <c r="CV14" s="907"/>
      <c r="CW14" s="907"/>
      <c r="CX14" s="907"/>
      <c r="CY14" s="907"/>
      <c r="CZ14" s="907"/>
      <c r="DA14" s="907"/>
      <c r="DB14" s="907"/>
      <c r="DC14" s="907"/>
      <c r="DD14" s="907"/>
      <c r="DE14" s="907"/>
      <c r="DF14" s="907"/>
      <c r="DG14" s="907"/>
      <c r="DH14" s="907"/>
      <c r="DI14" s="907"/>
      <c r="DJ14" s="907"/>
      <c r="DK14" s="907"/>
      <c r="DL14" s="907"/>
      <c r="DM14" s="907"/>
      <c r="DN14" s="907"/>
      <c r="DO14" s="907"/>
      <c r="DP14" s="907"/>
      <c r="DQ14" s="907"/>
      <c r="DR14" s="907"/>
      <c r="DS14" s="907"/>
      <c r="DT14" s="907"/>
      <c r="DU14" s="907"/>
      <c r="DV14" s="907"/>
      <c r="DW14" s="907"/>
      <c r="DX14" s="907"/>
      <c r="DY14" s="907"/>
      <c r="DZ14" s="907"/>
      <c r="EA14" s="907"/>
      <c r="EB14" s="907"/>
      <c r="EC14" s="907"/>
      <c r="ED14" s="907"/>
      <c r="EE14" s="907"/>
      <c r="EF14" s="907"/>
      <c r="EG14" s="907"/>
      <c r="EH14" s="907"/>
      <c r="EI14" s="907"/>
      <c r="EJ14" s="907"/>
      <c r="EK14" s="907"/>
      <c r="EL14" s="907"/>
      <c r="EM14" s="907"/>
      <c r="EN14" s="907"/>
      <c r="EO14" s="907"/>
      <c r="EP14" s="907"/>
      <c r="EQ14" s="907"/>
      <c r="ER14" s="907"/>
      <c r="ES14" s="907"/>
      <c r="ET14" s="907"/>
      <c r="EU14" s="907"/>
      <c r="EV14" s="907"/>
      <c r="EW14" s="907"/>
      <c r="EX14" s="907"/>
      <c r="EY14" s="907"/>
      <c r="EZ14" s="907"/>
      <c r="FA14" s="907"/>
      <c r="FB14" s="907"/>
      <c r="FC14" s="907"/>
      <c r="FD14" s="907"/>
      <c r="FE14" s="907"/>
      <c r="FF14" s="907"/>
      <c r="FG14" s="907"/>
      <c r="FH14" s="907"/>
      <c r="FI14" s="907"/>
      <c r="FJ14" s="907"/>
      <c r="FK14" s="907"/>
      <c r="FL14" s="907"/>
      <c r="FM14" s="907"/>
      <c r="FN14" s="907"/>
      <c r="FO14" s="907"/>
      <c r="FP14" s="907"/>
      <c r="FQ14" s="907"/>
      <c r="FR14" s="907"/>
      <c r="FS14" s="907"/>
      <c r="FT14" s="907"/>
      <c r="FU14" s="907"/>
      <c r="FV14" s="907"/>
      <c r="FW14" s="907"/>
      <c r="FX14" s="907"/>
      <c r="FY14" s="907"/>
      <c r="FZ14" s="907"/>
      <c r="GA14" s="907"/>
      <c r="GB14" s="907"/>
      <c r="GC14" s="907"/>
      <c r="GD14" s="907"/>
      <c r="GE14" s="907"/>
      <c r="GF14" s="907"/>
      <c r="GG14" s="907"/>
      <c r="GH14" s="907"/>
      <c r="GI14" s="907"/>
      <c r="GJ14" s="907"/>
      <c r="GK14" s="907"/>
      <c r="GL14" s="907"/>
      <c r="GM14" s="907"/>
      <c r="GN14" s="907"/>
      <c r="GO14" s="907"/>
      <c r="GP14" s="907"/>
      <c r="GQ14" s="907"/>
      <c r="GR14" s="907"/>
      <c r="GS14" s="907"/>
      <c r="GT14" s="907"/>
      <c r="GU14" s="907"/>
      <c r="GV14" s="907"/>
      <c r="GW14" s="907"/>
      <c r="GX14" s="907"/>
      <c r="GY14" s="907"/>
      <c r="GZ14" s="907"/>
      <c r="HA14" s="907"/>
      <c r="HB14" s="907"/>
      <c r="HC14" s="907"/>
      <c r="HD14" s="907"/>
      <c r="HE14" s="907"/>
      <c r="HF14" s="907"/>
      <c r="HG14" s="907"/>
      <c r="HH14" s="907"/>
      <c r="HI14" s="907"/>
      <c r="HJ14" s="907"/>
      <c r="HK14" s="907"/>
      <c r="HL14" s="907"/>
      <c r="HM14" s="907"/>
      <c r="HN14" s="907"/>
      <c r="HO14" s="907"/>
      <c r="HP14" s="907"/>
      <c r="HQ14" s="907"/>
      <c r="HR14" s="907"/>
      <c r="HS14" s="907"/>
      <c r="HT14" s="907"/>
      <c r="HU14" s="907"/>
      <c r="HV14" s="907"/>
      <c r="HW14" s="907"/>
      <c r="HX14" s="907"/>
      <c r="HY14" s="907"/>
      <c r="HZ14" s="907"/>
      <c r="IA14" s="907"/>
      <c r="IB14" s="907"/>
      <c r="IC14" s="907"/>
      <c r="ID14" s="907"/>
      <c r="IE14" s="907"/>
      <c r="IF14" s="907"/>
      <c r="IG14" s="907"/>
      <c r="IH14" s="907"/>
      <c r="II14" s="907"/>
      <c r="IJ14" s="907"/>
      <c r="IK14" s="907"/>
      <c r="IL14" s="907"/>
      <c r="IM14" s="907"/>
      <c r="IN14" s="907"/>
      <c r="IO14" s="907"/>
      <c r="IP14" s="907"/>
    </row>
    <row r="15" spans="1:250" ht="12">
      <c r="A15" s="924">
        <f t="shared" si="0"/>
        <v>4</v>
      </c>
      <c r="B15" s="907" t="s">
        <v>131</v>
      </c>
      <c r="D15" s="158">
        <v>35755</v>
      </c>
      <c r="E15" s="158">
        <v>35755</v>
      </c>
      <c r="F15" s="158">
        <v>35755</v>
      </c>
      <c r="G15" s="158">
        <v>35755</v>
      </c>
      <c r="H15" s="158">
        <v>35755</v>
      </c>
      <c r="I15" s="158">
        <v>35755</v>
      </c>
      <c r="J15" s="158">
        <v>35755</v>
      </c>
      <c r="K15" s="158">
        <v>35755</v>
      </c>
      <c r="L15" s="158">
        <v>35755</v>
      </c>
      <c r="M15" s="158">
        <v>35755</v>
      </c>
      <c r="N15" s="158">
        <v>35755</v>
      </c>
      <c r="O15" s="158">
        <v>35755</v>
      </c>
      <c r="P15" s="158">
        <v>35755</v>
      </c>
      <c r="Q15" s="158"/>
      <c r="R15" s="155">
        <f>ROUND(SUM(D15:P15)/13,0)</f>
        <v>35755</v>
      </c>
      <c r="S15" s="927">
        <f>+R15-D15</f>
        <v>0</v>
      </c>
      <c r="T15" s="929"/>
      <c r="Y15" s="907"/>
      <c r="Z15" s="907"/>
      <c r="AA15" s="907"/>
      <c r="AB15" s="907"/>
      <c r="AC15" s="907"/>
      <c r="AD15" s="907"/>
      <c r="AE15" s="907"/>
      <c r="AF15" s="907"/>
      <c r="AG15" s="907"/>
      <c r="AH15" s="907"/>
      <c r="AI15" s="907"/>
      <c r="AJ15" s="907"/>
      <c r="AK15" s="907"/>
      <c r="AL15" s="907"/>
      <c r="AM15" s="907"/>
      <c r="AN15" s="907"/>
      <c r="AO15" s="907"/>
      <c r="AP15" s="907"/>
      <c r="AQ15" s="907"/>
      <c r="AR15" s="907"/>
      <c r="AS15" s="907"/>
      <c r="AT15" s="907"/>
      <c r="AU15" s="907"/>
      <c r="AV15" s="907"/>
      <c r="AW15" s="907"/>
      <c r="AX15" s="907"/>
      <c r="AY15" s="907"/>
      <c r="AZ15" s="907"/>
      <c r="BA15" s="907"/>
      <c r="BB15" s="907"/>
      <c r="BC15" s="907"/>
      <c r="BD15" s="907"/>
      <c r="BE15" s="907"/>
      <c r="BF15" s="907"/>
      <c r="BG15" s="907"/>
      <c r="BH15" s="907"/>
      <c r="BI15" s="907"/>
      <c r="BJ15" s="907"/>
      <c r="BK15" s="907"/>
      <c r="BL15" s="907"/>
      <c r="BM15" s="907"/>
      <c r="BN15" s="907"/>
      <c r="BO15" s="907"/>
      <c r="BP15" s="907"/>
      <c r="BQ15" s="907"/>
      <c r="BR15" s="907"/>
      <c r="BS15" s="907"/>
      <c r="BT15" s="907"/>
      <c r="BU15" s="907"/>
      <c r="BV15" s="907"/>
      <c r="BW15" s="907"/>
      <c r="BX15" s="907"/>
      <c r="BY15" s="907"/>
      <c r="BZ15" s="907"/>
      <c r="CA15" s="907"/>
      <c r="CB15" s="907"/>
      <c r="CC15" s="907"/>
      <c r="CD15" s="907"/>
      <c r="CE15" s="907"/>
      <c r="CF15" s="907"/>
      <c r="CG15" s="907"/>
      <c r="CH15" s="907"/>
      <c r="CI15" s="907"/>
      <c r="CJ15" s="907"/>
      <c r="CK15" s="907"/>
      <c r="CL15" s="907"/>
      <c r="CM15" s="907"/>
      <c r="CN15" s="907"/>
      <c r="CO15" s="907"/>
      <c r="CP15" s="907"/>
      <c r="CQ15" s="907"/>
      <c r="CR15" s="907"/>
      <c r="CS15" s="907"/>
      <c r="CT15" s="907"/>
      <c r="CU15" s="907"/>
      <c r="CV15" s="907"/>
      <c r="CW15" s="907"/>
      <c r="CX15" s="907"/>
      <c r="CY15" s="907"/>
      <c r="CZ15" s="907"/>
      <c r="DA15" s="907"/>
      <c r="DB15" s="907"/>
      <c r="DC15" s="907"/>
      <c r="DD15" s="907"/>
      <c r="DE15" s="907"/>
      <c r="DF15" s="907"/>
      <c r="DG15" s="907"/>
      <c r="DH15" s="907"/>
      <c r="DI15" s="907"/>
      <c r="DJ15" s="907"/>
      <c r="DK15" s="907"/>
      <c r="DL15" s="907"/>
      <c r="DM15" s="907"/>
      <c r="DN15" s="907"/>
      <c r="DO15" s="907"/>
      <c r="DP15" s="907"/>
      <c r="DQ15" s="907"/>
      <c r="DR15" s="907"/>
      <c r="DS15" s="907"/>
      <c r="DT15" s="907"/>
      <c r="DU15" s="907"/>
      <c r="DV15" s="907"/>
      <c r="DW15" s="907"/>
      <c r="DX15" s="907"/>
      <c r="DY15" s="907"/>
      <c r="DZ15" s="907"/>
      <c r="EA15" s="907"/>
      <c r="EB15" s="907"/>
      <c r="EC15" s="907"/>
      <c r="ED15" s="907"/>
      <c r="EE15" s="907"/>
      <c r="EF15" s="907"/>
      <c r="EG15" s="907"/>
      <c r="EH15" s="907"/>
      <c r="EI15" s="907"/>
      <c r="EJ15" s="907"/>
      <c r="EK15" s="907"/>
      <c r="EL15" s="907"/>
      <c r="EM15" s="907"/>
      <c r="EN15" s="907"/>
      <c r="EO15" s="907"/>
      <c r="EP15" s="907"/>
      <c r="EQ15" s="907"/>
      <c r="ER15" s="907"/>
      <c r="ES15" s="907"/>
      <c r="ET15" s="907"/>
      <c r="EU15" s="907"/>
      <c r="EV15" s="907"/>
      <c r="EW15" s="907"/>
      <c r="EX15" s="907"/>
      <c r="EY15" s="907"/>
      <c r="EZ15" s="907"/>
      <c r="FA15" s="907"/>
      <c r="FB15" s="907"/>
      <c r="FC15" s="907"/>
      <c r="FD15" s="907"/>
      <c r="FE15" s="907"/>
      <c r="FF15" s="907"/>
      <c r="FG15" s="907"/>
      <c r="FH15" s="907"/>
      <c r="FI15" s="907"/>
      <c r="FJ15" s="907"/>
      <c r="FK15" s="907"/>
      <c r="FL15" s="907"/>
      <c r="FM15" s="907"/>
      <c r="FN15" s="907"/>
      <c r="FO15" s="907"/>
      <c r="FP15" s="907"/>
      <c r="FQ15" s="907"/>
      <c r="FR15" s="907"/>
      <c r="FS15" s="907"/>
      <c r="FT15" s="907"/>
      <c r="FU15" s="907"/>
      <c r="FV15" s="907"/>
      <c r="FW15" s="907"/>
      <c r="FX15" s="907"/>
      <c r="FY15" s="907"/>
      <c r="FZ15" s="907"/>
      <c r="GA15" s="907"/>
      <c r="GB15" s="907"/>
      <c r="GC15" s="907"/>
      <c r="GD15" s="907"/>
      <c r="GE15" s="907"/>
      <c r="GF15" s="907"/>
      <c r="GG15" s="907"/>
      <c r="GH15" s="907"/>
      <c r="GI15" s="907"/>
      <c r="GJ15" s="907"/>
      <c r="GK15" s="907"/>
      <c r="GL15" s="907"/>
      <c r="GM15" s="907"/>
      <c r="GN15" s="907"/>
      <c r="GO15" s="907"/>
      <c r="GP15" s="907"/>
      <c r="GQ15" s="907"/>
      <c r="GR15" s="907"/>
      <c r="GS15" s="907"/>
      <c r="GT15" s="907"/>
      <c r="GU15" s="907"/>
      <c r="GV15" s="907"/>
      <c r="GW15" s="907"/>
      <c r="GX15" s="907"/>
      <c r="GY15" s="907"/>
      <c r="GZ15" s="907"/>
      <c r="HA15" s="907"/>
      <c r="HB15" s="907"/>
      <c r="HC15" s="907"/>
      <c r="HD15" s="907"/>
      <c r="HE15" s="907"/>
      <c r="HF15" s="907"/>
      <c r="HG15" s="907"/>
      <c r="HH15" s="907"/>
      <c r="HI15" s="907"/>
      <c r="HJ15" s="907"/>
      <c r="HK15" s="907"/>
      <c r="HL15" s="907"/>
      <c r="HM15" s="907"/>
      <c r="HN15" s="907"/>
      <c r="HO15" s="907"/>
      <c r="HP15" s="907"/>
      <c r="HQ15" s="907"/>
      <c r="HR15" s="907"/>
      <c r="HS15" s="907"/>
      <c r="HT15" s="907"/>
      <c r="HU15" s="907"/>
      <c r="HV15" s="907"/>
      <c r="HW15" s="907"/>
      <c r="HX15" s="907"/>
      <c r="HY15" s="907"/>
      <c r="HZ15" s="907"/>
      <c r="IA15" s="907"/>
      <c r="IB15" s="907"/>
      <c r="IC15" s="907"/>
      <c r="ID15" s="907"/>
      <c r="IE15" s="907"/>
      <c r="IF15" s="907"/>
      <c r="IG15" s="907"/>
      <c r="IH15" s="907"/>
      <c r="II15" s="907"/>
      <c r="IJ15" s="907"/>
      <c r="IK15" s="907"/>
      <c r="IL15" s="907"/>
      <c r="IM15" s="907"/>
      <c r="IN15" s="907"/>
      <c r="IO15" s="907"/>
      <c r="IP15" s="907"/>
    </row>
    <row r="16" spans="1:250" ht="12">
      <c r="A16" s="924">
        <f t="shared" si="0"/>
        <v>5</v>
      </c>
      <c r="B16" s="905" t="s">
        <v>132</v>
      </c>
      <c r="D16" s="925"/>
      <c r="E16" s="925"/>
      <c r="F16" s="925"/>
      <c r="G16" s="925"/>
      <c r="H16" s="925"/>
      <c r="I16" s="925"/>
      <c r="J16" s="925"/>
      <c r="K16" s="925"/>
      <c r="L16" s="925"/>
      <c r="M16" s="925"/>
      <c r="N16" s="925"/>
      <c r="O16" s="925"/>
      <c r="P16" s="925"/>
      <c r="Q16" s="925"/>
      <c r="R16" s="155"/>
      <c r="S16" s="927"/>
      <c r="T16" s="928"/>
      <c r="Y16" s="907"/>
      <c r="Z16" s="907"/>
      <c r="AA16" s="907"/>
      <c r="AB16" s="907"/>
      <c r="AC16" s="907"/>
      <c r="AD16" s="907"/>
      <c r="AE16" s="907"/>
      <c r="AF16" s="907"/>
      <c r="AG16" s="907"/>
      <c r="AH16" s="907"/>
      <c r="AI16" s="907"/>
      <c r="AJ16" s="907"/>
      <c r="AK16" s="907"/>
      <c r="AL16" s="907"/>
      <c r="AM16" s="907"/>
      <c r="AN16" s="907"/>
      <c r="AO16" s="907"/>
      <c r="AP16" s="907"/>
      <c r="AQ16" s="907"/>
      <c r="AR16" s="907"/>
      <c r="AS16" s="907"/>
      <c r="AT16" s="907"/>
      <c r="AU16" s="907"/>
      <c r="AV16" s="907"/>
      <c r="AW16" s="907"/>
      <c r="AX16" s="907"/>
      <c r="AY16" s="907"/>
      <c r="AZ16" s="907"/>
      <c r="BA16" s="907"/>
      <c r="BB16" s="907"/>
      <c r="BC16" s="907"/>
      <c r="BD16" s="907"/>
      <c r="BE16" s="907"/>
      <c r="BF16" s="907"/>
      <c r="BG16" s="907"/>
      <c r="BH16" s="907"/>
      <c r="BI16" s="907"/>
      <c r="BJ16" s="907"/>
      <c r="BK16" s="907"/>
      <c r="BL16" s="907"/>
      <c r="BM16" s="907"/>
      <c r="BN16" s="907"/>
      <c r="BO16" s="907"/>
      <c r="BP16" s="907"/>
      <c r="BQ16" s="907"/>
      <c r="BR16" s="907"/>
      <c r="BS16" s="907"/>
      <c r="BT16" s="907"/>
      <c r="BU16" s="907"/>
      <c r="BV16" s="907"/>
      <c r="BW16" s="907"/>
      <c r="BX16" s="907"/>
      <c r="BY16" s="907"/>
      <c r="BZ16" s="907"/>
      <c r="CA16" s="907"/>
      <c r="CB16" s="907"/>
      <c r="CC16" s="907"/>
      <c r="CD16" s="907"/>
      <c r="CE16" s="907"/>
      <c r="CF16" s="907"/>
      <c r="CG16" s="907"/>
      <c r="CH16" s="907"/>
      <c r="CI16" s="907"/>
      <c r="CJ16" s="907"/>
      <c r="CK16" s="907"/>
      <c r="CL16" s="907"/>
      <c r="CM16" s="907"/>
      <c r="CN16" s="907"/>
      <c r="CO16" s="907"/>
      <c r="CP16" s="907"/>
      <c r="CQ16" s="907"/>
      <c r="CR16" s="907"/>
      <c r="CS16" s="907"/>
      <c r="CT16" s="907"/>
      <c r="CU16" s="907"/>
      <c r="CV16" s="907"/>
      <c r="CW16" s="907"/>
      <c r="CX16" s="907"/>
      <c r="CY16" s="907"/>
      <c r="CZ16" s="907"/>
      <c r="DA16" s="907"/>
      <c r="DB16" s="907"/>
      <c r="DC16" s="907"/>
      <c r="DD16" s="907"/>
      <c r="DE16" s="907"/>
      <c r="DF16" s="907"/>
      <c r="DG16" s="907"/>
      <c r="DH16" s="907"/>
      <c r="DI16" s="907"/>
      <c r="DJ16" s="907"/>
      <c r="DK16" s="907"/>
      <c r="DL16" s="907"/>
      <c r="DM16" s="907"/>
      <c r="DN16" s="907"/>
      <c r="DO16" s="907"/>
      <c r="DP16" s="907"/>
      <c r="DQ16" s="907"/>
      <c r="DR16" s="907"/>
      <c r="DS16" s="907"/>
      <c r="DT16" s="907"/>
      <c r="DU16" s="907"/>
      <c r="DV16" s="907"/>
      <c r="DW16" s="907"/>
      <c r="DX16" s="907"/>
      <c r="DY16" s="907"/>
      <c r="DZ16" s="907"/>
      <c r="EA16" s="907"/>
      <c r="EB16" s="907"/>
      <c r="EC16" s="907"/>
      <c r="ED16" s="907"/>
      <c r="EE16" s="907"/>
      <c r="EF16" s="907"/>
      <c r="EG16" s="907"/>
      <c r="EH16" s="907"/>
      <c r="EI16" s="907"/>
      <c r="EJ16" s="907"/>
      <c r="EK16" s="907"/>
      <c r="EL16" s="907"/>
      <c r="EM16" s="907"/>
      <c r="EN16" s="907"/>
      <c r="EO16" s="907"/>
      <c r="EP16" s="907"/>
      <c r="EQ16" s="907"/>
      <c r="ER16" s="907"/>
      <c r="ES16" s="907"/>
      <c r="ET16" s="907"/>
      <c r="EU16" s="907"/>
      <c r="EV16" s="907"/>
      <c r="EW16" s="907"/>
      <c r="EX16" s="907"/>
      <c r="EY16" s="907"/>
      <c r="EZ16" s="907"/>
      <c r="FA16" s="907"/>
      <c r="FB16" s="907"/>
      <c r="FC16" s="907"/>
      <c r="FD16" s="907"/>
      <c r="FE16" s="907"/>
      <c r="FF16" s="907"/>
      <c r="FG16" s="907"/>
      <c r="FH16" s="907"/>
      <c r="FI16" s="907"/>
      <c r="FJ16" s="907"/>
      <c r="FK16" s="907"/>
      <c r="FL16" s="907"/>
      <c r="FM16" s="907"/>
      <c r="FN16" s="907"/>
      <c r="FO16" s="907"/>
      <c r="FP16" s="907"/>
      <c r="FQ16" s="907"/>
      <c r="FR16" s="907"/>
      <c r="FS16" s="907"/>
      <c r="FT16" s="907"/>
      <c r="FU16" s="907"/>
      <c r="FV16" s="907"/>
      <c r="FW16" s="907"/>
      <c r="FX16" s="907"/>
      <c r="FY16" s="907"/>
      <c r="FZ16" s="907"/>
      <c r="GA16" s="907"/>
      <c r="GB16" s="907"/>
      <c r="GC16" s="907"/>
      <c r="GD16" s="907"/>
      <c r="GE16" s="907"/>
      <c r="GF16" s="907"/>
      <c r="GG16" s="907"/>
      <c r="GH16" s="907"/>
      <c r="GI16" s="907"/>
      <c r="GJ16" s="907"/>
      <c r="GK16" s="907"/>
      <c r="GL16" s="907"/>
      <c r="GM16" s="907"/>
      <c r="GN16" s="907"/>
      <c r="GO16" s="907"/>
      <c r="GP16" s="907"/>
      <c r="GQ16" s="907"/>
      <c r="GR16" s="907"/>
      <c r="GS16" s="907"/>
      <c r="GT16" s="907"/>
      <c r="GU16" s="907"/>
      <c r="GV16" s="907"/>
      <c r="GW16" s="907"/>
      <c r="GX16" s="907"/>
      <c r="GY16" s="907"/>
      <c r="GZ16" s="907"/>
      <c r="HA16" s="907"/>
      <c r="HB16" s="907"/>
      <c r="HC16" s="907"/>
      <c r="HD16" s="907"/>
      <c r="HE16" s="907"/>
      <c r="HF16" s="907"/>
      <c r="HG16" s="907"/>
      <c r="HH16" s="907"/>
      <c r="HI16" s="907"/>
      <c r="HJ16" s="907"/>
      <c r="HK16" s="907"/>
      <c r="HL16" s="907"/>
      <c r="HM16" s="907"/>
      <c r="HN16" s="907"/>
      <c r="HO16" s="907"/>
      <c r="HP16" s="907"/>
      <c r="HQ16" s="907"/>
      <c r="HR16" s="907"/>
      <c r="HS16" s="907"/>
      <c r="HT16" s="907"/>
      <c r="HU16" s="907"/>
      <c r="HV16" s="907"/>
      <c r="HW16" s="907"/>
      <c r="HX16" s="907"/>
      <c r="HY16" s="907"/>
      <c r="HZ16" s="907"/>
      <c r="IA16" s="907"/>
      <c r="IB16" s="907"/>
      <c r="IC16" s="907"/>
      <c r="ID16" s="907"/>
      <c r="IE16" s="907"/>
      <c r="IF16" s="907"/>
      <c r="IG16" s="907"/>
      <c r="IH16" s="907"/>
      <c r="II16" s="907"/>
      <c r="IJ16" s="907"/>
      <c r="IK16" s="907"/>
      <c r="IL16" s="907"/>
      <c r="IM16" s="907"/>
      <c r="IN16" s="907"/>
      <c r="IO16" s="907"/>
      <c r="IP16" s="907"/>
    </row>
    <row r="17" spans="1:20" s="907" customFormat="1" ht="12">
      <c r="A17" s="924">
        <f t="shared" si="0"/>
        <v>6</v>
      </c>
      <c r="B17" s="907" t="s">
        <v>133</v>
      </c>
      <c r="D17" s="158">
        <v>35517</v>
      </c>
      <c r="E17" s="158">
        <v>35517</v>
      </c>
      <c r="F17" s="158">
        <v>35517</v>
      </c>
      <c r="G17" s="158">
        <v>35517</v>
      </c>
      <c r="H17" s="158">
        <v>35517</v>
      </c>
      <c r="I17" s="158">
        <v>35517</v>
      </c>
      <c r="J17" s="158">
        <v>35517</v>
      </c>
      <c r="K17" s="158">
        <v>35517</v>
      </c>
      <c r="L17" s="158">
        <v>35517</v>
      </c>
      <c r="M17" s="158">
        <v>35517</v>
      </c>
      <c r="N17" s="158">
        <v>35517</v>
      </c>
      <c r="O17" s="158">
        <v>35517</v>
      </c>
      <c r="P17" s="158">
        <v>35517</v>
      </c>
      <c r="Q17" s="158"/>
      <c r="R17" s="155">
        <f>ROUND(SUM(D17:P17)/13,0)</f>
        <v>35517</v>
      </c>
      <c r="S17" s="927">
        <f>+R17-D17</f>
        <v>0</v>
      </c>
      <c r="T17" s="929"/>
    </row>
    <row r="18" spans="1:20" s="907" customFormat="1" ht="12">
      <c r="A18" s="924">
        <f t="shared" si="0"/>
        <v>7</v>
      </c>
      <c r="B18" s="907" t="s">
        <v>134</v>
      </c>
      <c r="D18" s="158">
        <v>1261441</v>
      </c>
      <c r="E18" s="158">
        <v>1261441</v>
      </c>
      <c r="F18" s="158">
        <v>1261441</v>
      </c>
      <c r="G18" s="158">
        <v>1261441</v>
      </c>
      <c r="H18" s="158">
        <v>1261441</v>
      </c>
      <c r="I18" s="158">
        <v>1261757</v>
      </c>
      <c r="J18" s="158">
        <v>1262412</v>
      </c>
      <c r="K18" s="158">
        <v>1262917</v>
      </c>
      <c r="L18" s="158">
        <v>1263089</v>
      </c>
      <c r="M18" s="158">
        <v>1286838</v>
      </c>
      <c r="N18" s="158">
        <v>1286838</v>
      </c>
      <c r="O18" s="158">
        <v>1286838</v>
      </c>
      <c r="P18" s="158">
        <v>1286838</v>
      </c>
      <c r="Q18" s="158"/>
      <c r="R18" s="155">
        <f>ROUND(SUM(D18:P18)/13,0)</f>
        <v>1269595</v>
      </c>
      <c r="S18" s="927"/>
      <c r="T18" s="929"/>
    </row>
    <row r="19" spans="1:20" s="925" customFormat="1" ht="11.25" customHeight="1">
      <c r="A19" s="930"/>
      <c r="B19" s="931" t="s">
        <v>866</v>
      </c>
      <c r="C19" s="931"/>
      <c r="E19" s="925">
        <f t="shared" ref="E19:P19" si="1">+E18-D18</f>
        <v>0</v>
      </c>
      <c r="F19" s="925">
        <f t="shared" si="1"/>
        <v>0</v>
      </c>
      <c r="G19" s="925">
        <f t="shared" si="1"/>
        <v>0</v>
      </c>
      <c r="H19" s="925">
        <f t="shared" si="1"/>
        <v>0</v>
      </c>
      <c r="I19" s="925">
        <f>+I18-H18</f>
        <v>316</v>
      </c>
      <c r="J19" s="925">
        <f t="shared" si="1"/>
        <v>655</v>
      </c>
      <c r="K19" s="925">
        <f>+K18-J18</f>
        <v>505</v>
      </c>
      <c r="L19" s="925">
        <f t="shared" si="1"/>
        <v>172</v>
      </c>
      <c r="M19" s="925">
        <f t="shared" si="1"/>
        <v>23749</v>
      </c>
      <c r="N19" s="925">
        <f t="shared" si="1"/>
        <v>0</v>
      </c>
      <c r="O19" s="925">
        <f t="shared" si="1"/>
        <v>0</v>
      </c>
      <c r="P19" s="925">
        <f t="shared" si="1"/>
        <v>0</v>
      </c>
      <c r="R19" s="155"/>
    </row>
    <row r="20" spans="1:20" s="925" customFormat="1" ht="11.25" customHeight="1">
      <c r="A20" s="930"/>
      <c r="B20" s="931" t="s">
        <v>865</v>
      </c>
      <c r="C20" s="931"/>
      <c r="E20" s="925">
        <v>1</v>
      </c>
      <c r="F20" s="925">
        <v>2</v>
      </c>
      <c r="G20" s="925">
        <v>3</v>
      </c>
      <c r="H20" s="925">
        <v>4</v>
      </c>
      <c r="I20" s="925">
        <v>5</v>
      </c>
      <c r="J20" s="925">
        <v>6</v>
      </c>
      <c r="K20" s="925">
        <v>7</v>
      </c>
      <c r="L20" s="925">
        <v>8</v>
      </c>
      <c r="M20" s="925">
        <v>9</v>
      </c>
      <c r="N20" s="925">
        <v>10</v>
      </c>
      <c r="O20" s="925">
        <v>11</v>
      </c>
      <c r="P20" s="925">
        <v>12</v>
      </c>
      <c r="R20" s="155"/>
    </row>
    <row r="21" spans="1:20" s="925" customFormat="1" ht="11.25" customHeight="1">
      <c r="A21" s="930"/>
      <c r="B21" s="881">
        <v>3.125E-2</v>
      </c>
      <c r="C21" s="931"/>
      <c r="E21" s="925">
        <f t="shared" ref="E21:P21" si="2">+E19*($B21/12)*E20</f>
        <v>0</v>
      </c>
      <c r="F21" s="925">
        <f t="shared" si="2"/>
        <v>0</v>
      </c>
      <c r="G21" s="925">
        <f t="shared" si="2"/>
        <v>0</v>
      </c>
      <c r="H21" s="925">
        <f t="shared" si="2"/>
        <v>0</v>
      </c>
      <c r="I21" s="925">
        <f>+I19*($B21/12)*I20</f>
        <v>4.114583333333333</v>
      </c>
      <c r="J21" s="925">
        <f t="shared" si="2"/>
        <v>10.234375</v>
      </c>
      <c r="K21" s="925">
        <f t="shared" si="2"/>
        <v>9.2057291666666661</v>
      </c>
      <c r="L21" s="925">
        <f t="shared" si="2"/>
        <v>3.583333333333333</v>
      </c>
      <c r="M21" s="925">
        <f t="shared" si="2"/>
        <v>556.6171875</v>
      </c>
      <c r="N21" s="925">
        <f t="shared" si="2"/>
        <v>0</v>
      </c>
      <c r="O21" s="925">
        <f t="shared" si="2"/>
        <v>0</v>
      </c>
      <c r="P21" s="925">
        <f t="shared" si="2"/>
        <v>0</v>
      </c>
      <c r="Q21" s="925">
        <f>SUM(E21:P21)</f>
        <v>583.75520833333337</v>
      </c>
      <c r="R21" s="155"/>
    </row>
    <row r="22" spans="1:20" s="907" customFormat="1" ht="12">
      <c r="A22" s="924">
        <f>A18+1</f>
        <v>8</v>
      </c>
      <c r="B22" s="907" t="s">
        <v>135</v>
      </c>
      <c r="D22" s="158">
        <v>0</v>
      </c>
      <c r="E22" s="158">
        <v>0</v>
      </c>
      <c r="F22" s="158">
        <v>0</v>
      </c>
      <c r="G22" s="158">
        <v>0</v>
      </c>
      <c r="H22" s="158">
        <v>0</v>
      </c>
      <c r="I22" s="158">
        <v>0</v>
      </c>
      <c r="J22" s="158">
        <v>0</v>
      </c>
      <c r="K22" s="158">
        <v>0</v>
      </c>
      <c r="L22" s="158">
        <v>0</v>
      </c>
      <c r="M22" s="158">
        <v>0</v>
      </c>
      <c r="N22" s="158">
        <v>0</v>
      </c>
      <c r="O22" s="158">
        <v>0</v>
      </c>
      <c r="P22" s="158">
        <v>0</v>
      </c>
      <c r="Q22" s="158"/>
      <c r="R22" s="155">
        <f>ROUND(SUM(D22:P22)/13,0)</f>
        <v>0</v>
      </c>
      <c r="S22" s="927"/>
      <c r="T22" s="929"/>
    </row>
    <row r="23" spans="1:20" s="907" customFormat="1" ht="12">
      <c r="A23" s="924">
        <f>A22+1</f>
        <v>9</v>
      </c>
      <c r="B23" s="907" t="s">
        <v>377</v>
      </c>
      <c r="D23" s="158">
        <v>0</v>
      </c>
      <c r="E23" s="158">
        <v>0</v>
      </c>
      <c r="F23" s="158">
        <v>0</v>
      </c>
      <c r="G23" s="158">
        <v>0</v>
      </c>
      <c r="H23" s="158">
        <v>0</v>
      </c>
      <c r="I23" s="158">
        <v>0</v>
      </c>
      <c r="J23" s="158">
        <v>0</v>
      </c>
      <c r="K23" s="158">
        <v>0</v>
      </c>
      <c r="L23" s="158">
        <v>0</v>
      </c>
      <c r="M23" s="158">
        <v>0</v>
      </c>
      <c r="N23" s="158">
        <v>0</v>
      </c>
      <c r="O23" s="158">
        <v>0</v>
      </c>
      <c r="P23" s="158">
        <v>0</v>
      </c>
      <c r="Q23" s="158"/>
      <c r="R23" s="155">
        <f>ROUND(SUM(D23:P23)/13,0)</f>
        <v>0</v>
      </c>
      <c r="S23" s="927"/>
      <c r="T23" s="929"/>
    </row>
    <row r="24" spans="1:20" s="907" customFormat="1" ht="12">
      <c r="A24" s="924">
        <f>A23+1</f>
        <v>10</v>
      </c>
      <c r="B24" s="907" t="s">
        <v>378</v>
      </c>
      <c r="D24" s="158">
        <v>4041527</v>
      </c>
      <c r="E24" s="158">
        <v>4041527</v>
      </c>
      <c r="F24" s="158">
        <v>4043155</v>
      </c>
      <c r="G24" s="158">
        <v>4041710</v>
      </c>
      <c r="H24" s="158">
        <v>4041710</v>
      </c>
      <c r="I24" s="158">
        <v>4050771</v>
      </c>
      <c r="J24" s="158">
        <v>4052014</v>
      </c>
      <c r="K24" s="158">
        <v>4052014</v>
      </c>
      <c r="L24" s="158">
        <v>4052014</v>
      </c>
      <c r="M24" s="158">
        <v>4052014</v>
      </c>
      <c r="N24" s="158">
        <v>4052285</v>
      </c>
      <c r="O24" s="158">
        <v>4052375</v>
      </c>
      <c r="P24" s="158">
        <v>4053952</v>
      </c>
      <c r="Q24" s="158"/>
      <c r="R24" s="155">
        <f>ROUND(SUM(D24:P24)/13,0)</f>
        <v>4048236</v>
      </c>
      <c r="S24" s="927"/>
      <c r="T24" s="929"/>
    </row>
    <row r="25" spans="1:20" s="925" customFormat="1" ht="11.25" customHeight="1">
      <c r="A25" s="930"/>
      <c r="B25" s="931" t="s">
        <v>866</v>
      </c>
      <c r="C25" s="931"/>
      <c r="E25" s="925">
        <f t="shared" ref="E25:P25" si="3">+E24-D24</f>
        <v>0</v>
      </c>
      <c r="F25" s="925">
        <f t="shared" si="3"/>
        <v>1628</v>
      </c>
      <c r="G25" s="925">
        <f t="shared" si="3"/>
        <v>-1445</v>
      </c>
      <c r="H25" s="925">
        <f t="shared" si="3"/>
        <v>0</v>
      </c>
      <c r="I25" s="925">
        <f t="shared" si="3"/>
        <v>9061</v>
      </c>
      <c r="J25" s="925">
        <f t="shared" si="3"/>
        <v>1243</v>
      </c>
      <c r="K25" s="925">
        <f t="shared" si="3"/>
        <v>0</v>
      </c>
      <c r="L25" s="925">
        <f t="shared" si="3"/>
        <v>0</v>
      </c>
      <c r="M25" s="925">
        <f t="shared" si="3"/>
        <v>0</v>
      </c>
      <c r="N25" s="925">
        <f t="shared" si="3"/>
        <v>271</v>
      </c>
      <c r="O25" s="925">
        <f t="shared" si="3"/>
        <v>90</v>
      </c>
      <c r="P25" s="925">
        <f t="shared" si="3"/>
        <v>1577</v>
      </c>
      <c r="R25" s="155"/>
    </row>
    <row r="26" spans="1:20" s="925" customFormat="1" ht="11.25" customHeight="1">
      <c r="A26" s="930"/>
      <c r="B26" s="931" t="s">
        <v>865</v>
      </c>
      <c r="C26" s="931"/>
      <c r="E26" s="925">
        <v>1</v>
      </c>
      <c r="F26" s="925">
        <v>2</v>
      </c>
      <c r="G26" s="925">
        <v>3</v>
      </c>
      <c r="H26" s="925">
        <v>4</v>
      </c>
      <c r="I26" s="925">
        <v>5</v>
      </c>
      <c r="J26" s="925">
        <v>6</v>
      </c>
      <c r="K26" s="925">
        <v>7</v>
      </c>
      <c r="L26" s="925">
        <v>8</v>
      </c>
      <c r="M26" s="925">
        <v>9</v>
      </c>
      <c r="N26" s="925">
        <v>10</v>
      </c>
      <c r="O26" s="925">
        <v>11</v>
      </c>
      <c r="P26" s="925">
        <v>12</v>
      </c>
      <c r="R26" s="155"/>
    </row>
    <row r="27" spans="1:20" s="925" customFormat="1" ht="11.25" customHeight="1">
      <c r="A27" s="930"/>
      <c r="B27" s="881">
        <v>3.3333333333333333E-2</v>
      </c>
      <c r="C27" s="931"/>
      <c r="E27" s="925">
        <f t="shared" ref="E27:P27" si="4">+E25*($B27/12)*E26</f>
        <v>0</v>
      </c>
      <c r="F27" s="925">
        <f t="shared" si="4"/>
        <v>9.0444444444444443</v>
      </c>
      <c r="G27" s="925">
        <f t="shared" si="4"/>
        <v>-12.041666666666668</v>
      </c>
      <c r="H27" s="925">
        <f t="shared" si="4"/>
        <v>0</v>
      </c>
      <c r="I27" s="925">
        <f t="shared" si="4"/>
        <v>125.84722222222223</v>
      </c>
      <c r="J27" s="925">
        <f t="shared" si="4"/>
        <v>20.716666666666669</v>
      </c>
      <c r="K27" s="925">
        <f t="shared" si="4"/>
        <v>0</v>
      </c>
      <c r="L27" s="925">
        <f t="shared" si="4"/>
        <v>0</v>
      </c>
      <c r="M27" s="925">
        <f t="shared" si="4"/>
        <v>0</v>
      </c>
      <c r="N27" s="925">
        <f t="shared" si="4"/>
        <v>7.5277777777777777</v>
      </c>
      <c r="O27" s="925">
        <f t="shared" si="4"/>
        <v>2.75</v>
      </c>
      <c r="P27" s="925">
        <f t="shared" si="4"/>
        <v>52.566666666666663</v>
      </c>
      <c r="Q27" s="925">
        <f>SUM(E27:P27)</f>
        <v>206.4111111111111</v>
      </c>
      <c r="R27" s="155"/>
    </row>
    <row r="28" spans="1:20" s="907" customFormat="1" ht="12">
      <c r="A28" s="924">
        <f>A24+1</f>
        <v>11</v>
      </c>
      <c r="B28" s="907" t="s">
        <v>379</v>
      </c>
      <c r="D28" s="158">
        <v>138232</v>
      </c>
      <c r="E28" s="158">
        <v>138232</v>
      </c>
      <c r="F28" s="158">
        <v>138232</v>
      </c>
      <c r="G28" s="158">
        <v>138232</v>
      </c>
      <c r="H28" s="158">
        <v>138232</v>
      </c>
      <c r="I28" s="158">
        <v>138232</v>
      </c>
      <c r="J28" s="158">
        <v>138232</v>
      </c>
      <c r="K28" s="158">
        <v>138232</v>
      </c>
      <c r="L28" s="158">
        <v>138232</v>
      </c>
      <c r="M28" s="158">
        <v>138232</v>
      </c>
      <c r="N28" s="158">
        <v>138232</v>
      </c>
      <c r="O28" s="158">
        <v>138232</v>
      </c>
      <c r="P28" s="158">
        <v>138232</v>
      </c>
      <c r="Q28" s="158"/>
      <c r="R28" s="155">
        <f>ROUND(SUM(D28:P28)/13,0)</f>
        <v>138232</v>
      </c>
      <c r="S28" s="927">
        <f>+R28-D28</f>
        <v>0</v>
      </c>
      <c r="T28" s="929"/>
    </row>
    <row r="29" spans="1:20" s="907" customFormat="1" ht="12">
      <c r="A29" s="924">
        <f>A28+1</f>
        <v>12</v>
      </c>
      <c r="B29" s="907" t="s">
        <v>380</v>
      </c>
      <c r="D29" s="158">
        <v>3336854</v>
      </c>
      <c r="E29" s="158">
        <v>3336854</v>
      </c>
      <c r="F29" s="158">
        <v>3336854</v>
      </c>
      <c r="G29" s="158">
        <v>3337113</v>
      </c>
      <c r="H29" s="158">
        <v>3337113</v>
      </c>
      <c r="I29" s="158">
        <v>3377536</v>
      </c>
      <c r="J29" s="158">
        <v>3377536</v>
      </c>
      <c r="K29" s="158">
        <v>3380531</v>
      </c>
      <c r="L29" s="158">
        <v>3380531</v>
      </c>
      <c r="M29" s="158">
        <v>3382781</v>
      </c>
      <c r="N29" s="158">
        <v>3382917</v>
      </c>
      <c r="O29" s="158">
        <v>3382917</v>
      </c>
      <c r="P29" s="158">
        <v>3382917</v>
      </c>
      <c r="Q29" s="158"/>
      <c r="R29" s="155">
        <f>ROUND(SUM(D29:P29)/13,0)</f>
        <v>3364035</v>
      </c>
      <c r="S29" s="927"/>
      <c r="T29" s="929"/>
    </row>
    <row r="30" spans="1:20" s="925" customFormat="1" ht="11.25" customHeight="1">
      <c r="A30" s="930"/>
      <c r="B30" s="931" t="s">
        <v>866</v>
      </c>
      <c r="C30" s="931"/>
      <c r="E30" s="925">
        <f t="shared" ref="E30:P30" si="5">+E29-D29</f>
        <v>0</v>
      </c>
      <c r="F30" s="925">
        <f t="shared" si="5"/>
        <v>0</v>
      </c>
      <c r="G30" s="925">
        <f t="shared" si="5"/>
        <v>259</v>
      </c>
      <c r="H30" s="925">
        <f t="shared" si="5"/>
        <v>0</v>
      </c>
      <c r="I30" s="925">
        <f t="shared" si="5"/>
        <v>40423</v>
      </c>
      <c r="J30" s="925">
        <f t="shared" si="5"/>
        <v>0</v>
      </c>
      <c r="K30" s="925">
        <f t="shared" si="5"/>
        <v>2995</v>
      </c>
      <c r="L30" s="925">
        <f t="shared" si="5"/>
        <v>0</v>
      </c>
      <c r="M30" s="925">
        <f t="shared" si="5"/>
        <v>2250</v>
      </c>
      <c r="N30" s="925">
        <f t="shared" si="5"/>
        <v>136</v>
      </c>
      <c r="O30" s="925">
        <f t="shared" si="5"/>
        <v>0</v>
      </c>
      <c r="P30" s="925">
        <f t="shared" si="5"/>
        <v>0</v>
      </c>
      <c r="R30" s="155"/>
    </row>
    <row r="31" spans="1:20" s="925" customFormat="1" ht="11.25" customHeight="1">
      <c r="A31" s="930"/>
      <c r="B31" s="931" t="s">
        <v>865</v>
      </c>
      <c r="C31" s="931"/>
      <c r="E31" s="925">
        <v>1</v>
      </c>
      <c r="F31" s="925">
        <v>2</v>
      </c>
      <c r="G31" s="925">
        <v>3</v>
      </c>
      <c r="H31" s="925">
        <v>4</v>
      </c>
      <c r="I31" s="925">
        <v>5</v>
      </c>
      <c r="J31" s="925">
        <v>6</v>
      </c>
      <c r="K31" s="925">
        <v>7</v>
      </c>
      <c r="L31" s="925">
        <v>8</v>
      </c>
      <c r="M31" s="925">
        <v>9</v>
      </c>
      <c r="N31" s="925">
        <v>10</v>
      </c>
      <c r="O31" s="925">
        <v>11</v>
      </c>
      <c r="P31" s="925">
        <v>12</v>
      </c>
      <c r="R31" s="155"/>
    </row>
    <row r="32" spans="1:20" s="925" customFormat="1" ht="11.25" customHeight="1">
      <c r="A32" s="930"/>
      <c r="B32" s="881">
        <v>2.8571428571428571E-2</v>
      </c>
      <c r="C32" s="931"/>
      <c r="E32" s="925">
        <f t="shared" ref="E32:P32" si="6">+E30*($B32/12)*E31</f>
        <v>0</v>
      </c>
      <c r="F32" s="925">
        <f t="shared" si="6"/>
        <v>0</v>
      </c>
      <c r="G32" s="925">
        <f t="shared" si="6"/>
        <v>1.8499999999999996</v>
      </c>
      <c r="H32" s="925">
        <f t="shared" si="6"/>
        <v>0</v>
      </c>
      <c r="I32" s="925">
        <f t="shared" si="6"/>
        <v>481.22619047619048</v>
      </c>
      <c r="J32" s="925">
        <f t="shared" si="6"/>
        <v>0</v>
      </c>
      <c r="K32" s="925">
        <f t="shared" si="6"/>
        <v>49.916666666666664</v>
      </c>
      <c r="L32" s="925">
        <f t="shared" si="6"/>
        <v>0</v>
      </c>
      <c r="M32" s="925">
        <f t="shared" si="6"/>
        <v>48.214285714285708</v>
      </c>
      <c r="N32" s="925">
        <f t="shared" si="6"/>
        <v>3.2380952380952377</v>
      </c>
      <c r="O32" s="925">
        <f t="shared" si="6"/>
        <v>0</v>
      </c>
      <c r="P32" s="925">
        <f t="shared" si="6"/>
        <v>0</v>
      </c>
      <c r="Q32" s="925">
        <f>SUM(E32:P32)</f>
        <v>584.44523809523798</v>
      </c>
      <c r="R32" s="155"/>
    </row>
    <row r="33" spans="1:20" s="907" customFormat="1" ht="12">
      <c r="A33" s="924">
        <f>A29+1</f>
        <v>13</v>
      </c>
      <c r="B33" s="907" t="s">
        <v>381</v>
      </c>
      <c r="D33" s="158">
        <v>497253</v>
      </c>
      <c r="E33" s="158">
        <v>497253</v>
      </c>
      <c r="F33" s="158">
        <v>497253</v>
      </c>
      <c r="G33" s="158">
        <v>613575</v>
      </c>
      <c r="H33" s="158">
        <v>613575</v>
      </c>
      <c r="I33" s="158">
        <v>613575</v>
      </c>
      <c r="J33" s="158">
        <v>613575</v>
      </c>
      <c r="K33" s="158">
        <v>613575</v>
      </c>
      <c r="L33" s="158">
        <v>613575</v>
      </c>
      <c r="M33" s="158">
        <v>613575</v>
      </c>
      <c r="N33" s="158">
        <v>613575</v>
      </c>
      <c r="O33" s="158">
        <v>613575</v>
      </c>
      <c r="P33" s="158">
        <v>613575</v>
      </c>
      <c r="Q33" s="158"/>
      <c r="R33" s="155">
        <f>ROUND(SUM(D33:P33)/13,0)</f>
        <v>586731</v>
      </c>
      <c r="S33" s="927"/>
      <c r="T33" s="929"/>
    </row>
    <row r="34" spans="1:20" s="925" customFormat="1" ht="11.25" customHeight="1">
      <c r="A34" s="930"/>
      <c r="B34" s="931" t="s">
        <v>866</v>
      </c>
      <c r="C34" s="931"/>
      <c r="E34" s="925">
        <f t="shared" ref="E34:P34" si="7">+E33-D33</f>
        <v>0</v>
      </c>
      <c r="F34" s="925">
        <f t="shared" si="7"/>
        <v>0</v>
      </c>
      <c r="G34" s="925">
        <f t="shared" si="7"/>
        <v>116322</v>
      </c>
      <c r="H34" s="925">
        <f t="shared" si="7"/>
        <v>0</v>
      </c>
      <c r="I34" s="925">
        <f t="shared" si="7"/>
        <v>0</v>
      </c>
      <c r="J34" s="925">
        <f t="shared" si="7"/>
        <v>0</v>
      </c>
      <c r="K34" s="925">
        <f t="shared" si="7"/>
        <v>0</v>
      </c>
      <c r="L34" s="925">
        <f t="shared" si="7"/>
        <v>0</v>
      </c>
      <c r="M34" s="925">
        <f t="shared" si="7"/>
        <v>0</v>
      </c>
      <c r="N34" s="925">
        <f t="shared" si="7"/>
        <v>0</v>
      </c>
      <c r="O34" s="925">
        <f t="shared" si="7"/>
        <v>0</v>
      </c>
      <c r="P34" s="925">
        <f t="shared" si="7"/>
        <v>0</v>
      </c>
      <c r="R34" s="155"/>
    </row>
    <row r="35" spans="1:20" s="925" customFormat="1" ht="11.25" customHeight="1">
      <c r="A35" s="930"/>
      <c r="B35" s="931" t="s">
        <v>865</v>
      </c>
      <c r="C35" s="931"/>
      <c r="E35" s="925">
        <v>1</v>
      </c>
      <c r="F35" s="925">
        <v>2</v>
      </c>
      <c r="G35" s="925">
        <v>3</v>
      </c>
      <c r="H35" s="925">
        <v>4</v>
      </c>
      <c r="I35" s="925">
        <v>5</v>
      </c>
      <c r="J35" s="925">
        <v>6</v>
      </c>
      <c r="K35" s="925">
        <v>7</v>
      </c>
      <c r="L35" s="925">
        <v>8</v>
      </c>
      <c r="M35" s="925">
        <v>9</v>
      </c>
      <c r="N35" s="925">
        <v>10</v>
      </c>
      <c r="O35" s="925">
        <v>11</v>
      </c>
      <c r="P35" s="925">
        <v>12</v>
      </c>
      <c r="R35" s="155"/>
    </row>
    <row r="36" spans="1:20" s="925" customFormat="1" ht="11.25" customHeight="1">
      <c r="A36" s="930"/>
      <c r="B36" s="881">
        <v>0.05</v>
      </c>
      <c r="C36" s="931"/>
      <c r="E36" s="925">
        <f t="shared" ref="E36:P36" si="8">+E34*($B36/12)*E35</f>
        <v>0</v>
      </c>
      <c r="F36" s="925">
        <f t="shared" si="8"/>
        <v>0</v>
      </c>
      <c r="G36" s="925">
        <f t="shared" si="8"/>
        <v>1454.0250000000001</v>
      </c>
      <c r="H36" s="925">
        <f t="shared" si="8"/>
        <v>0</v>
      </c>
      <c r="I36" s="925">
        <f t="shared" si="8"/>
        <v>0</v>
      </c>
      <c r="J36" s="925">
        <f t="shared" si="8"/>
        <v>0</v>
      </c>
      <c r="K36" s="925">
        <f t="shared" si="8"/>
        <v>0</v>
      </c>
      <c r="L36" s="925">
        <f t="shared" si="8"/>
        <v>0</v>
      </c>
      <c r="M36" s="925">
        <f t="shared" si="8"/>
        <v>0</v>
      </c>
      <c r="N36" s="925">
        <f t="shared" si="8"/>
        <v>0</v>
      </c>
      <c r="O36" s="925">
        <f t="shared" si="8"/>
        <v>0</v>
      </c>
      <c r="P36" s="925">
        <f t="shared" si="8"/>
        <v>0</v>
      </c>
      <c r="Q36" s="925">
        <f>SUM(E36:P36)</f>
        <v>1454.0250000000001</v>
      </c>
      <c r="R36" s="155"/>
    </row>
    <row r="37" spans="1:20" s="907" customFormat="1" ht="12">
      <c r="A37" s="924">
        <f>A33+1</f>
        <v>14</v>
      </c>
      <c r="B37" s="907" t="s">
        <v>382</v>
      </c>
      <c r="D37" s="158">
        <v>275671</v>
      </c>
      <c r="E37" s="158">
        <v>280604</v>
      </c>
      <c r="F37" s="158">
        <v>281347</v>
      </c>
      <c r="G37" s="158">
        <v>282439</v>
      </c>
      <c r="H37" s="158">
        <v>282759</v>
      </c>
      <c r="I37" s="158">
        <v>303662</v>
      </c>
      <c r="J37" s="158">
        <v>304501</v>
      </c>
      <c r="K37" s="158">
        <v>305361</v>
      </c>
      <c r="L37" s="158">
        <v>306282</v>
      </c>
      <c r="M37" s="158">
        <v>307152</v>
      </c>
      <c r="N37" s="158">
        <v>309207</v>
      </c>
      <c r="O37" s="158">
        <v>326109</v>
      </c>
      <c r="P37" s="158">
        <v>326353</v>
      </c>
      <c r="Q37" s="158"/>
      <c r="R37" s="155">
        <f>ROUND(SUM(D37:P37)/13,0)</f>
        <v>299342</v>
      </c>
      <c r="S37" s="927"/>
      <c r="T37" s="929"/>
    </row>
    <row r="38" spans="1:20" s="925" customFormat="1" ht="11.25" customHeight="1">
      <c r="A38" s="930"/>
      <c r="B38" s="931" t="s">
        <v>866</v>
      </c>
      <c r="C38" s="931"/>
      <c r="E38" s="925">
        <f t="shared" ref="E38:P38" si="9">+E37-D37</f>
        <v>4933</v>
      </c>
      <c r="F38" s="925">
        <f t="shared" si="9"/>
        <v>743</v>
      </c>
      <c r="G38" s="925">
        <f t="shared" si="9"/>
        <v>1092</v>
      </c>
      <c r="H38" s="925">
        <f t="shared" si="9"/>
        <v>320</v>
      </c>
      <c r="I38" s="925">
        <f t="shared" si="9"/>
        <v>20903</v>
      </c>
      <c r="J38" s="925">
        <f t="shared" si="9"/>
        <v>839</v>
      </c>
      <c r="K38" s="925">
        <f t="shared" si="9"/>
        <v>860</v>
      </c>
      <c r="L38" s="925">
        <f t="shared" si="9"/>
        <v>921</v>
      </c>
      <c r="M38" s="925">
        <f t="shared" si="9"/>
        <v>870</v>
      </c>
      <c r="N38" s="925">
        <f t="shared" si="9"/>
        <v>2055</v>
      </c>
      <c r="O38" s="925">
        <f t="shared" si="9"/>
        <v>16902</v>
      </c>
      <c r="P38" s="925">
        <f t="shared" si="9"/>
        <v>244</v>
      </c>
      <c r="R38" s="155"/>
    </row>
    <row r="39" spans="1:20" s="925" customFormat="1" ht="11.25" customHeight="1">
      <c r="A39" s="930"/>
      <c r="B39" s="931" t="s">
        <v>865</v>
      </c>
      <c r="C39" s="931"/>
      <c r="E39" s="925">
        <v>1</v>
      </c>
      <c r="F39" s="925">
        <v>2</v>
      </c>
      <c r="G39" s="925">
        <v>3</v>
      </c>
      <c r="H39" s="925">
        <v>4</v>
      </c>
      <c r="I39" s="925">
        <v>5</v>
      </c>
      <c r="J39" s="925">
        <v>6</v>
      </c>
      <c r="K39" s="925">
        <v>7</v>
      </c>
      <c r="L39" s="925">
        <v>8</v>
      </c>
      <c r="M39" s="925">
        <v>9</v>
      </c>
      <c r="N39" s="925">
        <v>10</v>
      </c>
      <c r="O39" s="925">
        <v>11</v>
      </c>
      <c r="P39" s="925">
        <v>12</v>
      </c>
      <c r="R39" s="155"/>
    </row>
    <row r="40" spans="1:20" s="925" customFormat="1" ht="11.25" customHeight="1">
      <c r="A40" s="930"/>
      <c r="B40" s="881">
        <v>0.05</v>
      </c>
      <c r="C40" s="931"/>
      <c r="E40" s="925">
        <f t="shared" ref="E40:P40" si="10">+E38*($B40/12)*E39</f>
        <v>20.554166666666667</v>
      </c>
      <c r="F40" s="925">
        <f t="shared" si="10"/>
        <v>6.1916666666666664</v>
      </c>
      <c r="G40" s="925">
        <f t="shared" si="10"/>
        <v>13.649999999999999</v>
      </c>
      <c r="H40" s="925">
        <f t="shared" si="10"/>
        <v>5.333333333333333</v>
      </c>
      <c r="I40" s="925">
        <f t="shared" si="10"/>
        <v>435.47916666666663</v>
      </c>
      <c r="J40" s="925">
        <f t="shared" si="10"/>
        <v>20.974999999999998</v>
      </c>
      <c r="K40" s="925">
        <f t="shared" si="10"/>
        <v>25.083333333333336</v>
      </c>
      <c r="L40" s="925">
        <f t="shared" si="10"/>
        <v>30.7</v>
      </c>
      <c r="M40" s="925">
        <f t="shared" si="10"/>
        <v>32.625</v>
      </c>
      <c r="N40" s="925">
        <f t="shared" si="10"/>
        <v>85.625</v>
      </c>
      <c r="O40" s="925">
        <f t="shared" si="10"/>
        <v>774.67499999999995</v>
      </c>
      <c r="P40" s="925">
        <f t="shared" si="10"/>
        <v>12.2</v>
      </c>
      <c r="Q40" s="925">
        <f>SUM(E40:P40)</f>
        <v>1463.0916666666667</v>
      </c>
      <c r="R40" s="155"/>
    </row>
    <row r="41" spans="1:20" s="907" customFormat="1" ht="12">
      <c r="A41" s="924">
        <f>A37+1</f>
        <v>15</v>
      </c>
      <c r="B41" s="907" t="s">
        <v>383</v>
      </c>
      <c r="D41" s="158">
        <v>80709</v>
      </c>
      <c r="E41" s="158">
        <v>80709</v>
      </c>
      <c r="F41" s="158">
        <v>80709</v>
      </c>
      <c r="G41" s="158">
        <v>80709</v>
      </c>
      <c r="H41" s="158">
        <v>80709</v>
      </c>
      <c r="I41" s="158">
        <v>80709</v>
      </c>
      <c r="J41" s="158">
        <v>80709</v>
      </c>
      <c r="K41" s="158">
        <v>80709</v>
      </c>
      <c r="L41" s="158">
        <v>80709</v>
      </c>
      <c r="M41" s="158">
        <v>80709</v>
      </c>
      <c r="N41" s="158">
        <v>80709</v>
      </c>
      <c r="O41" s="158">
        <v>80709</v>
      </c>
      <c r="P41" s="158">
        <v>80709</v>
      </c>
      <c r="Q41" s="158"/>
      <c r="R41" s="155">
        <f>ROUND(SUM(D41:P41)/13,0)</f>
        <v>80709</v>
      </c>
      <c r="S41" s="927">
        <f>+R41-D41</f>
        <v>0</v>
      </c>
      <c r="T41" s="929"/>
    </row>
    <row r="42" spans="1:20" s="907" customFormat="1" ht="12">
      <c r="A42" s="924">
        <f>A41+1</f>
        <v>16</v>
      </c>
      <c r="B42" s="905" t="s">
        <v>384</v>
      </c>
      <c r="D42" s="925"/>
      <c r="E42" s="925"/>
      <c r="F42" s="925"/>
      <c r="G42" s="925"/>
      <c r="H42" s="925"/>
      <c r="I42" s="925"/>
      <c r="J42" s="925"/>
      <c r="K42" s="925"/>
      <c r="L42" s="925"/>
      <c r="M42" s="925"/>
      <c r="N42" s="925"/>
      <c r="O42" s="925"/>
      <c r="P42" s="925"/>
      <c r="Q42" s="925"/>
      <c r="R42" s="155"/>
      <c r="S42" s="927"/>
      <c r="T42" s="928"/>
    </row>
    <row r="43" spans="1:20" s="907" customFormat="1" ht="12">
      <c r="A43" s="924">
        <f>A42+1</f>
        <v>17</v>
      </c>
      <c r="B43" s="907" t="s">
        <v>385</v>
      </c>
      <c r="D43" s="925">
        <v>216022</v>
      </c>
      <c r="E43" s="925">
        <v>216022</v>
      </c>
      <c r="F43" s="925">
        <v>216022</v>
      </c>
      <c r="G43" s="925">
        <v>216022</v>
      </c>
      <c r="H43" s="925">
        <v>216022</v>
      </c>
      <c r="I43" s="925">
        <v>216022</v>
      </c>
      <c r="J43" s="925">
        <v>216022</v>
      </c>
      <c r="K43" s="925">
        <v>216022</v>
      </c>
      <c r="L43" s="925">
        <v>216022</v>
      </c>
      <c r="M43" s="925">
        <v>216022</v>
      </c>
      <c r="N43" s="925">
        <v>216022</v>
      </c>
      <c r="O43" s="925">
        <v>216022</v>
      </c>
      <c r="P43" s="925">
        <v>216022</v>
      </c>
      <c r="Q43" s="925"/>
      <c r="R43" s="155">
        <f>ROUND(SUM(D43:P43)/13,0)</f>
        <v>216022</v>
      </c>
      <c r="S43" s="927">
        <f>+R43-D43</f>
        <v>0</v>
      </c>
      <c r="T43" s="929"/>
    </row>
    <row r="44" spans="1:20" s="907" customFormat="1" ht="12">
      <c r="A44" s="924">
        <f>A43+1</f>
        <v>18</v>
      </c>
      <c r="B44" s="907" t="s">
        <v>386</v>
      </c>
      <c r="D44" s="158">
        <v>7591983</v>
      </c>
      <c r="E44" s="158">
        <v>7589826</v>
      </c>
      <c r="F44" s="158">
        <v>7592305</v>
      </c>
      <c r="G44" s="158">
        <v>7592772</v>
      </c>
      <c r="H44" s="158">
        <v>7592772</v>
      </c>
      <c r="I44" s="158">
        <v>7592772</v>
      </c>
      <c r="J44" s="158">
        <v>7622221</v>
      </c>
      <c r="K44" s="158">
        <v>7635364</v>
      </c>
      <c r="L44" s="158">
        <v>9184437</v>
      </c>
      <c r="M44" s="158">
        <v>9184753</v>
      </c>
      <c r="N44" s="158">
        <v>9201878</v>
      </c>
      <c r="O44" s="158">
        <v>9200729</v>
      </c>
      <c r="P44" s="158">
        <v>9204476</v>
      </c>
      <c r="Q44" s="925"/>
      <c r="R44" s="155">
        <f>ROUND(SUM(D44:P44)/13,0)</f>
        <v>8214330</v>
      </c>
      <c r="S44" s="927"/>
      <c r="T44" s="929"/>
    </row>
    <row r="45" spans="1:20" s="925" customFormat="1" ht="11.25" customHeight="1">
      <c r="A45" s="930"/>
      <c r="B45" s="931" t="s">
        <v>866</v>
      </c>
      <c r="C45" s="931"/>
      <c r="E45" s="925">
        <f t="shared" ref="E45:P45" si="11">+E44-D44</f>
        <v>-2157</v>
      </c>
      <c r="F45" s="925">
        <f t="shared" si="11"/>
        <v>2479</v>
      </c>
      <c r="G45" s="925">
        <f t="shared" si="11"/>
        <v>467</v>
      </c>
      <c r="H45" s="925">
        <f t="shared" si="11"/>
        <v>0</v>
      </c>
      <c r="I45" s="925">
        <f t="shared" si="11"/>
        <v>0</v>
      </c>
      <c r="J45" s="925">
        <f t="shared" si="11"/>
        <v>29449</v>
      </c>
      <c r="K45" s="925">
        <f t="shared" si="11"/>
        <v>13143</v>
      </c>
      <c r="L45" s="925">
        <f t="shared" si="11"/>
        <v>1549073</v>
      </c>
      <c r="M45" s="925">
        <f t="shared" si="11"/>
        <v>316</v>
      </c>
      <c r="N45" s="925">
        <f t="shared" si="11"/>
        <v>17125</v>
      </c>
      <c r="O45" s="925">
        <f t="shared" si="11"/>
        <v>-1149</v>
      </c>
      <c r="P45" s="925">
        <f t="shared" si="11"/>
        <v>3747</v>
      </c>
      <c r="R45" s="155"/>
    </row>
    <row r="46" spans="1:20" s="925" customFormat="1" ht="11.25" customHeight="1">
      <c r="A46" s="930"/>
      <c r="B46" s="931" t="s">
        <v>865</v>
      </c>
      <c r="C46" s="931"/>
      <c r="E46" s="925">
        <v>1</v>
      </c>
      <c r="F46" s="925">
        <v>2</v>
      </c>
      <c r="G46" s="925">
        <v>3</v>
      </c>
      <c r="H46" s="925">
        <v>4</v>
      </c>
      <c r="I46" s="925">
        <v>5</v>
      </c>
      <c r="J46" s="925">
        <v>6</v>
      </c>
      <c r="K46" s="925">
        <v>7</v>
      </c>
      <c r="L46" s="925">
        <v>8</v>
      </c>
      <c r="M46" s="925">
        <v>9</v>
      </c>
      <c r="N46" s="925">
        <v>10</v>
      </c>
      <c r="O46" s="925">
        <v>11</v>
      </c>
      <c r="P46" s="925">
        <v>12</v>
      </c>
      <c r="R46" s="155"/>
    </row>
    <row r="47" spans="1:20" s="925" customFormat="1" ht="11.25" customHeight="1">
      <c r="A47" s="930"/>
      <c r="B47" s="881">
        <v>3.125E-2</v>
      </c>
      <c r="C47" s="931"/>
      <c r="E47" s="925">
        <f t="shared" ref="E47:P47" si="12">+E45*($B47/12)*E46</f>
        <v>-5.6171875</v>
      </c>
      <c r="F47" s="925">
        <f t="shared" si="12"/>
        <v>12.911458333333332</v>
      </c>
      <c r="G47" s="925">
        <f t="shared" si="12"/>
        <v>3.6484375</v>
      </c>
      <c r="H47" s="925">
        <f t="shared" si="12"/>
        <v>0</v>
      </c>
      <c r="I47" s="925">
        <f t="shared" si="12"/>
        <v>0</v>
      </c>
      <c r="J47" s="925">
        <f t="shared" si="12"/>
        <v>460.14062499999994</v>
      </c>
      <c r="K47" s="925">
        <f t="shared" si="12"/>
        <v>239.5859375</v>
      </c>
      <c r="L47" s="925">
        <f t="shared" si="12"/>
        <v>32272.354166666664</v>
      </c>
      <c r="M47" s="925">
        <f t="shared" si="12"/>
        <v>7.40625</v>
      </c>
      <c r="N47" s="925">
        <f t="shared" si="12"/>
        <v>445.96354166666663</v>
      </c>
      <c r="O47" s="925">
        <f t="shared" si="12"/>
        <v>-32.9140625</v>
      </c>
      <c r="P47" s="925">
        <f t="shared" si="12"/>
        <v>117.09375</v>
      </c>
      <c r="Q47" s="925">
        <f>SUM(E47:P47)</f>
        <v>33520.572916666664</v>
      </c>
      <c r="R47" s="155"/>
    </row>
    <row r="48" spans="1:20" s="907" customFormat="1" ht="12">
      <c r="A48" s="924">
        <f>A44+1</f>
        <v>19</v>
      </c>
      <c r="B48" s="907" t="s">
        <v>30</v>
      </c>
      <c r="D48" s="925">
        <v>0</v>
      </c>
      <c r="E48" s="925">
        <v>0</v>
      </c>
      <c r="F48" s="925">
        <v>0</v>
      </c>
      <c r="G48" s="925">
        <v>0</v>
      </c>
      <c r="H48" s="925">
        <v>0</v>
      </c>
      <c r="I48" s="925">
        <v>0</v>
      </c>
      <c r="J48" s="925">
        <v>0</v>
      </c>
      <c r="K48" s="925">
        <v>0</v>
      </c>
      <c r="L48" s="925">
        <v>0</v>
      </c>
      <c r="M48" s="925">
        <v>0</v>
      </c>
      <c r="N48" s="925">
        <v>0</v>
      </c>
      <c r="O48" s="925">
        <v>0</v>
      </c>
      <c r="P48" s="925">
        <v>0</v>
      </c>
      <c r="Q48" s="925"/>
      <c r="R48" s="155">
        <f>ROUND(SUM(D48:P48)/13,0)</f>
        <v>0</v>
      </c>
      <c r="S48" s="927"/>
      <c r="T48" s="932"/>
    </row>
    <row r="49" spans="1:20" s="907" customFormat="1" ht="12">
      <c r="A49" s="924">
        <f>A48+1</f>
        <v>20</v>
      </c>
      <c r="B49" s="907" t="s">
        <v>31</v>
      </c>
      <c r="D49" s="158">
        <v>8080782</v>
      </c>
      <c r="E49" s="158">
        <v>8107612</v>
      </c>
      <c r="F49" s="158">
        <v>8129151</v>
      </c>
      <c r="G49" s="158">
        <v>8137355</v>
      </c>
      <c r="H49" s="158">
        <v>8183076</v>
      </c>
      <c r="I49" s="158">
        <v>8196369</v>
      </c>
      <c r="J49" s="158">
        <v>8201604</v>
      </c>
      <c r="K49" s="158">
        <v>8213137</v>
      </c>
      <c r="L49" s="158">
        <v>8213987</v>
      </c>
      <c r="M49" s="158">
        <v>8226038</v>
      </c>
      <c r="N49" s="158">
        <v>8244293</v>
      </c>
      <c r="O49" s="158">
        <v>8257638</v>
      </c>
      <c r="P49" s="158">
        <v>8272691</v>
      </c>
      <c r="Q49" s="925"/>
      <c r="R49" s="155">
        <f>ROUND(SUM(D49:P49)/13,0)</f>
        <v>8189518</v>
      </c>
      <c r="S49" s="927"/>
      <c r="T49" s="932"/>
    </row>
    <row r="50" spans="1:20" s="925" customFormat="1" ht="11.25" customHeight="1">
      <c r="A50" s="930"/>
      <c r="B50" s="931" t="s">
        <v>866</v>
      </c>
      <c r="C50" s="931"/>
      <c r="E50" s="925">
        <f t="shared" ref="E50:P50" si="13">+E49-D49</f>
        <v>26830</v>
      </c>
      <c r="F50" s="925">
        <f t="shared" si="13"/>
        <v>21539</v>
      </c>
      <c r="G50" s="925">
        <f t="shared" si="13"/>
        <v>8204</v>
      </c>
      <c r="H50" s="925">
        <f t="shared" si="13"/>
        <v>45721</v>
      </c>
      <c r="I50" s="925">
        <f t="shared" si="13"/>
        <v>13293</v>
      </c>
      <c r="J50" s="925">
        <f t="shared" si="13"/>
        <v>5235</v>
      </c>
      <c r="K50" s="925">
        <f t="shared" si="13"/>
        <v>11533</v>
      </c>
      <c r="L50" s="925">
        <f t="shared" si="13"/>
        <v>850</v>
      </c>
      <c r="M50" s="925">
        <f t="shared" si="13"/>
        <v>12051</v>
      </c>
      <c r="N50" s="925">
        <f t="shared" si="13"/>
        <v>18255</v>
      </c>
      <c r="O50" s="925">
        <f t="shared" si="13"/>
        <v>13345</v>
      </c>
      <c r="P50" s="925">
        <f t="shared" si="13"/>
        <v>15053</v>
      </c>
      <c r="R50" s="155"/>
    </row>
    <row r="51" spans="1:20" s="925" customFormat="1" ht="11.25" customHeight="1">
      <c r="A51" s="930"/>
      <c r="B51" s="931" t="s">
        <v>865</v>
      </c>
      <c r="C51" s="931"/>
      <c r="E51" s="925">
        <v>1</v>
      </c>
      <c r="F51" s="925">
        <v>2</v>
      </c>
      <c r="G51" s="925">
        <v>3</v>
      </c>
      <c r="H51" s="925">
        <v>4</v>
      </c>
      <c r="I51" s="925">
        <v>5</v>
      </c>
      <c r="J51" s="925">
        <v>6</v>
      </c>
      <c r="K51" s="925">
        <v>7</v>
      </c>
      <c r="L51" s="925">
        <v>8</v>
      </c>
      <c r="M51" s="925">
        <v>9</v>
      </c>
      <c r="N51" s="925">
        <v>10</v>
      </c>
      <c r="O51" s="925">
        <v>11</v>
      </c>
      <c r="P51" s="925">
        <v>12</v>
      </c>
      <c r="R51" s="155"/>
    </row>
    <row r="52" spans="1:20" s="925" customFormat="1" ht="11.25" customHeight="1">
      <c r="A52" s="930"/>
      <c r="B52" s="881">
        <v>0.05</v>
      </c>
      <c r="C52" s="931"/>
      <c r="E52" s="925">
        <f t="shared" ref="E52:P52" si="14">+E50*($B52/12)*E51</f>
        <v>111.79166666666667</v>
      </c>
      <c r="F52" s="925">
        <f t="shared" si="14"/>
        <v>179.49166666666667</v>
      </c>
      <c r="G52" s="925">
        <f t="shared" si="14"/>
        <v>102.54999999999998</v>
      </c>
      <c r="H52" s="925">
        <f t="shared" si="14"/>
        <v>762.01666666666665</v>
      </c>
      <c r="I52" s="925">
        <f t="shared" si="14"/>
        <v>276.9375</v>
      </c>
      <c r="J52" s="925">
        <f t="shared" si="14"/>
        <v>130.875</v>
      </c>
      <c r="K52" s="925">
        <f t="shared" si="14"/>
        <v>336.37916666666666</v>
      </c>
      <c r="L52" s="925">
        <f t="shared" si="14"/>
        <v>28.333333333333332</v>
      </c>
      <c r="M52" s="925">
        <f t="shared" si="14"/>
        <v>451.91249999999997</v>
      </c>
      <c r="N52" s="925">
        <f t="shared" si="14"/>
        <v>760.625</v>
      </c>
      <c r="O52" s="925">
        <f t="shared" si="14"/>
        <v>611.64583333333326</v>
      </c>
      <c r="P52" s="925">
        <f t="shared" si="14"/>
        <v>752.65</v>
      </c>
      <c r="Q52" s="925">
        <f>SUM(E52:P52)</f>
        <v>4505.208333333333</v>
      </c>
      <c r="R52" s="155"/>
    </row>
    <row r="53" spans="1:20" s="907" customFormat="1" ht="12">
      <c r="A53" s="924">
        <f>A49+1</f>
        <v>21</v>
      </c>
      <c r="B53" s="907" t="s">
        <v>387</v>
      </c>
      <c r="D53" s="158">
        <v>7193672</v>
      </c>
      <c r="E53" s="158">
        <v>7196447</v>
      </c>
      <c r="F53" s="158">
        <v>7198040</v>
      </c>
      <c r="G53" s="158">
        <v>7199103</v>
      </c>
      <c r="H53" s="158">
        <v>7199363</v>
      </c>
      <c r="I53" s="158">
        <v>7220942</v>
      </c>
      <c r="J53" s="158">
        <v>7229238</v>
      </c>
      <c r="K53" s="158">
        <v>7229858</v>
      </c>
      <c r="L53" s="158">
        <v>7229872</v>
      </c>
      <c r="M53" s="158">
        <v>7230159</v>
      </c>
      <c r="N53" s="158">
        <v>7233336</v>
      </c>
      <c r="O53" s="158">
        <v>7234691</v>
      </c>
      <c r="P53" s="158">
        <v>7240250</v>
      </c>
      <c r="Q53" s="925"/>
      <c r="R53" s="155">
        <f>ROUND(SUM(D53:P53)/13,0)</f>
        <v>7218075</v>
      </c>
      <c r="S53" s="927"/>
      <c r="T53" s="929"/>
    </row>
    <row r="54" spans="1:20" s="925" customFormat="1" ht="11.25" customHeight="1">
      <c r="A54" s="930"/>
      <c r="B54" s="931" t="s">
        <v>866</v>
      </c>
      <c r="C54" s="931"/>
      <c r="E54" s="925">
        <f t="shared" ref="E54:P54" si="15">+E53-D53</f>
        <v>2775</v>
      </c>
      <c r="F54" s="925">
        <f t="shared" si="15"/>
        <v>1593</v>
      </c>
      <c r="G54" s="925">
        <f t="shared" si="15"/>
        <v>1063</v>
      </c>
      <c r="H54" s="925">
        <f t="shared" si="15"/>
        <v>260</v>
      </c>
      <c r="I54" s="925">
        <f t="shared" si="15"/>
        <v>21579</v>
      </c>
      <c r="J54" s="925">
        <f t="shared" si="15"/>
        <v>8296</v>
      </c>
      <c r="K54" s="925">
        <f t="shared" si="15"/>
        <v>620</v>
      </c>
      <c r="L54" s="925">
        <f t="shared" si="15"/>
        <v>14</v>
      </c>
      <c r="M54" s="925">
        <f t="shared" si="15"/>
        <v>287</v>
      </c>
      <c r="N54" s="925">
        <f t="shared" si="15"/>
        <v>3177</v>
      </c>
      <c r="O54" s="925">
        <f t="shared" si="15"/>
        <v>1355</v>
      </c>
      <c r="P54" s="925">
        <f t="shared" si="15"/>
        <v>5559</v>
      </c>
      <c r="R54" s="155"/>
    </row>
    <row r="55" spans="1:20" s="925" customFormat="1" ht="11.25" customHeight="1">
      <c r="A55" s="930"/>
      <c r="B55" s="931" t="s">
        <v>865</v>
      </c>
      <c r="C55" s="931"/>
      <c r="E55" s="925">
        <v>1</v>
      </c>
      <c r="F55" s="925">
        <v>2</v>
      </c>
      <c r="G55" s="925">
        <v>3</v>
      </c>
      <c r="H55" s="925">
        <v>4</v>
      </c>
      <c r="I55" s="925">
        <v>5</v>
      </c>
      <c r="J55" s="925">
        <v>6</v>
      </c>
      <c r="K55" s="925">
        <v>7</v>
      </c>
      <c r="L55" s="925">
        <v>8</v>
      </c>
      <c r="M55" s="925">
        <v>9</v>
      </c>
      <c r="N55" s="925">
        <v>10</v>
      </c>
      <c r="O55" s="925">
        <v>11</v>
      </c>
      <c r="P55" s="925">
        <v>12</v>
      </c>
      <c r="R55" s="155"/>
    </row>
    <row r="56" spans="1:20" s="925" customFormat="1" ht="11.25" customHeight="1">
      <c r="A56" s="930"/>
      <c r="B56" s="881">
        <v>4.5454545454545456E-2</v>
      </c>
      <c r="C56" s="931"/>
      <c r="E56" s="925">
        <f t="shared" ref="E56:P56" si="16">+E54*($B56/12)*E55</f>
        <v>10.511363636363637</v>
      </c>
      <c r="F56" s="925">
        <f t="shared" si="16"/>
        <v>12.068181818181818</v>
      </c>
      <c r="G56" s="925">
        <f t="shared" si="16"/>
        <v>12.079545454545453</v>
      </c>
      <c r="H56" s="925">
        <f t="shared" si="16"/>
        <v>3.9393939393939394</v>
      </c>
      <c r="I56" s="925">
        <f t="shared" si="16"/>
        <v>408.69318181818181</v>
      </c>
      <c r="J56" s="925">
        <f t="shared" si="16"/>
        <v>188.54545454545456</v>
      </c>
      <c r="K56" s="925">
        <f t="shared" si="16"/>
        <v>16.439393939393941</v>
      </c>
      <c r="L56" s="925">
        <f t="shared" si="16"/>
        <v>0.42424242424242425</v>
      </c>
      <c r="M56" s="925">
        <f t="shared" si="16"/>
        <v>9.7840909090909101</v>
      </c>
      <c r="N56" s="925">
        <f t="shared" si="16"/>
        <v>120.34090909090909</v>
      </c>
      <c r="O56" s="925">
        <f t="shared" si="16"/>
        <v>56.458333333333336</v>
      </c>
      <c r="P56" s="925">
        <f t="shared" si="16"/>
        <v>252.68181818181819</v>
      </c>
      <c r="Q56" s="925">
        <f>SUM(E56:P56)</f>
        <v>1091.9659090909092</v>
      </c>
      <c r="R56" s="155"/>
    </row>
    <row r="57" spans="1:20" s="907" customFormat="1" ht="12">
      <c r="A57" s="924">
        <f>A53+1</f>
        <v>22</v>
      </c>
      <c r="B57" s="907" t="s">
        <v>388</v>
      </c>
      <c r="D57" s="925">
        <v>4143</v>
      </c>
      <c r="E57" s="925">
        <v>4143</v>
      </c>
      <c r="F57" s="925">
        <v>4143</v>
      </c>
      <c r="G57" s="925">
        <v>4143</v>
      </c>
      <c r="H57" s="925">
        <v>4143</v>
      </c>
      <c r="I57" s="925">
        <v>4143</v>
      </c>
      <c r="J57" s="925">
        <v>4143</v>
      </c>
      <c r="K57" s="925">
        <v>4143</v>
      </c>
      <c r="L57" s="925">
        <v>4143</v>
      </c>
      <c r="M57" s="925">
        <v>4143</v>
      </c>
      <c r="N57" s="925">
        <v>4143</v>
      </c>
      <c r="O57" s="925">
        <v>4143</v>
      </c>
      <c r="P57" s="925">
        <v>4143</v>
      </c>
      <c r="Q57" s="925"/>
      <c r="R57" s="155">
        <f>ROUND(SUM(D57:P57)/13,0)</f>
        <v>4143</v>
      </c>
      <c r="S57" s="927"/>
      <c r="T57" s="929"/>
    </row>
    <row r="58" spans="1:20" s="907" customFormat="1" ht="12">
      <c r="A58" s="924">
        <f>A57+1</f>
        <v>23</v>
      </c>
      <c r="B58" s="905" t="s">
        <v>389</v>
      </c>
      <c r="D58" s="158"/>
      <c r="E58" s="158"/>
      <c r="F58" s="158"/>
      <c r="G58" s="158"/>
      <c r="H58" s="158"/>
      <c r="I58" s="158"/>
      <c r="J58" s="158"/>
      <c r="K58" s="158"/>
      <c r="L58" s="158"/>
      <c r="M58" s="158"/>
      <c r="N58" s="158"/>
      <c r="O58" s="158"/>
      <c r="P58" s="158"/>
      <c r="Q58" s="158"/>
      <c r="R58" s="155"/>
      <c r="S58" s="927"/>
      <c r="T58" s="928"/>
    </row>
    <row r="59" spans="1:20" s="907" customFormat="1" ht="12">
      <c r="A59" s="924">
        <f>A58+1</f>
        <v>24</v>
      </c>
      <c r="B59" s="907" t="s">
        <v>390</v>
      </c>
      <c r="D59" s="158">
        <v>246</v>
      </c>
      <c r="E59" s="158">
        <v>246</v>
      </c>
      <c r="F59" s="158">
        <v>246</v>
      </c>
      <c r="G59" s="158">
        <v>246</v>
      </c>
      <c r="H59" s="158">
        <v>246</v>
      </c>
      <c r="I59" s="158">
        <v>246</v>
      </c>
      <c r="J59" s="158">
        <v>246</v>
      </c>
      <c r="K59" s="158">
        <v>246</v>
      </c>
      <c r="L59" s="158">
        <v>246</v>
      </c>
      <c r="M59" s="158">
        <v>246</v>
      </c>
      <c r="N59" s="158">
        <v>246</v>
      </c>
      <c r="O59" s="158">
        <v>246</v>
      </c>
      <c r="P59" s="158">
        <v>246</v>
      </c>
      <c r="Q59" s="158"/>
      <c r="R59" s="155">
        <f>ROUND(SUM(D59:P59)/13,0)</f>
        <v>246</v>
      </c>
      <c r="S59" s="927">
        <f>+R59-D59</f>
        <v>0</v>
      </c>
      <c r="T59" s="929"/>
    </row>
    <row r="60" spans="1:20" s="907" customFormat="1" ht="12">
      <c r="A60" s="924">
        <f>A59+1</f>
        <v>25</v>
      </c>
      <c r="B60" s="907" t="s">
        <v>391</v>
      </c>
      <c r="D60" s="158">
        <v>7890</v>
      </c>
      <c r="E60" s="158">
        <v>7890</v>
      </c>
      <c r="F60" s="158">
        <v>7890</v>
      </c>
      <c r="G60" s="158">
        <v>7890</v>
      </c>
      <c r="H60" s="158">
        <v>7990</v>
      </c>
      <c r="I60" s="158">
        <v>7990</v>
      </c>
      <c r="J60" s="158">
        <v>8306</v>
      </c>
      <c r="K60" s="158">
        <v>8668</v>
      </c>
      <c r="L60" s="158">
        <v>9068</v>
      </c>
      <c r="M60" s="158">
        <v>9068</v>
      </c>
      <c r="N60" s="158">
        <v>9068</v>
      </c>
      <c r="O60" s="158">
        <v>9368</v>
      </c>
      <c r="P60" s="158">
        <v>9368</v>
      </c>
      <c r="Q60" s="158"/>
      <c r="R60" s="155">
        <f>ROUND(SUM(D60:P60)/13,0)</f>
        <v>8496</v>
      </c>
      <c r="S60" s="927"/>
      <c r="T60" s="929"/>
    </row>
    <row r="61" spans="1:20" s="925" customFormat="1" ht="11.25" customHeight="1">
      <c r="A61" s="930"/>
      <c r="B61" s="931" t="s">
        <v>866</v>
      </c>
      <c r="C61" s="931"/>
      <c r="E61" s="925">
        <f t="shared" ref="E61:P61" si="17">+E60-D60</f>
        <v>0</v>
      </c>
      <c r="F61" s="925">
        <f t="shared" si="17"/>
        <v>0</v>
      </c>
      <c r="G61" s="925">
        <f t="shared" si="17"/>
        <v>0</v>
      </c>
      <c r="H61" s="925">
        <f t="shared" si="17"/>
        <v>100</v>
      </c>
      <c r="I61" s="925">
        <f t="shared" si="17"/>
        <v>0</v>
      </c>
      <c r="J61" s="925">
        <f t="shared" si="17"/>
        <v>316</v>
      </c>
      <c r="K61" s="925">
        <f t="shared" si="17"/>
        <v>362</v>
      </c>
      <c r="L61" s="925">
        <f t="shared" si="17"/>
        <v>400</v>
      </c>
      <c r="M61" s="925">
        <f t="shared" si="17"/>
        <v>0</v>
      </c>
      <c r="N61" s="925">
        <f t="shared" si="17"/>
        <v>0</v>
      </c>
      <c r="O61" s="925">
        <f t="shared" si="17"/>
        <v>300</v>
      </c>
      <c r="P61" s="925">
        <f t="shared" si="17"/>
        <v>0</v>
      </c>
      <c r="R61" s="155"/>
    </row>
    <row r="62" spans="1:20" s="925" customFormat="1" ht="11.25" customHeight="1">
      <c r="A62" s="930"/>
      <c r="B62" s="931" t="s">
        <v>865</v>
      </c>
      <c r="C62" s="931"/>
      <c r="E62" s="925">
        <v>1</v>
      </c>
      <c r="F62" s="925">
        <v>2</v>
      </c>
      <c r="G62" s="925">
        <v>3</v>
      </c>
      <c r="H62" s="925">
        <v>4</v>
      </c>
      <c r="I62" s="925">
        <v>5</v>
      </c>
      <c r="J62" s="925">
        <v>6</v>
      </c>
      <c r="K62" s="925">
        <v>7</v>
      </c>
      <c r="L62" s="925">
        <v>8</v>
      </c>
      <c r="M62" s="925">
        <v>9</v>
      </c>
      <c r="N62" s="925">
        <v>10</v>
      </c>
      <c r="O62" s="925">
        <v>11</v>
      </c>
      <c r="P62" s="925">
        <v>12</v>
      </c>
      <c r="R62" s="155"/>
    </row>
    <row r="63" spans="1:20" s="925" customFormat="1" ht="11.25" customHeight="1">
      <c r="A63" s="930"/>
      <c r="B63" s="881">
        <v>3.125E-2</v>
      </c>
      <c r="C63" s="931"/>
      <c r="E63" s="925">
        <f t="shared" ref="E63:P63" si="18">+E61*($B63/12)*E62</f>
        <v>0</v>
      </c>
      <c r="F63" s="925">
        <f t="shared" si="18"/>
        <v>0</v>
      </c>
      <c r="G63" s="925">
        <f t="shared" si="18"/>
        <v>0</v>
      </c>
      <c r="H63" s="925">
        <f t="shared" si="18"/>
        <v>1.0416666666666665</v>
      </c>
      <c r="I63" s="925">
        <f t="shared" si="18"/>
        <v>0</v>
      </c>
      <c r="J63" s="925">
        <f t="shared" si="18"/>
        <v>4.9375</v>
      </c>
      <c r="K63" s="925">
        <f t="shared" si="18"/>
        <v>6.598958333333333</v>
      </c>
      <c r="L63" s="925">
        <f t="shared" si="18"/>
        <v>8.3333333333333321</v>
      </c>
      <c r="M63" s="925">
        <f t="shared" si="18"/>
        <v>0</v>
      </c>
      <c r="N63" s="925">
        <f t="shared" si="18"/>
        <v>0</v>
      </c>
      <c r="O63" s="925">
        <f t="shared" si="18"/>
        <v>8.59375</v>
      </c>
      <c r="P63" s="925">
        <f t="shared" si="18"/>
        <v>0</v>
      </c>
      <c r="Q63" s="925">
        <f>SUM(E63:P63)</f>
        <v>29.505208333333332</v>
      </c>
      <c r="R63" s="155"/>
    </row>
    <row r="64" spans="1:20" s="907" customFormat="1" ht="12">
      <c r="A64" s="924">
        <f>A60+1</f>
        <v>26</v>
      </c>
      <c r="B64" s="907" t="s">
        <v>61</v>
      </c>
      <c r="D64" s="158">
        <v>292488</v>
      </c>
      <c r="E64" s="158">
        <v>292488</v>
      </c>
      <c r="F64" s="158">
        <v>292488</v>
      </c>
      <c r="G64" s="158">
        <v>292488</v>
      </c>
      <c r="H64" s="158">
        <v>292488</v>
      </c>
      <c r="I64" s="158">
        <v>292488</v>
      </c>
      <c r="J64" s="158">
        <v>292488</v>
      </c>
      <c r="K64" s="158">
        <v>292488</v>
      </c>
      <c r="L64" s="158">
        <v>292488</v>
      </c>
      <c r="M64" s="158">
        <v>292488</v>
      </c>
      <c r="N64" s="158">
        <v>292488</v>
      </c>
      <c r="O64" s="158">
        <v>292488</v>
      </c>
      <c r="P64" s="158">
        <v>292488</v>
      </c>
      <c r="Q64" s="158"/>
      <c r="R64" s="155">
        <f>ROUND(SUM(D64:P64)/13,0)</f>
        <v>292488</v>
      </c>
      <c r="S64" s="927">
        <f>+R64-D64</f>
        <v>0</v>
      </c>
      <c r="T64" s="929"/>
    </row>
    <row r="65" spans="1:20" s="907" customFormat="1" ht="12">
      <c r="A65" s="924">
        <f>A64+1</f>
        <v>27</v>
      </c>
      <c r="B65" s="907" t="s">
        <v>392</v>
      </c>
      <c r="D65" s="158">
        <v>5573536</v>
      </c>
      <c r="E65" s="158">
        <v>5574241</v>
      </c>
      <c r="F65" s="158">
        <v>5573924</v>
      </c>
      <c r="G65" s="158">
        <v>5573924</v>
      </c>
      <c r="H65" s="158">
        <v>5574613</v>
      </c>
      <c r="I65" s="158">
        <v>5574625</v>
      </c>
      <c r="J65" s="158">
        <v>5590449</v>
      </c>
      <c r="K65" s="158">
        <v>5589455</v>
      </c>
      <c r="L65" s="158">
        <v>5589952</v>
      </c>
      <c r="M65" s="158">
        <v>5589518</v>
      </c>
      <c r="N65" s="158">
        <v>5590449</v>
      </c>
      <c r="O65" s="158">
        <v>5582544</v>
      </c>
      <c r="P65" s="158">
        <v>5610570</v>
      </c>
      <c r="Q65" s="158"/>
      <c r="R65" s="155">
        <f>ROUND(SUM(D65:P65)/13,0)</f>
        <v>5583677</v>
      </c>
      <c r="S65" s="927"/>
      <c r="T65" s="929"/>
    </row>
    <row r="66" spans="1:20" s="925" customFormat="1" ht="11.25" customHeight="1">
      <c r="A66" s="930"/>
      <c r="B66" s="931" t="s">
        <v>866</v>
      </c>
      <c r="C66" s="931"/>
      <c r="E66" s="925">
        <f t="shared" ref="E66:P66" si="19">+E65-D65</f>
        <v>705</v>
      </c>
      <c r="F66" s="925">
        <f t="shared" si="19"/>
        <v>-317</v>
      </c>
      <c r="G66" s="925">
        <f t="shared" si="19"/>
        <v>0</v>
      </c>
      <c r="H66" s="925">
        <f t="shared" si="19"/>
        <v>689</v>
      </c>
      <c r="I66" s="925">
        <f t="shared" si="19"/>
        <v>12</v>
      </c>
      <c r="J66" s="925">
        <f t="shared" si="19"/>
        <v>15824</v>
      </c>
      <c r="K66" s="925">
        <f t="shared" si="19"/>
        <v>-994</v>
      </c>
      <c r="L66" s="925">
        <f t="shared" si="19"/>
        <v>497</v>
      </c>
      <c r="M66" s="925">
        <f t="shared" si="19"/>
        <v>-434</v>
      </c>
      <c r="N66" s="925">
        <f t="shared" si="19"/>
        <v>931</v>
      </c>
      <c r="O66" s="925">
        <f t="shared" si="19"/>
        <v>-7905</v>
      </c>
      <c r="P66" s="925">
        <f t="shared" si="19"/>
        <v>28026</v>
      </c>
      <c r="R66" s="155"/>
    </row>
    <row r="67" spans="1:20" s="925" customFormat="1" ht="11.25" customHeight="1">
      <c r="A67" s="930"/>
      <c r="B67" s="931" t="s">
        <v>865</v>
      </c>
      <c r="C67" s="931"/>
      <c r="E67" s="925">
        <v>1</v>
      </c>
      <c r="F67" s="925">
        <v>2</v>
      </c>
      <c r="G67" s="925">
        <v>3</v>
      </c>
      <c r="H67" s="925">
        <v>4</v>
      </c>
      <c r="I67" s="925">
        <v>5</v>
      </c>
      <c r="J67" s="925">
        <v>6</v>
      </c>
      <c r="K67" s="925">
        <v>7</v>
      </c>
      <c r="L67" s="925">
        <v>8</v>
      </c>
      <c r="M67" s="925">
        <v>9</v>
      </c>
      <c r="N67" s="925">
        <v>10</v>
      </c>
      <c r="O67" s="925">
        <v>11</v>
      </c>
      <c r="P67" s="925">
        <v>12</v>
      </c>
      <c r="R67" s="155"/>
    </row>
    <row r="68" spans="1:20" s="925" customFormat="1" ht="11.25" customHeight="1">
      <c r="A68" s="930"/>
      <c r="B68" s="881">
        <v>2.7027027027027029E-2</v>
      </c>
      <c r="C68" s="931"/>
      <c r="E68" s="925">
        <f t="shared" ref="E68:P68" si="20">+E66*($B68/12)*E67</f>
        <v>1.5878378378378377</v>
      </c>
      <c r="F68" s="925">
        <f t="shared" si="20"/>
        <v>-1.427927927927928</v>
      </c>
      <c r="G68" s="925">
        <f t="shared" si="20"/>
        <v>0</v>
      </c>
      <c r="H68" s="925">
        <f t="shared" si="20"/>
        <v>6.2072072072072073</v>
      </c>
      <c r="I68" s="925">
        <f t="shared" si="20"/>
        <v>0.13513513513513514</v>
      </c>
      <c r="J68" s="925">
        <f t="shared" si="20"/>
        <v>213.83783783783784</v>
      </c>
      <c r="K68" s="925">
        <f t="shared" si="20"/>
        <v>-15.671171171171171</v>
      </c>
      <c r="L68" s="925">
        <f t="shared" si="20"/>
        <v>8.954954954954955</v>
      </c>
      <c r="M68" s="925">
        <f t="shared" si="20"/>
        <v>-8.7972972972972983</v>
      </c>
      <c r="N68" s="925">
        <f t="shared" si="20"/>
        <v>20.968468468468465</v>
      </c>
      <c r="O68" s="925">
        <f t="shared" si="20"/>
        <v>-195.84459459459458</v>
      </c>
      <c r="P68" s="925">
        <f t="shared" si="20"/>
        <v>757.45945945945948</v>
      </c>
      <c r="Q68" s="925">
        <f>SUM(E68:P68)</f>
        <v>787.40990990990997</v>
      </c>
      <c r="R68" s="155"/>
    </row>
    <row r="69" spans="1:20" s="907" customFormat="1" ht="12">
      <c r="A69" s="924">
        <f>A65+1</f>
        <v>28</v>
      </c>
      <c r="B69" s="907" t="s">
        <v>393</v>
      </c>
      <c r="D69" s="158">
        <v>45335103</v>
      </c>
      <c r="E69" s="158">
        <v>45350315</v>
      </c>
      <c r="F69" s="158">
        <v>45359205</v>
      </c>
      <c r="G69" s="158">
        <v>45491118</v>
      </c>
      <c r="H69" s="158">
        <v>45500151</v>
      </c>
      <c r="I69" s="158">
        <v>45698115</v>
      </c>
      <c r="J69" s="158">
        <v>45707330</v>
      </c>
      <c r="K69" s="158">
        <v>45894857</v>
      </c>
      <c r="L69" s="158">
        <v>45909644</v>
      </c>
      <c r="M69" s="158">
        <v>45926970</v>
      </c>
      <c r="N69" s="158">
        <v>45938716</v>
      </c>
      <c r="O69" s="158">
        <v>45962001</v>
      </c>
      <c r="P69" s="158">
        <v>45979196</v>
      </c>
      <c r="Q69" s="158"/>
      <c r="R69" s="155">
        <f>ROUND(SUM(D69:P69)/13,0)</f>
        <v>45696363</v>
      </c>
      <c r="S69" s="927"/>
      <c r="T69" s="929"/>
    </row>
    <row r="70" spans="1:20" s="925" customFormat="1" ht="11.25" customHeight="1">
      <c r="A70" s="930"/>
      <c r="B70" s="931" t="s">
        <v>866</v>
      </c>
      <c r="C70" s="931"/>
      <c r="E70" s="925">
        <f t="shared" ref="E70:P70" si="21">+E69-D69</f>
        <v>15212</v>
      </c>
      <c r="F70" s="925">
        <f t="shared" si="21"/>
        <v>8890</v>
      </c>
      <c r="G70" s="925">
        <f t="shared" si="21"/>
        <v>131913</v>
      </c>
      <c r="H70" s="925">
        <f t="shared" si="21"/>
        <v>9033</v>
      </c>
      <c r="I70" s="925">
        <f t="shared" si="21"/>
        <v>197964</v>
      </c>
      <c r="J70" s="925">
        <f t="shared" si="21"/>
        <v>9215</v>
      </c>
      <c r="K70" s="925">
        <f t="shared" si="21"/>
        <v>187527</v>
      </c>
      <c r="L70" s="925">
        <f t="shared" si="21"/>
        <v>14787</v>
      </c>
      <c r="M70" s="925">
        <f t="shared" si="21"/>
        <v>17326</v>
      </c>
      <c r="N70" s="925">
        <f t="shared" si="21"/>
        <v>11746</v>
      </c>
      <c r="O70" s="925">
        <f t="shared" si="21"/>
        <v>23285</v>
      </c>
      <c r="P70" s="925">
        <f t="shared" si="21"/>
        <v>17195</v>
      </c>
      <c r="R70" s="155"/>
    </row>
    <row r="71" spans="1:20" s="925" customFormat="1" ht="11.25" customHeight="1">
      <c r="A71" s="930"/>
      <c r="B71" s="931" t="s">
        <v>865</v>
      </c>
      <c r="C71" s="931"/>
      <c r="E71" s="925">
        <v>1</v>
      </c>
      <c r="F71" s="925">
        <v>2</v>
      </c>
      <c r="G71" s="925">
        <v>3</v>
      </c>
      <c r="H71" s="925">
        <v>4</v>
      </c>
      <c r="I71" s="925">
        <v>5</v>
      </c>
      <c r="J71" s="925">
        <v>6</v>
      </c>
      <c r="K71" s="925">
        <v>7</v>
      </c>
      <c r="L71" s="925">
        <v>8</v>
      </c>
      <c r="M71" s="925">
        <v>9</v>
      </c>
      <c r="N71" s="925">
        <v>10</v>
      </c>
      <c r="O71" s="925">
        <v>11</v>
      </c>
      <c r="P71" s="925">
        <v>12</v>
      </c>
      <c r="R71" s="155"/>
    </row>
    <row r="72" spans="1:20" s="925" customFormat="1" ht="11.25" customHeight="1">
      <c r="A72" s="930"/>
      <c r="B72" s="881">
        <v>2.3255813953488372E-2</v>
      </c>
      <c r="C72" s="931"/>
      <c r="E72" s="925">
        <f t="shared" ref="E72:P72" si="22">+E70*($B72/12)*E71</f>
        <v>29.480620155038761</v>
      </c>
      <c r="F72" s="925">
        <f t="shared" si="22"/>
        <v>34.457364341085274</v>
      </c>
      <c r="G72" s="925">
        <f t="shared" si="22"/>
        <v>766.93604651162786</v>
      </c>
      <c r="H72" s="925">
        <f t="shared" si="22"/>
        <v>70.023255813953483</v>
      </c>
      <c r="I72" s="925">
        <f t="shared" si="22"/>
        <v>1918.2558139534885</v>
      </c>
      <c r="J72" s="925">
        <f t="shared" si="22"/>
        <v>107.15116279069767</v>
      </c>
      <c r="K72" s="925">
        <f t="shared" si="22"/>
        <v>2543.9709302325582</v>
      </c>
      <c r="L72" s="925">
        <f t="shared" si="22"/>
        <v>229.25581395348837</v>
      </c>
      <c r="M72" s="925">
        <f t="shared" si="22"/>
        <v>302.19767441860461</v>
      </c>
      <c r="N72" s="925">
        <f t="shared" si="22"/>
        <v>227.63565891472868</v>
      </c>
      <c r="O72" s="925">
        <f t="shared" si="22"/>
        <v>496.38565891472865</v>
      </c>
      <c r="P72" s="925">
        <f t="shared" si="22"/>
        <v>399.88372093023253</v>
      </c>
      <c r="Q72" s="925">
        <f>SUM(E72:P72)</f>
        <v>7125.6337209302337</v>
      </c>
      <c r="R72" s="155"/>
    </row>
    <row r="73" spans="1:20" s="907" customFormat="1" ht="12">
      <c r="A73" s="924">
        <f>A69+1</f>
        <v>29</v>
      </c>
      <c r="B73" s="907" t="s">
        <v>394</v>
      </c>
      <c r="D73" s="158">
        <v>10623536</v>
      </c>
      <c r="E73" s="158">
        <v>10639554</v>
      </c>
      <c r="F73" s="158">
        <v>10659071</v>
      </c>
      <c r="G73" s="158">
        <v>10727916</v>
      </c>
      <c r="H73" s="158">
        <v>10754227</v>
      </c>
      <c r="I73" s="158">
        <v>10935002</v>
      </c>
      <c r="J73" s="158">
        <v>10948149</v>
      </c>
      <c r="K73" s="158">
        <v>11026138</v>
      </c>
      <c r="L73" s="158">
        <v>11064229</v>
      </c>
      <c r="M73" s="158">
        <v>11166679</v>
      </c>
      <c r="N73" s="158">
        <v>11195647</v>
      </c>
      <c r="O73" s="158">
        <v>11218834</v>
      </c>
      <c r="P73" s="158">
        <v>11258533</v>
      </c>
      <c r="Q73" s="158"/>
      <c r="R73" s="155">
        <f>ROUND(SUM(D73:P73)/13,0)</f>
        <v>10939809</v>
      </c>
      <c r="S73" s="927"/>
      <c r="T73" s="929"/>
    </row>
    <row r="74" spans="1:20" s="925" customFormat="1" ht="11.25" customHeight="1">
      <c r="A74" s="930"/>
      <c r="B74" s="931" t="s">
        <v>866</v>
      </c>
      <c r="C74" s="931"/>
      <c r="E74" s="925">
        <f t="shared" ref="E74:P74" si="23">+E73-D73</f>
        <v>16018</v>
      </c>
      <c r="F74" s="925">
        <f t="shared" si="23"/>
        <v>19517</v>
      </c>
      <c r="G74" s="925">
        <f t="shared" si="23"/>
        <v>68845</v>
      </c>
      <c r="H74" s="925">
        <f t="shared" si="23"/>
        <v>26311</v>
      </c>
      <c r="I74" s="925">
        <f t="shared" si="23"/>
        <v>180775</v>
      </c>
      <c r="J74" s="925">
        <f t="shared" si="23"/>
        <v>13147</v>
      </c>
      <c r="K74" s="925">
        <f t="shared" si="23"/>
        <v>77989</v>
      </c>
      <c r="L74" s="925">
        <f t="shared" si="23"/>
        <v>38091</v>
      </c>
      <c r="M74" s="925">
        <f t="shared" si="23"/>
        <v>102450</v>
      </c>
      <c r="N74" s="925">
        <f t="shared" si="23"/>
        <v>28968</v>
      </c>
      <c r="O74" s="925">
        <f t="shared" si="23"/>
        <v>23187</v>
      </c>
      <c r="P74" s="925">
        <f t="shared" si="23"/>
        <v>39699</v>
      </c>
      <c r="R74" s="155"/>
    </row>
    <row r="75" spans="1:20" s="925" customFormat="1" ht="11.25" customHeight="1">
      <c r="A75" s="930"/>
      <c r="B75" s="931" t="s">
        <v>865</v>
      </c>
      <c r="C75" s="931"/>
      <c r="E75" s="925">
        <v>1</v>
      </c>
      <c r="F75" s="925">
        <v>2</v>
      </c>
      <c r="G75" s="925">
        <v>3</v>
      </c>
      <c r="H75" s="925">
        <v>4</v>
      </c>
      <c r="I75" s="925">
        <v>5</v>
      </c>
      <c r="J75" s="925">
        <v>6</v>
      </c>
      <c r="K75" s="925">
        <v>7</v>
      </c>
      <c r="L75" s="925">
        <v>8</v>
      </c>
      <c r="M75" s="925">
        <v>9</v>
      </c>
      <c r="N75" s="925">
        <v>10</v>
      </c>
      <c r="O75" s="925">
        <v>11</v>
      </c>
      <c r="P75" s="925">
        <v>12</v>
      </c>
      <c r="R75" s="155"/>
    </row>
    <row r="76" spans="1:20" s="925" customFormat="1" ht="11.25" customHeight="1">
      <c r="A76" s="930"/>
      <c r="B76" s="881">
        <v>2.5000000000000001E-2</v>
      </c>
      <c r="C76" s="931"/>
      <c r="D76" s="158"/>
      <c r="E76" s="158">
        <f t="shared" ref="E76:P76" si="24">+E74*($B76/12)*E75</f>
        <v>33.37083333333333</v>
      </c>
      <c r="F76" s="158">
        <f t="shared" si="24"/>
        <v>81.320833333333326</v>
      </c>
      <c r="G76" s="158">
        <f t="shared" si="24"/>
        <v>430.28125</v>
      </c>
      <c r="H76" s="158">
        <f t="shared" si="24"/>
        <v>219.25833333333333</v>
      </c>
      <c r="I76" s="158">
        <f t="shared" si="24"/>
        <v>1883.0729166666665</v>
      </c>
      <c r="J76" s="158">
        <f t="shared" si="24"/>
        <v>164.33750000000001</v>
      </c>
      <c r="K76" s="158">
        <f t="shared" si="24"/>
        <v>1137.3395833333334</v>
      </c>
      <c r="L76" s="158">
        <f t="shared" si="24"/>
        <v>634.85</v>
      </c>
      <c r="M76" s="158">
        <f t="shared" si="24"/>
        <v>1920.9375</v>
      </c>
      <c r="N76" s="158">
        <f t="shared" si="24"/>
        <v>603.5</v>
      </c>
      <c r="O76" s="158">
        <f t="shared" si="24"/>
        <v>531.36874999999998</v>
      </c>
      <c r="P76" s="158">
        <f t="shared" si="24"/>
        <v>992.47499999999991</v>
      </c>
      <c r="Q76" s="925">
        <f>SUM(E76:P76)</f>
        <v>8632.1124999999993</v>
      </c>
      <c r="R76" s="155"/>
    </row>
    <row r="77" spans="1:20" s="907" customFormat="1" ht="12">
      <c r="A77" s="924">
        <f>A73+1</f>
        <v>30</v>
      </c>
      <c r="B77" s="907" t="s">
        <v>395</v>
      </c>
      <c r="D77" s="158">
        <v>5901789</v>
      </c>
      <c r="E77" s="158">
        <v>5923014</v>
      </c>
      <c r="F77" s="158">
        <v>5955124</v>
      </c>
      <c r="G77" s="158">
        <v>5991682</v>
      </c>
      <c r="H77" s="158">
        <v>6031701</v>
      </c>
      <c r="I77" s="158">
        <v>6072352</v>
      </c>
      <c r="J77" s="158">
        <v>6095050</v>
      </c>
      <c r="K77" s="158">
        <v>6127450</v>
      </c>
      <c r="L77" s="158">
        <v>6171886</v>
      </c>
      <c r="M77" s="158">
        <v>6203258</v>
      </c>
      <c r="N77" s="158">
        <v>6231299</v>
      </c>
      <c r="O77" s="158">
        <v>6247259</v>
      </c>
      <c r="P77" s="158">
        <v>6293130</v>
      </c>
      <c r="Q77" s="158"/>
      <c r="R77" s="155">
        <f>ROUND(SUM(D77:P77)/13,0)</f>
        <v>6095769</v>
      </c>
      <c r="S77" s="927"/>
      <c r="T77" s="929"/>
    </row>
    <row r="78" spans="1:20" s="925" customFormat="1" ht="11.25" customHeight="1">
      <c r="A78" s="930"/>
      <c r="B78" s="931" t="s">
        <v>866</v>
      </c>
      <c r="C78" s="931"/>
      <c r="E78" s="925">
        <f t="shared" ref="E78:P78" si="25">+E77-D77</f>
        <v>21225</v>
      </c>
      <c r="F78" s="925">
        <f t="shared" si="25"/>
        <v>32110</v>
      </c>
      <c r="G78" s="925">
        <f t="shared" si="25"/>
        <v>36558</v>
      </c>
      <c r="H78" s="925">
        <f t="shared" si="25"/>
        <v>40019</v>
      </c>
      <c r="I78" s="925">
        <f t="shared" si="25"/>
        <v>40651</v>
      </c>
      <c r="J78" s="925">
        <f t="shared" si="25"/>
        <v>22698</v>
      </c>
      <c r="K78" s="925">
        <f t="shared" si="25"/>
        <v>32400</v>
      </c>
      <c r="L78" s="925">
        <f t="shared" si="25"/>
        <v>44436</v>
      </c>
      <c r="M78" s="925">
        <f t="shared" si="25"/>
        <v>31372</v>
      </c>
      <c r="N78" s="925">
        <f t="shared" si="25"/>
        <v>28041</v>
      </c>
      <c r="O78" s="925">
        <f t="shared" si="25"/>
        <v>15960</v>
      </c>
      <c r="P78" s="925">
        <f t="shared" si="25"/>
        <v>45871</v>
      </c>
      <c r="R78" s="155"/>
    </row>
    <row r="79" spans="1:20" s="925" customFormat="1" ht="11.25" customHeight="1">
      <c r="A79" s="930"/>
      <c r="B79" s="931" t="s">
        <v>865</v>
      </c>
      <c r="C79" s="931"/>
      <c r="E79" s="925">
        <v>1</v>
      </c>
      <c r="F79" s="925">
        <v>2</v>
      </c>
      <c r="G79" s="925">
        <v>3</v>
      </c>
      <c r="H79" s="925">
        <v>4</v>
      </c>
      <c r="I79" s="925">
        <v>5</v>
      </c>
      <c r="J79" s="925">
        <v>6</v>
      </c>
      <c r="K79" s="925">
        <v>7</v>
      </c>
      <c r="L79" s="925">
        <v>8</v>
      </c>
      <c r="M79" s="925">
        <v>9</v>
      </c>
      <c r="N79" s="925">
        <v>10</v>
      </c>
      <c r="O79" s="925">
        <v>11</v>
      </c>
      <c r="P79" s="925">
        <v>12</v>
      </c>
      <c r="R79" s="155"/>
    </row>
    <row r="80" spans="1:20" s="925" customFormat="1" ht="11.25" customHeight="1">
      <c r="A80" s="930"/>
      <c r="B80" s="881">
        <v>0.05</v>
      </c>
      <c r="C80" s="931"/>
      <c r="E80" s="925">
        <f t="shared" ref="E80:P80" si="26">+E78*($B80/12)*E79</f>
        <v>88.4375</v>
      </c>
      <c r="F80" s="925">
        <f t="shared" si="26"/>
        <v>267.58333333333331</v>
      </c>
      <c r="G80" s="925">
        <f t="shared" si="26"/>
        <v>456.97499999999997</v>
      </c>
      <c r="H80" s="925">
        <f t="shared" si="26"/>
        <v>666.98333333333335</v>
      </c>
      <c r="I80" s="925">
        <f t="shared" si="26"/>
        <v>846.89583333333326</v>
      </c>
      <c r="J80" s="925">
        <f t="shared" si="26"/>
        <v>567.45000000000005</v>
      </c>
      <c r="K80" s="925">
        <f t="shared" si="26"/>
        <v>945</v>
      </c>
      <c r="L80" s="925">
        <f t="shared" si="26"/>
        <v>1481.2</v>
      </c>
      <c r="M80" s="925">
        <f t="shared" si="26"/>
        <v>1176.45</v>
      </c>
      <c r="N80" s="925">
        <f t="shared" si="26"/>
        <v>1168.375</v>
      </c>
      <c r="O80" s="925">
        <f t="shared" si="26"/>
        <v>731.5</v>
      </c>
      <c r="P80" s="925">
        <f t="shared" si="26"/>
        <v>2293.5500000000002</v>
      </c>
      <c r="Q80" s="925">
        <f>SUM(E80:P80)</f>
        <v>10690.399999999998</v>
      </c>
      <c r="R80" s="155"/>
    </row>
    <row r="81" spans="1:20" s="907" customFormat="1" ht="12">
      <c r="A81" s="924">
        <f>A77+1</f>
        <v>31</v>
      </c>
      <c r="B81" s="907" t="s">
        <v>396</v>
      </c>
      <c r="D81" s="158">
        <v>2401738</v>
      </c>
      <c r="E81" s="158">
        <v>2400238</v>
      </c>
      <c r="F81" s="158">
        <v>2400631</v>
      </c>
      <c r="G81" s="158">
        <v>2413376</v>
      </c>
      <c r="H81" s="158">
        <v>2415259</v>
      </c>
      <c r="I81" s="158">
        <v>2485691</v>
      </c>
      <c r="J81" s="158">
        <v>2493041</v>
      </c>
      <c r="K81" s="158">
        <v>2525943</v>
      </c>
      <c r="L81" s="158">
        <v>2526169</v>
      </c>
      <c r="M81" s="158">
        <v>2567353</v>
      </c>
      <c r="N81" s="158">
        <v>2571099</v>
      </c>
      <c r="O81" s="158">
        <v>2578438</v>
      </c>
      <c r="P81" s="158">
        <v>2586338</v>
      </c>
      <c r="Q81" s="158"/>
      <c r="R81" s="155">
        <f>ROUND(SUM(D81:P81)/13,0)</f>
        <v>2489640</v>
      </c>
      <c r="S81" s="927"/>
      <c r="T81" s="929"/>
    </row>
    <row r="82" spans="1:20" s="925" customFormat="1" ht="11.25" customHeight="1">
      <c r="A82" s="930"/>
      <c r="B82" s="931" t="s">
        <v>866</v>
      </c>
      <c r="C82" s="931"/>
      <c r="E82" s="925">
        <f t="shared" ref="E82:P82" si="27">+E81-D81</f>
        <v>-1500</v>
      </c>
      <c r="F82" s="925">
        <f t="shared" si="27"/>
        <v>393</v>
      </c>
      <c r="G82" s="925">
        <f t="shared" si="27"/>
        <v>12745</v>
      </c>
      <c r="H82" s="925">
        <f t="shared" si="27"/>
        <v>1883</v>
      </c>
      <c r="I82" s="925">
        <f t="shared" si="27"/>
        <v>70432</v>
      </c>
      <c r="J82" s="925">
        <f t="shared" si="27"/>
        <v>7350</v>
      </c>
      <c r="K82" s="925">
        <f t="shared" si="27"/>
        <v>32902</v>
      </c>
      <c r="L82" s="925">
        <f t="shared" si="27"/>
        <v>226</v>
      </c>
      <c r="M82" s="925">
        <f t="shared" si="27"/>
        <v>41184</v>
      </c>
      <c r="N82" s="925">
        <f t="shared" si="27"/>
        <v>3746</v>
      </c>
      <c r="O82" s="925">
        <f t="shared" si="27"/>
        <v>7339</v>
      </c>
      <c r="P82" s="925">
        <f t="shared" si="27"/>
        <v>7900</v>
      </c>
      <c r="R82" s="155"/>
    </row>
    <row r="83" spans="1:20" s="925" customFormat="1" ht="11.25" customHeight="1">
      <c r="A83" s="930"/>
      <c r="B83" s="931" t="s">
        <v>865</v>
      </c>
      <c r="C83" s="931"/>
      <c r="E83" s="925">
        <v>1</v>
      </c>
      <c r="F83" s="925">
        <v>2</v>
      </c>
      <c r="G83" s="925">
        <v>3</v>
      </c>
      <c r="H83" s="925">
        <v>4</v>
      </c>
      <c r="I83" s="925">
        <v>5</v>
      </c>
      <c r="J83" s="925">
        <v>6</v>
      </c>
      <c r="K83" s="925">
        <v>7</v>
      </c>
      <c r="L83" s="925">
        <v>8</v>
      </c>
      <c r="M83" s="925">
        <v>9</v>
      </c>
      <c r="N83" s="925">
        <v>10</v>
      </c>
      <c r="O83" s="925">
        <v>11</v>
      </c>
      <c r="P83" s="925">
        <v>12</v>
      </c>
      <c r="R83" s="155"/>
    </row>
    <row r="84" spans="1:20" s="925" customFormat="1" ht="11.25" customHeight="1">
      <c r="A84" s="930"/>
      <c r="B84" s="881">
        <v>2.2222222222222223E-2</v>
      </c>
      <c r="C84" s="931"/>
      <c r="E84" s="925">
        <f t="shared" ref="E84:P84" si="28">+E82*($B84/12)*E83</f>
        <v>-2.7777777777777777</v>
      </c>
      <c r="F84" s="925">
        <f t="shared" si="28"/>
        <v>1.4555555555555557</v>
      </c>
      <c r="G84" s="925">
        <f t="shared" si="28"/>
        <v>70.805555555555557</v>
      </c>
      <c r="H84" s="925">
        <f t="shared" si="28"/>
        <v>13.94814814814815</v>
      </c>
      <c r="I84" s="925">
        <f t="shared" si="28"/>
        <v>652.14814814814815</v>
      </c>
      <c r="J84" s="925">
        <f t="shared" si="28"/>
        <v>81.666666666666671</v>
      </c>
      <c r="K84" s="925">
        <f t="shared" si="28"/>
        <v>426.50740740740741</v>
      </c>
      <c r="L84" s="925">
        <f t="shared" si="28"/>
        <v>3.3481481481481481</v>
      </c>
      <c r="M84" s="925">
        <f t="shared" si="28"/>
        <v>686.4</v>
      </c>
      <c r="N84" s="925">
        <f t="shared" si="28"/>
        <v>69.370370370370381</v>
      </c>
      <c r="O84" s="925">
        <f t="shared" si="28"/>
        <v>149.49814814814818</v>
      </c>
      <c r="P84" s="925">
        <f t="shared" si="28"/>
        <v>175.55555555555554</v>
      </c>
      <c r="Q84" s="925">
        <f>SUM(E84:P84)</f>
        <v>2327.9259259259261</v>
      </c>
      <c r="R84" s="155"/>
    </row>
    <row r="85" spans="1:20" s="907" customFormat="1" ht="12">
      <c r="A85" s="924">
        <f>A81+1</f>
        <v>32</v>
      </c>
      <c r="B85" s="933" t="s">
        <v>11</v>
      </c>
      <c r="D85" s="158">
        <v>317396</v>
      </c>
      <c r="E85" s="158">
        <v>321071</v>
      </c>
      <c r="F85" s="158">
        <v>325887</v>
      </c>
      <c r="G85" s="158">
        <v>345625</v>
      </c>
      <c r="H85" s="158">
        <v>357632</v>
      </c>
      <c r="I85" s="158">
        <v>359869</v>
      </c>
      <c r="J85" s="158">
        <v>369607</v>
      </c>
      <c r="K85" s="158">
        <v>379176</v>
      </c>
      <c r="L85" s="158">
        <v>386244</v>
      </c>
      <c r="M85" s="158">
        <v>401697</v>
      </c>
      <c r="N85" s="158">
        <v>409101</v>
      </c>
      <c r="O85" s="158">
        <v>416081</v>
      </c>
      <c r="P85" s="158">
        <v>420293</v>
      </c>
      <c r="Q85" s="158"/>
      <c r="R85" s="155">
        <f>ROUND(SUM(D85:P85)/13,0)</f>
        <v>369975</v>
      </c>
      <c r="S85" s="927"/>
      <c r="T85" s="929"/>
    </row>
    <row r="86" spans="1:20" s="925" customFormat="1" ht="11.25" customHeight="1">
      <c r="A86" s="930"/>
      <c r="B86" s="931" t="s">
        <v>866</v>
      </c>
      <c r="C86" s="931"/>
      <c r="E86" s="925">
        <f t="shared" ref="E86:P86" si="29">+E85-D85</f>
        <v>3675</v>
      </c>
      <c r="F86" s="925">
        <f t="shared" si="29"/>
        <v>4816</v>
      </c>
      <c r="G86" s="925">
        <f t="shared" si="29"/>
        <v>19738</v>
      </c>
      <c r="H86" s="925">
        <f t="shared" si="29"/>
        <v>12007</v>
      </c>
      <c r="I86" s="925">
        <f t="shared" si="29"/>
        <v>2237</v>
      </c>
      <c r="J86" s="925">
        <f t="shared" si="29"/>
        <v>9738</v>
      </c>
      <c r="K86" s="925">
        <f t="shared" si="29"/>
        <v>9569</v>
      </c>
      <c r="L86" s="925">
        <f t="shared" si="29"/>
        <v>7068</v>
      </c>
      <c r="M86" s="925">
        <f t="shared" si="29"/>
        <v>15453</v>
      </c>
      <c r="N86" s="925">
        <f t="shared" si="29"/>
        <v>7404</v>
      </c>
      <c r="O86" s="925">
        <f t="shared" si="29"/>
        <v>6980</v>
      </c>
      <c r="P86" s="925">
        <f t="shared" si="29"/>
        <v>4212</v>
      </c>
      <c r="R86" s="155"/>
    </row>
    <row r="87" spans="1:20" s="925" customFormat="1" ht="11.25" customHeight="1">
      <c r="A87" s="930"/>
      <c r="B87" s="931" t="s">
        <v>865</v>
      </c>
      <c r="C87" s="931"/>
      <c r="E87" s="925">
        <v>1</v>
      </c>
      <c r="F87" s="925">
        <v>2</v>
      </c>
      <c r="G87" s="925">
        <v>3</v>
      </c>
      <c r="H87" s="925">
        <v>4</v>
      </c>
      <c r="I87" s="925">
        <v>5</v>
      </c>
      <c r="J87" s="925">
        <v>6</v>
      </c>
      <c r="K87" s="925">
        <v>7</v>
      </c>
      <c r="L87" s="925">
        <v>8</v>
      </c>
      <c r="M87" s="925">
        <v>9</v>
      </c>
      <c r="N87" s="925">
        <v>10</v>
      </c>
      <c r="O87" s="925">
        <v>11</v>
      </c>
      <c r="P87" s="925">
        <v>12</v>
      </c>
      <c r="R87" s="155"/>
    </row>
    <row r="88" spans="1:20" s="925" customFormat="1" ht="11.25" customHeight="1">
      <c r="A88" s="930"/>
      <c r="B88" s="881">
        <v>6.6666666666666666E-2</v>
      </c>
      <c r="C88" s="931"/>
      <c r="E88" s="925">
        <f t="shared" ref="E88:P88" si="30">+E86*($B88/12)*E87</f>
        <v>20.416666666666668</v>
      </c>
      <c r="F88" s="925">
        <f t="shared" si="30"/>
        <v>53.511111111111113</v>
      </c>
      <c r="G88" s="925">
        <f t="shared" si="30"/>
        <v>328.9666666666667</v>
      </c>
      <c r="H88" s="925">
        <f t="shared" si="30"/>
        <v>266.82222222222225</v>
      </c>
      <c r="I88" s="925">
        <f t="shared" si="30"/>
        <v>62.138888888888893</v>
      </c>
      <c r="J88" s="925">
        <f t="shared" si="30"/>
        <v>324.60000000000002</v>
      </c>
      <c r="K88" s="925">
        <f t="shared" si="30"/>
        <v>372.12777777777779</v>
      </c>
      <c r="L88" s="925">
        <f t="shared" si="30"/>
        <v>314.13333333333333</v>
      </c>
      <c r="M88" s="925">
        <f t="shared" si="30"/>
        <v>772.65000000000009</v>
      </c>
      <c r="N88" s="925">
        <f t="shared" si="30"/>
        <v>411.33333333333331</v>
      </c>
      <c r="O88" s="925">
        <f t="shared" si="30"/>
        <v>426.55555555555554</v>
      </c>
      <c r="P88" s="925">
        <f t="shared" si="30"/>
        <v>280.8</v>
      </c>
      <c r="Q88" s="925">
        <f>SUM(E88:P88)</f>
        <v>3634.0555555555561</v>
      </c>
      <c r="R88" s="155"/>
    </row>
    <row r="89" spans="1:20" s="907" customFormat="1" ht="12">
      <c r="A89" s="924">
        <f>A85+1</f>
        <v>33</v>
      </c>
      <c r="B89" s="907" t="s">
        <v>397</v>
      </c>
      <c r="D89" s="158">
        <v>12030</v>
      </c>
      <c r="E89" s="158">
        <v>12030</v>
      </c>
      <c r="F89" s="158">
        <v>12030</v>
      </c>
      <c r="G89" s="158">
        <v>12030</v>
      </c>
      <c r="H89" s="158">
        <v>12030</v>
      </c>
      <c r="I89" s="158">
        <v>12030</v>
      </c>
      <c r="J89" s="158">
        <v>12030</v>
      </c>
      <c r="K89" s="158">
        <v>12030</v>
      </c>
      <c r="L89" s="158">
        <v>12030</v>
      </c>
      <c r="M89" s="158">
        <v>12030</v>
      </c>
      <c r="N89" s="158">
        <v>12030</v>
      </c>
      <c r="O89" s="158">
        <v>12030</v>
      </c>
      <c r="P89" s="158">
        <v>12030</v>
      </c>
      <c r="Q89" s="158"/>
      <c r="R89" s="155">
        <f>ROUND(SUM(D89:P89)/13,0)</f>
        <v>12030</v>
      </c>
      <c r="S89" s="927">
        <f>+R89-D89</f>
        <v>0</v>
      </c>
      <c r="T89" s="928"/>
    </row>
    <row r="90" spans="1:20" s="907" customFormat="1" ht="12">
      <c r="A90" s="924">
        <f>A89+1</f>
        <v>34</v>
      </c>
      <c r="B90" s="905" t="s">
        <v>298</v>
      </c>
      <c r="D90" s="158"/>
      <c r="E90" s="158"/>
      <c r="F90" s="158"/>
      <c r="G90" s="158"/>
      <c r="H90" s="158"/>
      <c r="I90" s="158"/>
      <c r="J90" s="158"/>
      <c r="K90" s="158"/>
      <c r="L90" s="158"/>
      <c r="M90" s="158"/>
      <c r="N90" s="158"/>
      <c r="O90" s="158"/>
      <c r="P90" s="158"/>
      <c r="Q90" s="158"/>
      <c r="R90" s="155"/>
      <c r="S90" s="927"/>
      <c r="T90" s="929"/>
    </row>
    <row r="91" spans="1:20" s="907" customFormat="1" ht="12">
      <c r="A91" s="924">
        <f>A90+1</f>
        <v>35</v>
      </c>
      <c r="B91" s="907" t="s">
        <v>398</v>
      </c>
      <c r="D91" s="158">
        <v>44920</v>
      </c>
      <c r="E91" s="158">
        <v>44858</v>
      </c>
      <c r="F91" s="158">
        <v>44863</v>
      </c>
      <c r="G91" s="158">
        <v>45122</v>
      </c>
      <c r="H91" s="158">
        <v>45093</v>
      </c>
      <c r="I91" s="158">
        <v>45132</v>
      </c>
      <c r="J91" s="158">
        <v>45139</v>
      </c>
      <c r="K91" s="158">
        <v>45137</v>
      </c>
      <c r="L91" s="158">
        <v>45170</v>
      </c>
      <c r="M91" s="158">
        <v>45119</v>
      </c>
      <c r="N91" s="158">
        <v>45129</v>
      </c>
      <c r="O91" s="158">
        <v>45139</v>
      </c>
      <c r="P91" s="158">
        <v>45142</v>
      </c>
      <c r="Q91" s="158"/>
      <c r="R91" s="155">
        <f>ROUND(SUM(D91:P91)/13,0)</f>
        <v>45074</v>
      </c>
      <c r="S91" s="927" t="s">
        <v>288</v>
      </c>
      <c r="T91" s="929"/>
    </row>
    <row r="92" spans="1:20" s="907" customFormat="1" ht="12">
      <c r="A92" s="924">
        <f>A91+1</f>
        <v>36</v>
      </c>
      <c r="B92" s="933" t="s">
        <v>655</v>
      </c>
      <c r="D92" s="158">
        <v>1909369</v>
      </c>
      <c r="E92" s="158">
        <v>1907311</v>
      </c>
      <c r="F92" s="158">
        <v>1907505</v>
      </c>
      <c r="G92" s="158">
        <v>1922906</v>
      </c>
      <c r="H92" s="158">
        <v>1929350</v>
      </c>
      <c r="I92" s="158">
        <v>1930688</v>
      </c>
      <c r="J92" s="158">
        <v>1930975</v>
      </c>
      <c r="K92" s="158">
        <v>2142966</v>
      </c>
      <c r="L92" s="158">
        <v>2148834</v>
      </c>
      <c r="M92" s="158">
        <v>2149365</v>
      </c>
      <c r="N92" s="158">
        <v>2167138</v>
      </c>
      <c r="O92" s="158">
        <v>2714452</v>
      </c>
      <c r="P92" s="158">
        <v>2715087</v>
      </c>
      <c r="Q92" s="158"/>
      <c r="R92" s="155">
        <f>ROUND(SUM(D92:P92)/13,0)</f>
        <v>2113534</v>
      </c>
      <c r="S92" s="927"/>
      <c r="T92" s="929"/>
    </row>
    <row r="93" spans="1:20" s="925" customFormat="1" ht="11.25" customHeight="1">
      <c r="A93" s="930"/>
      <c r="B93" s="931" t="s">
        <v>866</v>
      </c>
      <c r="C93" s="931"/>
      <c r="E93" s="925">
        <f t="shared" ref="E93:P93" si="31">+E92-D92</f>
        <v>-2058</v>
      </c>
      <c r="F93" s="925">
        <f t="shared" si="31"/>
        <v>194</v>
      </c>
      <c r="G93" s="925">
        <f t="shared" si="31"/>
        <v>15401</v>
      </c>
      <c r="H93" s="925">
        <f t="shared" si="31"/>
        <v>6444</v>
      </c>
      <c r="I93" s="925">
        <f t="shared" si="31"/>
        <v>1338</v>
      </c>
      <c r="J93" s="925">
        <f t="shared" si="31"/>
        <v>287</v>
      </c>
      <c r="K93" s="925">
        <f t="shared" si="31"/>
        <v>211991</v>
      </c>
      <c r="L93" s="925">
        <f t="shared" si="31"/>
        <v>5868</v>
      </c>
      <c r="M93" s="925">
        <f t="shared" si="31"/>
        <v>531</v>
      </c>
      <c r="N93" s="925">
        <f t="shared" si="31"/>
        <v>17773</v>
      </c>
      <c r="O93" s="925">
        <f t="shared" si="31"/>
        <v>547314</v>
      </c>
      <c r="P93" s="925">
        <f t="shared" si="31"/>
        <v>635</v>
      </c>
      <c r="R93" s="155"/>
    </row>
    <row r="94" spans="1:20" s="925" customFormat="1" ht="11.25" customHeight="1">
      <c r="A94" s="930"/>
      <c r="B94" s="931" t="s">
        <v>865</v>
      </c>
      <c r="C94" s="931"/>
      <c r="E94" s="925">
        <v>1</v>
      </c>
      <c r="F94" s="925">
        <v>2</v>
      </c>
      <c r="G94" s="925">
        <v>3</v>
      </c>
      <c r="H94" s="925">
        <v>4</v>
      </c>
      <c r="I94" s="925">
        <v>5</v>
      </c>
      <c r="J94" s="925">
        <v>6</v>
      </c>
      <c r="K94" s="925">
        <v>7</v>
      </c>
      <c r="L94" s="925">
        <v>8</v>
      </c>
      <c r="M94" s="925">
        <v>9</v>
      </c>
      <c r="N94" s="925">
        <v>10</v>
      </c>
      <c r="O94" s="925">
        <v>11</v>
      </c>
      <c r="P94" s="925">
        <v>12</v>
      </c>
      <c r="R94" s="155"/>
    </row>
    <row r="95" spans="1:20" s="925" customFormat="1" ht="11.25" customHeight="1">
      <c r="A95" s="930"/>
      <c r="B95" s="881">
        <v>3.125E-2</v>
      </c>
      <c r="C95" s="931"/>
      <c r="E95" s="925">
        <f t="shared" ref="E95:P95" si="32">+E93*($B95/12)*E94</f>
        <v>-5.359375</v>
      </c>
      <c r="F95" s="925">
        <f t="shared" si="32"/>
        <v>1.0104166666666665</v>
      </c>
      <c r="G95" s="925">
        <f t="shared" si="32"/>
        <v>120.32031249999999</v>
      </c>
      <c r="H95" s="925">
        <f t="shared" si="32"/>
        <v>67.125</v>
      </c>
      <c r="I95" s="925">
        <f t="shared" si="32"/>
        <v>17.421875</v>
      </c>
      <c r="J95" s="925">
        <f t="shared" si="32"/>
        <v>4.484375</v>
      </c>
      <c r="K95" s="925">
        <f t="shared" si="32"/>
        <v>3864.419270833333</v>
      </c>
      <c r="L95" s="925">
        <f t="shared" si="32"/>
        <v>122.25</v>
      </c>
      <c r="M95" s="925">
        <f t="shared" si="32"/>
        <v>12.4453125</v>
      </c>
      <c r="N95" s="925">
        <f t="shared" si="32"/>
        <v>462.83854166666663</v>
      </c>
      <c r="O95" s="925">
        <f t="shared" si="32"/>
        <v>15678.265625</v>
      </c>
      <c r="P95" s="925">
        <f t="shared" si="32"/>
        <v>19.84375</v>
      </c>
      <c r="Q95" s="925">
        <f>SUM(E95:P95)</f>
        <v>20365.065104166668</v>
      </c>
      <c r="R95" s="155"/>
    </row>
    <row r="96" spans="1:20" s="907" customFormat="1" ht="12">
      <c r="A96" s="924">
        <f>A92+1</f>
        <v>37</v>
      </c>
      <c r="B96" s="907" t="s">
        <v>399</v>
      </c>
      <c r="D96" s="158">
        <v>8832417</v>
      </c>
      <c r="E96" s="158">
        <v>8816897</v>
      </c>
      <c r="F96" s="158">
        <v>9194219</v>
      </c>
      <c r="G96" s="158">
        <v>9303514</v>
      </c>
      <c r="H96" s="158">
        <v>9316860</v>
      </c>
      <c r="I96" s="158">
        <v>9378859</v>
      </c>
      <c r="J96" s="158">
        <v>9936825</v>
      </c>
      <c r="K96" s="158">
        <v>10174442</v>
      </c>
      <c r="L96" s="158">
        <v>10231664</v>
      </c>
      <c r="M96" s="158">
        <v>10283021</v>
      </c>
      <c r="N96" s="158">
        <v>10321193</v>
      </c>
      <c r="O96" s="158">
        <v>10385881</v>
      </c>
      <c r="P96" s="158">
        <v>10471258</v>
      </c>
      <c r="Q96" s="158"/>
      <c r="R96" s="155">
        <f>ROUND(SUM(D96:P96)/13,0)</f>
        <v>9742081</v>
      </c>
      <c r="S96" s="927"/>
      <c r="T96" s="932"/>
    </row>
    <row r="97" spans="1:20" s="925" customFormat="1" ht="11.25" customHeight="1">
      <c r="A97" s="930"/>
      <c r="B97" s="931" t="s">
        <v>866</v>
      </c>
      <c r="C97" s="931"/>
      <c r="E97" s="925">
        <f t="shared" ref="E97:P97" si="33">+E96-D96</f>
        <v>-15520</v>
      </c>
      <c r="F97" s="925">
        <f t="shared" si="33"/>
        <v>377322</v>
      </c>
      <c r="G97" s="925">
        <f t="shared" si="33"/>
        <v>109295</v>
      </c>
      <c r="H97" s="925">
        <f t="shared" si="33"/>
        <v>13346</v>
      </c>
      <c r="I97" s="925">
        <f t="shared" si="33"/>
        <v>61999</v>
      </c>
      <c r="J97" s="925">
        <f t="shared" si="33"/>
        <v>557966</v>
      </c>
      <c r="K97" s="925">
        <f t="shared" si="33"/>
        <v>237617</v>
      </c>
      <c r="L97" s="925">
        <f t="shared" si="33"/>
        <v>57222</v>
      </c>
      <c r="M97" s="925">
        <f t="shared" si="33"/>
        <v>51357</v>
      </c>
      <c r="N97" s="925">
        <f t="shared" si="33"/>
        <v>38172</v>
      </c>
      <c r="O97" s="925">
        <f t="shared" si="33"/>
        <v>64688</v>
      </c>
      <c r="P97" s="925">
        <f t="shared" si="33"/>
        <v>85377</v>
      </c>
      <c r="R97" s="155"/>
    </row>
    <row r="98" spans="1:20" s="925" customFormat="1" ht="11.25" customHeight="1">
      <c r="A98" s="930"/>
      <c r="B98" s="931" t="s">
        <v>865</v>
      </c>
      <c r="C98" s="931"/>
      <c r="E98" s="925">
        <v>1</v>
      </c>
      <c r="F98" s="925">
        <v>2</v>
      </c>
      <c r="G98" s="925">
        <v>3</v>
      </c>
      <c r="H98" s="925">
        <v>4</v>
      </c>
      <c r="I98" s="925">
        <v>5</v>
      </c>
      <c r="J98" s="925">
        <v>6</v>
      </c>
      <c r="K98" s="925">
        <v>7</v>
      </c>
      <c r="L98" s="925">
        <v>8</v>
      </c>
      <c r="M98" s="925">
        <v>9</v>
      </c>
      <c r="N98" s="925">
        <v>10</v>
      </c>
      <c r="O98" s="925">
        <v>11</v>
      </c>
      <c r="P98" s="925">
        <v>12</v>
      </c>
      <c r="R98" s="155"/>
    </row>
    <row r="99" spans="1:20" s="925" customFormat="1" ht="11.25" customHeight="1">
      <c r="A99" s="930"/>
      <c r="B99" s="881">
        <v>6.6666666666666666E-2</v>
      </c>
      <c r="C99" s="931"/>
      <c r="E99" s="925">
        <f t="shared" ref="E99:P99" si="34">+E97*($B99/12)*E98</f>
        <v>-86.222222222222229</v>
      </c>
      <c r="F99" s="925">
        <f t="shared" si="34"/>
        <v>4192.4666666666672</v>
      </c>
      <c r="G99" s="925">
        <f t="shared" si="34"/>
        <v>1821.5833333333335</v>
      </c>
      <c r="H99" s="925">
        <f t="shared" si="34"/>
        <v>296.57777777777778</v>
      </c>
      <c r="I99" s="925">
        <f t="shared" si="34"/>
        <v>1722.1944444444446</v>
      </c>
      <c r="J99" s="925">
        <f t="shared" si="34"/>
        <v>18598.866666666669</v>
      </c>
      <c r="K99" s="925">
        <f t="shared" si="34"/>
        <v>9240.6611111111106</v>
      </c>
      <c r="L99" s="925">
        <f t="shared" si="34"/>
        <v>2543.2000000000003</v>
      </c>
      <c r="M99" s="925">
        <f t="shared" si="34"/>
        <v>2567.85</v>
      </c>
      <c r="N99" s="925">
        <f t="shared" si="34"/>
        <v>2120.6666666666665</v>
      </c>
      <c r="O99" s="925">
        <f t="shared" si="34"/>
        <v>3953.1555555555556</v>
      </c>
      <c r="P99" s="925">
        <f t="shared" si="34"/>
        <v>5691.8</v>
      </c>
      <c r="Q99" s="925">
        <f>SUM(E99:P99)</f>
        <v>52662.799999999996</v>
      </c>
      <c r="R99" s="155"/>
      <c r="T99" s="925">
        <f>20416+32104</f>
        <v>52520</v>
      </c>
    </row>
    <row r="100" spans="1:20" s="907" customFormat="1" ht="12">
      <c r="A100" s="924">
        <f>A96+1</f>
        <v>38</v>
      </c>
      <c r="B100" s="907" t="s">
        <v>400</v>
      </c>
      <c r="D100" s="158">
        <v>3651043</v>
      </c>
      <c r="E100" s="158">
        <v>3828928</v>
      </c>
      <c r="F100" s="158">
        <v>3777637</v>
      </c>
      <c r="G100" s="158">
        <v>3838865</v>
      </c>
      <c r="H100" s="158">
        <v>3878816</v>
      </c>
      <c r="I100" s="158">
        <v>3797969</v>
      </c>
      <c r="J100" s="158">
        <v>3797888</v>
      </c>
      <c r="K100" s="158">
        <v>3781755</v>
      </c>
      <c r="L100" s="158">
        <v>3969355</v>
      </c>
      <c r="M100" s="158">
        <v>3953515</v>
      </c>
      <c r="N100" s="158">
        <v>3887812</v>
      </c>
      <c r="O100" s="158">
        <v>3887563</v>
      </c>
      <c r="P100" s="158">
        <v>3898554</v>
      </c>
      <c r="Q100" s="158"/>
      <c r="R100" s="155">
        <f>ROUND(SUM(D100:P100)/13,0)</f>
        <v>3842285</v>
      </c>
      <c r="S100" s="927"/>
      <c r="T100" s="929"/>
    </row>
    <row r="101" spans="1:20" s="925" customFormat="1" ht="11.25" customHeight="1">
      <c r="A101" s="930"/>
      <c r="B101" s="931" t="s">
        <v>866</v>
      </c>
      <c r="C101" s="931"/>
      <c r="E101" s="925">
        <f t="shared" ref="E101:P101" si="35">+E100-D100</f>
        <v>177885</v>
      </c>
      <c r="F101" s="925">
        <f t="shared" si="35"/>
        <v>-51291</v>
      </c>
      <c r="G101" s="925">
        <f t="shared" si="35"/>
        <v>61228</v>
      </c>
      <c r="H101" s="925">
        <f t="shared" si="35"/>
        <v>39951</v>
      </c>
      <c r="I101" s="925">
        <f t="shared" si="35"/>
        <v>-80847</v>
      </c>
      <c r="J101" s="925">
        <f t="shared" si="35"/>
        <v>-81</v>
      </c>
      <c r="K101" s="925">
        <f t="shared" si="35"/>
        <v>-16133</v>
      </c>
      <c r="L101" s="925">
        <f t="shared" si="35"/>
        <v>187600</v>
      </c>
      <c r="M101" s="925">
        <f t="shared" si="35"/>
        <v>-15840</v>
      </c>
      <c r="N101" s="925">
        <f t="shared" si="35"/>
        <v>-65703</v>
      </c>
      <c r="O101" s="925">
        <f t="shared" si="35"/>
        <v>-249</v>
      </c>
      <c r="P101" s="925">
        <f t="shared" si="35"/>
        <v>10991</v>
      </c>
      <c r="R101" s="155"/>
    </row>
    <row r="102" spans="1:20" s="925" customFormat="1" ht="11.25" customHeight="1">
      <c r="A102" s="930"/>
      <c r="B102" s="931" t="s">
        <v>865</v>
      </c>
      <c r="C102" s="931"/>
      <c r="E102" s="925">
        <v>1</v>
      </c>
      <c r="F102" s="925">
        <v>2</v>
      </c>
      <c r="G102" s="925">
        <v>3</v>
      </c>
      <c r="H102" s="925">
        <v>4</v>
      </c>
      <c r="I102" s="925">
        <v>5</v>
      </c>
      <c r="J102" s="925">
        <v>6</v>
      </c>
      <c r="K102" s="925">
        <v>7</v>
      </c>
      <c r="L102" s="925">
        <v>8</v>
      </c>
      <c r="M102" s="925">
        <v>9</v>
      </c>
      <c r="N102" s="925">
        <v>10</v>
      </c>
      <c r="O102" s="925">
        <v>11</v>
      </c>
      <c r="P102" s="925">
        <v>12</v>
      </c>
      <c r="R102" s="155"/>
    </row>
    <row r="103" spans="1:20" s="925" customFormat="1" ht="11.25" customHeight="1">
      <c r="A103" s="930"/>
      <c r="B103" s="881">
        <v>0.2</v>
      </c>
      <c r="C103" s="931"/>
      <c r="E103" s="925">
        <f t="shared" ref="E103:P103" si="36">+E101*($B103/12)*E102</f>
        <v>2964.75</v>
      </c>
      <c r="F103" s="925">
        <f t="shared" si="36"/>
        <v>-1709.7</v>
      </c>
      <c r="G103" s="925">
        <f t="shared" si="36"/>
        <v>3061.4</v>
      </c>
      <c r="H103" s="925">
        <f t="shared" si="36"/>
        <v>2663.4</v>
      </c>
      <c r="I103" s="925">
        <f t="shared" si="36"/>
        <v>-6737.25</v>
      </c>
      <c r="J103" s="925">
        <f t="shared" si="36"/>
        <v>-8.1000000000000014</v>
      </c>
      <c r="K103" s="925">
        <f t="shared" si="36"/>
        <v>-1882.1833333333334</v>
      </c>
      <c r="L103" s="925">
        <f t="shared" si="36"/>
        <v>25013.333333333332</v>
      </c>
      <c r="M103" s="925">
        <f t="shared" si="36"/>
        <v>-2376</v>
      </c>
      <c r="N103" s="925">
        <f t="shared" si="36"/>
        <v>-10950.5</v>
      </c>
      <c r="O103" s="925">
        <f t="shared" si="36"/>
        <v>-45.650000000000006</v>
      </c>
      <c r="P103" s="925">
        <f t="shared" si="36"/>
        <v>2198.1999999999998</v>
      </c>
      <c r="Q103" s="925">
        <f>SUM(E103:P103)</f>
        <v>12191.699999999997</v>
      </c>
      <c r="R103" s="155"/>
    </row>
    <row r="104" spans="1:20" s="907" customFormat="1" ht="12">
      <c r="A104" s="924">
        <f>A100+1</f>
        <v>39</v>
      </c>
      <c r="B104" s="907" t="s">
        <v>401</v>
      </c>
      <c r="D104" s="158">
        <v>14333</v>
      </c>
      <c r="E104" s="158">
        <v>14333</v>
      </c>
      <c r="F104" s="158">
        <v>14333</v>
      </c>
      <c r="G104" s="158">
        <v>14333</v>
      </c>
      <c r="H104" s="158">
        <v>14333</v>
      </c>
      <c r="I104" s="158">
        <v>14333</v>
      </c>
      <c r="J104" s="158">
        <v>14333</v>
      </c>
      <c r="K104" s="158">
        <v>14333</v>
      </c>
      <c r="L104" s="158">
        <v>14333</v>
      </c>
      <c r="M104" s="158">
        <v>14333</v>
      </c>
      <c r="N104" s="158">
        <v>14333</v>
      </c>
      <c r="O104" s="158">
        <v>14333</v>
      </c>
      <c r="P104" s="158">
        <v>14333</v>
      </c>
      <c r="Q104" s="158"/>
      <c r="R104" s="155">
        <f>ROUND(SUM(D104:P104)/13,0)</f>
        <v>14333</v>
      </c>
      <c r="S104" s="927"/>
      <c r="T104" s="929"/>
    </row>
    <row r="105" spans="1:20" s="907" customFormat="1" ht="12">
      <c r="A105" s="924">
        <f>A104+1</f>
        <v>40</v>
      </c>
      <c r="B105" s="907" t="s">
        <v>402</v>
      </c>
      <c r="D105" s="158">
        <v>817743</v>
      </c>
      <c r="E105" s="158">
        <v>821077</v>
      </c>
      <c r="F105" s="158">
        <v>821080</v>
      </c>
      <c r="G105" s="158">
        <v>821883</v>
      </c>
      <c r="H105" s="158">
        <v>827983</v>
      </c>
      <c r="I105" s="158">
        <v>831776</v>
      </c>
      <c r="J105" s="158">
        <v>831783</v>
      </c>
      <c r="K105" s="158">
        <v>832145</v>
      </c>
      <c r="L105" s="158">
        <v>832735</v>
      </c>
      <c r="M105" s="158">
        <v>832432</v>
      </c>
      <c r="N105" s="158">
        <v>833075</v>
      </c>
      <c r="O105" s="158">
        <v>833531</v>
      </c>
      <c r="P105" s="158">
        <v>833539</v>
      </c>
      <c r="Q105" s="158"/>
      <c r="R105" s="155">
        <f>ROUND(SUM(D105:P105)/13,0)</f>
        <v>828522</v>
      </c>
      <c r="S105" s="927"/>
      <c r="T105" s="929"/>
    </row>
    <row r="106" spans="1:20" s="925" customFormat="1" ht="11.25" customHeight="1">
      <c r="A106" s="930"/>
      <c r="B106" s="931" t="s">
        <v>866</v>
      </c>
      <c r="C106" s="931"/>
      <c r="E106" s="925">
        <f t="shared" ref="E106:P106" si="37">+E105-D105</f>
        <v>3334</v>
      </c>
      <c r="F106" s="925">
        <f t="shared" si="37"/>
        <v>3</v>
      </c>
      <c r="G106" s="925">
        <f t="shared" si="37"/>
        <v>803</v>
      </c>
      <c r="H106" s="925">
        <f t="shared" si="37"/>
        <v>6100</v>
      </c>
      <c r="I106" s="925">
        <f t="shared" si="37"/>
        <v>3793</v>
      </c>
      <c r="J106" s="925">
        <f t="shared" si="37"/>
        <v>7</v>
      </c>
      <c r="K106" s="925">
        <f t="shared" si="37"/>
        <v>362</v>
      </c>
      <c r="L106" s="925">
        <f t="shared" si="37"/>
        <v>590</v>
      </c>
      <c r="M106" s="925">
        <f t="shared" si="37"/>
        <v>-303</v>
      </c>
      <c r="N106" s="925">
        <f t="shared" si="37"/>
        <v>643</v>
      </c>
      <c r="O106" s="925">
        <f t="shared" si="37"/>
        <v>456</v>
      </c>
      <c r="P106" s="925">
        <f t="shared" si="37"/>
        <v>8</v>
      </c>
      <c r="R106" s="155"/>
    </row>
    <row r="107" spans="1:20" s="925" customFormat="1" ht="11.25" customHeight="1">
      <c r="A107" s="930"/>
      <c r="B107" s="931" t="s">
        <v>865</v>
      </c>
      <c r="C107" s="931"/>
      <c r="E107" s="925">
        <v>1</v>
      </c>
      <c r="F107" s="925">
        <v>2</v>
      </c>
      <c r="G107" s="925">
        <v>3</v>
      </c>
      <c r="H107" s="925">
        <v>4</v>
      </c>
      <c r="I107" s="925">
        <v>5</v>
      </c>
      <c r="J107" s="925">
        <v>6</v>
      </c>
      <c r="K107" s="925">
        <v>7</v>
      </c>
      <c r="L107" s="925">
        <v>8</v>
      </c>
      <c r="M107" s="925">
        <v>9</v>
      </c>
      <c r="N107" s="925">
        <v>10</v>
      </c>
      <c r="O107" s="925">
        <v>11</v>
      </c>
      <c r="P107" s="925">
        <v>12</v>
      </c>
      <c r="R107" s="155"/>
    </row>
    <row r="108" spans="1:20" s="925" customFormat="1" ht="11.25" customHeight="1">
      <c r="A108" s="930"/>
      <c r="B108" s="881">
        <v>6.25E-2</v>
      </c>
      <c r="C108" s="931"/>
      <c r="E108" s="925">
        <f t="shared" ref="E108:P108" si="38">+E106*($B108/12)*E107</f>
        <v>17.364583333333332</v>
      </c>
      <c r="F108" s="925">
        <f t="shared" si="38"/>
        <v>3.125E-2</v>
      </c>
      <c r="G108" s="925">
        <f t="shared" si="38"/>
        <v>12.546874999999998</v>
      </c>
      <c r="H108" s="925">
        <f t="shared" si="38"/>
        <v>127.08333333333333</v>
      </c>
      <c r="I108" s="925">
        <f t="shared" si="38"/>
        <v>98.776041666666657</v>
      </c>
      <c r="J108" s="925">
        <f t="shared" si="38"/>
        <v>0.21874999999999997</v>
      </c>
      <c r="K108" s="925">
        <f t="shared" si="38"/>
        <v>13.197916666666666</v>
      </c>
      <c r="L108" s="925">
        <f t="shared" si="38"/>
        <v>24.583333333333332</v>
      </c>
      <c r="M108" s="925">
        <f t="shared" si="38"/>
        <v>-14.203125</v>
      </c>
      <c r="N108" s="925">
        <f t="shared" si="38"/>
        <v>33.489583333333329</v>
      </c>
      <c r="O108" s="925">
        <f t="shared" si="38"/>
        <v>26.125</v>
      </c>
      <c r="P108" s="925">
        <f t="shared" si="38"/>
        <v>0.5</v>
      </c>
      <c r="Q108" s="925">
        <f>SUM(E108:P108)</f>
        <v>339.71354166666663</v>
      </c>
      <c r="R108" s="155"/>
    </row>
    <row r="109" spans="1:20" s="907" customFormat="1" ht="12">
      <c r="A109" s="924">
        <f>A105+1</f>
        <v>41</v>
      </c>
      <c r="B109" s="907" t="s">
        <v>403</v>
      </c>
      <c r="D109" s="158">
        <v>62050</v>
      </c>
      <c r="E109" s="158">
        <v>62050</v>
      </c>
      <c r="F109" s="158">
        <v>62471</v>
      </c>
      <c r="G109" s="158">
        <v>62471</v>
      </c>
      <c r="H109" s="158">
        <v>62471</v>
      </c>
      <c r="I109" s="158">
        <v>63335</v>
      </c>
      <c r="J109" s="158">
        <v>63876</v>
      </c>
      <c r="K109" s="158">
        <v>63876</v>
      </c>
      <c r="L109" s="158">
        <v>64398</v>
      </c>
      <c r="M109" s="158">
        <v>64048</v>
      </c>
      <c r="N109" s="158">
        <v>64398</v>
      </c>
      <c r="O109" s="158">
        <v>64515</v>
      </c>
      <c r="P109" s="158">
        <v>64957</v>
      </c>
      <c r="Q109" s="158"/>
      <c r="R109" s="155">
        <f>ROUND(SUM(D109:P109)/13,0)</f>
        <v>63455</v>
      </c>
      <c r="S109" s="927"/>
      <c r="T109" s="929"/>
    </row>
    <row r="110" spans="1:20" s="925" customFormat="1" ht="11.25" customHeight="1">
      <c r="A110" s="930"/>
      <c r="B110" s="931" t="s">
        <v>866</v>
      </c>
      <c r="C110" s="931"/>
      <c r="E110" s="925">
        <f t="shared" ref="E110:P110" si="39">+E109-D109</f>
        <v>0</v>
      </c>
      <c r="F110" s="925">
        <f t="shared" si="39"/>
        <v>421</v>
      </c>
      <c r="G110" s="925">
        <f t="shared" si="39"/>
        <v>0</v>
      </c>
      <c r="H110" s="925">
        <f t="shared" si="39"/>
        <v>0</v>
      </c>
      <c r="I110" s="925">
        <f t="shared" si="39"/>
        <v>864</v>
      </c>
      <c r="J110" s="925">
        <f t="shared" si="39"/>
        <v>541</v>
      </c>
      <c r="K110" s="925">
        <f t="shared" si="39"/>
        <v>0</v>
      </c>
      <c r="L110" s="925">
        <f t="shared" si="39"/>
        <v>522</v>
      </c>
      <c r="M110" s="925">
        <f t="shared" si="39"/>
        <v>-350</v>
      </c>
      <c r="N110" s="925">
        <f t="shared" si="39"/>
        <v>350</v>
      </c>
      <c r="O110" s="925">
        <f t="shared" si="39"/>
        <v>117</v>
      </c>
      <c r="P110" s="925">
        <f t="shared" si="39"/>
        <v>442</v>
      </c>
      <c r="R110" s="155"/>
    </row>
    <row r="111" spans="1:20" s="925" customFormat="1" ht="11.25" customHeight="1">
      <c r="A111" s="930"/>
      <c r="B111" s="931" t="s">
        <v>865</v>
      </c>
      <c r="C111" s="931"/>
      <c r="E111" s="925">
        <v>1</v>
      </c>
      <c r="F111" s="925">
        <v>2</v>
      </c>
      <c r="G111" s="925">
        <v>3</v>
      </c>
      <c r="H111" s="925">
        <v>4</v>
      </c>
      <c r="I111" s="925">
        <v>5</v>
      </c>
      <c r="J111" s="925">
        <v>6</v>
      </c>
      <c r="K111" s="925">
        <v>7</v>
      </c>
      <c r="L111" s="925">
        <v>8</v>
      </c>
      <c r="M111" s="925">
        <v>9</v>
      </c>
      <c r="N111" s="925">
        <v>10</v>
      </c>
      <c r="O111" s="925">
        <v>11</v>
      </c>
      <c r="P111" s="925">
        <v>12</v>
      </c>
      <c r="R111" s="155"/>
    </row>
    <row r="112" spans="1:20" s="925" customFormat="1" ht="11.25" customHeight="1">
      <c r="A112" s="930"/>
      <c r="B112" s="881">
        <v>6.6666666666666666E-2</v>
      </c>
      <c r="C112" s="931"/>
      <c r="E112" s="925">
        <f t="shared" ref="E112:P112" si="40">+E110*($B112/12)*E111</f>
        <v>0</v>
      </c>
      <c r="F112" s="925">
        <f t="shared" si="40"/>
        <v>4.677777777777778</v>
      </c>
      <c r="G112" s="925">
        <f t="shared" si="40"/>
        <v>0</v>
      </c>
      <c r="H112" s="925">
        <f t="shared" si="40"/>
        <v>0</v>
      </c>
      <c r="I112" s="925">
        <f t="shared" si="40"/>
        <v>24</v>
      </c>
      <c r="J112" s="925">
        <f t="shared" si="40"/>
        <v>18.033333333333331</v>
      </c>
      <c r="K112" s="925">
        <f t="shared" si="40"/>
        <v>0</v>
      </c>
      <c r="L112" s="925">
        <f t="shared" si="40"/>
        <v>23.2</v>
      </c>
      <c r="M112" s="925">
        <f t="shared" si="40"/>
        <v>-17.5</v>
      </c>
      <c r="N112" s="925">
        <f t="shared" si="40"/>
        <v>19.444444444444443</v>
      </c>
      <c r="O112" s="925">
        <f t="shared" si="40"/>
        <v>7.15</v>
      </c>
      <c r="P112" s="925">
        <f t="shared" si="40"/>
        <v>29.466666666666669</v>
      </c>
      <c r="Q112" s="925">
        <f>SUM(E112:P112)</f>
        <v>108.47222222222223</v>
      </c>
      <c r="R112" s="155"/>
    </row>
    <row r="113" spans="1:20" s="907" customFormat="1" ht="12">
      <c r="A113" s="924">
        <f>A109+1</f>
        <v>42</v>
      </c>
      <c r="B113" s="907" t="s">
        <v>109</v>
      </c>
      <c r="D113" s="158">
        <v>142053</v>
      </c>
      <c r="E113" s="158">
        <v>144598</v>
      </c>
      <c r="F113" s="158">
        <v>143826</v>
      </c>
      <c r="G113" s="158">
        <v>146722</v>
      </c>
      <c r="H113" s="158">
        <v>149540</v>
      </c>
      <c r="I113" s="158">
        <v>149540</v>
      </c>
      <c r="J113" s="158">
        <v>156792</v>
      </c>
      <c r="K113" s="158">
        <v>157969</v>
      </c>
      <c r="L113" s="158">
        <v>160781</v>
      </c>
      <c r="M113" s="158">
        <v>166937</v>
      </c>
      <c r="N113" s="158">
        <v>172361</v>
      </c>
      <c r="O113" s="158">
        <v>173439</v>
      </c>
      <c r="P113" s="158">
        <v>173515</v>
      </c>
      <c r="Q113" s="158"/>
      <c r="R113" s="155">
        <f>ROUND(SUM(D113:P113)/13,0)</f>
        <v>156775</v>
      </c>
      <c r="S113" s="927"/>
      <c r="T113" s="929"/>
    </row>
    <row r="114" spans="1:20" s="925" customFormat="1" ht="11.25" customHeight="1">
      <c r="A114" s="930"/>
      <c r="B114" s="931" t="s">
        <v>866</v>
      </c>
      <c r="C114" s="931"/>
      <c r="E114" s="925">
        <f t="shared" ref="E114:P114" si="41">+E113-D113</f>
        <v>2545</v>
      </c>
      <c r="F114" s="925">
        <f t="shared" si="41"/>
        <v>-772</v>
      </c>
      <c r="G114" s="925">
        <f t="shared" si="41"/>
        <v>2896</v>
      </c>
      <c r="H114" s="925">
        <f t="shared" si="41"/>
        <v>2818</v>
      </c>
      <c r="I114" s="925">
        <f t="shared" si="41"/>
        <v>0</v>
      </c>
      <c r="J114" s="925">
        <f t="shared" si="41"/>
        <v>7252</v>
      </c>
      <c r="K114" s="925">
        <f t="shared" si="41"/>
        <v>1177</v>
      </c>
      <c r="L114" s="925">
        <f t="shared" si="41"/>
        <v>2812</v>
      </c>
      <c r="M114" s="925">
        <f t="shared" si="41"/>
        <v>6156</v>
      </c>
      <c r="N114" s="925">
        <f t="shared" si="41"/>
        <v>5424</v>
      </c>
      <c r="O114" s="925">
        <f t="shared" si="41"/>
        <v>1078</v>
      </c>
      <c r="P114" s="925">
        <f t="shared" si="41"/>
        <v>76</v>
      </c>
      <c r="R114" s="155"/>
    </row>
    <row r="115" spans="1:20" s="925" customFormat="1" ht="11.25" customHeight="1">
      <c r="A115" s="930"/>
      <c r="B115" s="931" t="s">
        <v>865</v>
      </c>
      <c r="C115" s="931"/>
      <c r="E115" s="925">
        <v>1</v>
      </c>
      <c r="F115" s="925">
        <v>2</v>
      </c>
      <c r="G115" s="925">
        <v>3</v>
      </c>
      <c r="H115" s="925">
        <v>4</v>
      </c>
      <c r="I115" s="925">
        <v>5</v>
      </c>
      <c r="J115" s="925">
        <v>6</v>
      </c>
      <c r="K115" s="925">
        <v>7</v>
      </c>
      <c r="L115" s="925">
        <v>8</v>
      </c>
      <c r="M115" s="925">
        <v>9</v>
      </c>
      <c r="N115" s="925">
        <v>10</v>
      </c>
      <c r="O115" s="925">
        <v>11</v>
      </c>
      <c r="P115" s="925">
        <v>12</v>
      </c>
      <c r="R115" s="155"/>
    </row>
    <row r="116" spans="1:20" s="925" customFormat="1" ht="11.25" customHeight="1">
      <c r="A116" s="930"/>
      <c r="B116" s="881">
        <v>8.3333333333333329E-2</v>
      </c>
      <c r="C116" s="931"/>
      <c r="E116" s="925">
        <f t="shared" ref="E116:P116" si="42">+E114*($B116/12)*E115</f>
        <v>17.673611111111111</v>
      </c>
      <c r="F116" s="925">
        <f t="shared" si="42"/>
        <v>-10.722222222222221</v>
      </c>
      <c r="G116" s="925">
        <f t="shared" si="42"/>
        <v>60.333333333333329</v>
      </c>
      <c r="H116" s="925">
        <f t="shared" si="42"/>
        <v>78.277777777777771</v>
      </c>
      <c r="I116" s="925">
        <f t="shared" si="42"/>
        <v>0</v>
      </c>
      <c r="J116" s="925">
        <f t="shared" si="42"/>
        <v>302.16666666666663</v>
      </c>
      <c r="K116" s="925">
        <f t="shared" si="42"/>
        <v>57.215277777777771</v>
      </c>
      <c r="L116" s="925">
        <f t="shared" si="42"/>
        <v>156.2222222222222</v>
      </c>
      <c r="M116" s="925">
        <f t="shared" si="42"/>
        <v>384.75</v>
      </c>
      <c r="N116" s="925">
        <f t="shared" si="42"/>
        <v>376.66666666666663</v>
      </c>
      <c r="O116" s="925">
        <f t="shared" si="42"/>
        <v>82.347222222222214</v>
      </c>
      <c r="P116" s="925">
        <f t="shared" si="42"/>
        <v>6.3333333333333339</v>
      </c>
      <c r="Q116" s="925">
        <f>SUM(E116:P116)</f>
        <v>1511.2638888888885</v>
      </c>
      <c r="R116" s="155"/>
    </row>
    <row r="117" spans="1:20" s="907" customFormat="1" ht="12">
      <c r="A117" s="924">
        <f>A113+1</f>
        <v>43</v>
      </c>
      <c r="B117" s="907" t="s">
        <v>110</v>
      </c>
      <c r="D117" s="158">
        <v>229478</v>
      </c>
      <c r="E117" s="158">
        <v>229246</v>
      </c>
      <c r="F117" s="158">
        <v>229685</v>
      </c>
      <c r="G117" s="158">
        <v>230659</v>
      </c>
      <c r="H117" s="158">
        <v>230550</v>
      </c>
      <c r="I117" s="158">
        <v>230696</v>
      </c>
      <c r="J117" s="158">
        <v>230725</v>
      </c>
      <c r="K117" s="158">
        <v>230718</v>
      </c>
      <c r="L117" s="158">
        <v>230840</v>
      </c>
      <c r="M117" s="158">
        <v>232145</v>
      </c>
      <c r="N117" s="158">
        <v>233251</v>
      </c>
      <c r="O117" s="158">
        <v>233288</v>
      </c>
      <c r="P117" s="158">
        <v>233299</v>
      </c>
      <c r="Q117" s="158"/>
      <c r="R117" s="155">
        <f>ROUND(SUM(D117:P117)/13,0)</f>
        <v>231122</v>
      </c>
      <c r="S117" s="927"/>
      <c r="T117" s="929"/>
    </row>
    <row r="118" spans="1:20" s="925" customFormat="1" ht="11.25" customHeight="1">
      <c r="A118" s="930"/>
      <c r="B118" s="931" t="s">
        <v>866</v>
      </c>
      <c r="C118" s="931"/>
      <c r="E118" s="925">
        <f t="shared" ref="E118:P118" si="43">+E117-D117</f>
        <v>-232</v>
      </c>
      <c r="F118" s="925">
        <f t="shared" si="43"/>
        <v>439</v>
      </c>
      <c r="G118" s="925">
        <f t="shared" si="43"/>
        <v>974</v>
      </c>
      <c r="H118" s="925">
        <f t="shared" si="43"/>
        <v>-109</v>
      </c>
      <c r="I118" s="925">
        <f t="shared" si="43"/>
        <v>146</v>
      </c>
      <c r="J118" s="925">
        <f t="shared" si="43"/>
        <v>29</v>
      </c>
      <c r="K118" s="925">
        <f t="shared" si="43"/>
        <v>-7</v>
      </c>
      <c r="L118" s="925">
        <f t="shared" si="43"/>
        <v>122</v>
      </c>
      <c r="M118" s="925">
        <f t="shared" si="43"/>
        <v>1305</v>
      </c>
      <c r="N118" s="925">
        <f t="shared" si="43"/>
        <v>1106</v>
      </c>
      <c r="O118" s="925">
        <f t="shared" si="43"/>
        <v>37</v>
      </c>
      <c r="P118" s="925">
        <f t="shared" si="43"/>
        <v>11</v>
      </c>
      <c r="R118" s="155"/>
    </row>
    <row r="119" spans="1:20" s="925" customFormat="1" ht="11.25" customHeight="1">
      <c r="A119" s="930"/>
      <c r="B119" s="931" t="s">
        <v>865</v>
      </c>
      <c r="C119" s="931"/>
      <c r="E119" s="925">
        <v>1</v>
      </c>
      <c r="F119" s="925">
        <v>2</v>
      </c>
      <c r="G119" s="925">
        <v>3</v>
      </c>
      <c r="H119" s="925">
        <v>4</v>
      </c>
      <c r="I119" s="925">
        <v>5</v>
      </c>
      <c r="J119" s="925">
        <v>6</v>
      </c>
      <c r="K119" s="925">
        <v>7</v>
      </c>
      <c r="L119" s="925">
        <v>8</v>
      </c>
      <c r="M119" s="925">
        <v>9</v>
      </c>
      <c r="N119" s="925">
        <v>10</v>
      </c>
      <c r="O119" s="925">
        <v>11</v>
      </c>
      <c r="P119" s="925">
        <v>12</v>
      </c>
      <c r="R119" s="155"/>
    </row>
    <row r="120" spans="1:20" s="925" customFormat="1" ht="11.25" customHeight="1">
      <c r="A120" s="930"/>
      <c r="B120" s="881">
        <v>0.1</v>
      </c>
      <c r="C120" s="931"/>
      <c r="E120" s="925">
        <f t="shared" ref="E120:P120" si="44">+E118*($B120/12)*E119</f>
        <v>-1.9333333333333333</v>
      </c>
      <c r="F120" s="925">
        <f t="shared" si="44"/>
        <v>7.3166666666666664</v>
      </c>
      <c r="G120" s="925">
        <f t="shared" si="44"/>
        <v>24.35</v>
      </c>
      <c r="H120" s="925">
        <f t="shared" si="44"/>
        <v>-3.6333333333333333</v>
      </c>
      <c r="I120" s="925">
        <f t="shared" si="44"/>
        <v>6.083333333333333</v>
      </c>
      <c r="J120" s="925">
        <f t="shared" si="44"/>
        <v>1.45</v>
      </c>
      <c r="K120" s="925">
        <f t="shared" si="44"/>
        <v>-0.40833333333333333</v>
      </c>
      <c r="L120" s="925">
        <f t="shared" si="44"/>
        <v>8.1333333333333329</v>
      </c>
      <c r="M120" s="925">
        <f t="shared" si="44"/>
        <v>97.875</v>
      </c>
      <c r="N120" s="925">
        <f t="shared" si="44"/>
        <v>92.166666666666671</v>
      </c>
      <c r="O120" s="925">
        <f t="shared" si="44"/>
        <v>3.3916666666666666</v>
      </c>
      <c r="P120" s="925">
        <f t="shared" si="44"/>
        <v>1.0999999999999999</v>
      </c>
      <c r="Q120" s="925">
        <f>SUM(E120:P120)</f>
        <v>235.89166666666671</v>
      </c>
      <c r="R120" s="155"/>
    </row>
    <row r="121" spans="1:20" s="907" customFormat="1" ht="12">
      <c r="A121" s="924">
        <f>A117+1</f>
        <v>44</v>
      </c>
      <c r="B121" s="907" t="s">
        <v>111</v>
      </c>
      <c r="D121" s="158">
        <v>23218</v>
      </c>
      <c r="E121" s="158">
        <v>23218</v>
      </c>
      <c r="F121" s="158">
        <v>23218</v>
      </c>
      <c r="G121" s="158">
        <v>23218</v>
      </c>
      <c r="H121" s="158">
        <v>23218</v>
      </c>
      <c r="I121" s="158">
        <v>23218</v>
      </c>
      <c r="J121" s="158">
        <v>23218</v>
      </c>
      <c r="K121" s="158">
        <v>23218</v>
      </c>
      <c r="L121" s="158">
        <v>23218</v>
      </c>
      <c r="M121" s="158">
        <v>23218</v>
      </c>
      <c r="N121" s="158">
        <v>23218</v>
      </c>
      <c r="O121" s="158">
        <v>23218</v>
      </c>
      <c r="P121" s="158">
        <v>23218</v>
      </c>
      <c r="Q121" s="158"/>
      <c r="R121" s="155">
        <f>ROUND(SUM(D121:P121)/13,0)</f>
        <v>23218</v>
      </c>
      <c r="S121" s="927"/>
      <c r="T121" s="929"/>
    </row>
    <row r="122" spans="1:20" s="907" customFormat="1" ht="12">
      <c r="A122" s="924">
        <f>A121+1</f>
        <v>45</v>
      </c>
      <c r="B122" s="907" t="s">
        <v>112</v>
      </c>
      <c r="D122" s="158">
        <v>-425667</v>
      </c>
      <c r="E122" s="158">
        <v>-425667</v>
      </c>
      <c r="F122" s="158">
        <v>-425667</v>
      </c>
      <c r="G122" s="158">
        <v>-425667</v>
      </c>
      <c r="H122" s="158">
        <v>-425667</v>
      </c>
      <c r="I122" s="158">
        <v>-425667</v>
      </c>
      <c r="J122" s="158">
        <v>-425667</v>
      </c>
      <c r="K122" s="158">
        <v>-425667</v>
      </c>
      <c r="L122" s="158">
        <v>-425667</v>
      </c>
      <c r="M122" s="158">
        <v>-425667</v>
      </c>
      <c r="N122" s="158">
        <v>-425667</v>
      </c>
      <c r="O122" s="158">
        <v>-425667</v>
      </c>
      <c r="P122" s="158">
        <v>-425667</v>
      </c>
      <c r="Q122" s="158"/>
      <c r="R122" s="155">
        <f>ROUND(SUM(D122:P122)/13,0)</f>
        <v>-425667</v>
      </c>
    </row>
    <row r="123" spans="1:20" s="907" customFormat="1" ht="12">
      <c r="A123" s="924">
        <f>A122+1</f>
        <v>46</v>
      </c>
      <c r="D123" s="925"/>
      <c r="E123" s="925"/>
      <c r="F123" s="925"/>
      <c r="G123" s="925"/>
      <c r="H123" s="925"/>
      <c r="I123" s="925"/>
      <c r="J123" s="925"/>
      <c r="K123" s="925"/>
      <c r="L123" s="925"/>
      <c r="M123" s="925"/>
      <c r="N123" s="925"/>
      <c r="O123" s="925"/>
      <c r="P123" s="925"/>
      <c r="Q123" s="925"/>
      <c r="R123" s="155">
        <f>ROUND(SUM(D123:P123)/13,0)</f>
        <v>0</v>
      </c>
    </row>
    <row r="124" spans="1:20" s="907" customFormat="1" ht="12">
      <c r="A124" s="924">
        <f>A123+1</f>
        <v>47</v>
      </c>
      <c r="B124" s="905" t="s">
        <v>438</v>
      </c>
      <c r="D124" s="157">
        <f t="shared" ref="D124:R124" si="45">SUM(D12:D123)</f>
        <v>118887735</v>
      </c>
      <c r="E124" s="157">
        <f t="shared" si="45"/>
        <v>119398249.02895357</v>
      </c>
      <c r="F124" s="157">
        <f t="shared" si="45"/>
        <v>119983947.68824323</v>
      </c>
      <c r="G124" s="157">
        <f t="shared" si="45"/>
        <v>120742826.25968917</v>
      </c>
      <c r="H124" s="157">
        <f t="shared" si="45"/>
        <v>120562761.40411621</v>
      </c>
      <c r="I124" s="157">
        <f t="shared" si="45"/>
        <v>121524789.17027511</v>
      </c>
      <c r="J124" s="157">
        <f t="shared" si="45"/>
        <v>122338877.58758017</v>
      </c>
      <c r="K124" s="157">
        <f t="shared" si="45"/>
        <v>123253900.38562293</v>
      </c>
      <c r="L124" s="157">
        <f t="shared" si="45"/>
        <v>126317600.39288171</v>
      </c>
      <c r="M124" s="157">
        <f t="shared" si="45"/>
        <v>124929465.61437877</v>
      </c>
      <c r="N124" s="157">
        <f t="shared" si="45"/>
        <v>124868475.27572434</v>
      </c>
      <c r="O124" s="157">
        <f t="shared" si="45"/>
        <v>126202333.45744164</v>
      </c>
      <c r="P124" s="157">
        <f t="shared" si="45"/>
        <v>126013243.15972076</v>
      </c>
      <c r="Q124" s="157">
        <f t="shared" si="45"/>
        <v>164051.42462756333</v>
      </c>
      <c r="R124" s="157">
        <f t="shared" si="45"/>
        <v>122154930</v>
      </c>
      <c r="S124" s="925">
        <f>SUM(R13:R123)</f>
        <v>122154930</v>
      </c>
    </row>
    <row r="125" spans="1:20" s="937" customFormat="1" ht="12">
      <c r="A125" s="934">
        <f>A124+1</f>
        <v>48</v>
      </c>
      <c r="B125" s="935" t="s">
        <v>652</v>
      </c>
      <c r="C125" s="156"/>
      <c r="D125" s="156"/>
      <c r="E125" s="156"/>
      <c r="F125" s="156"/>
      <c r="G125" s="156"/>
      <c r="H125" s="156"/>
      <c r="I125" s="156"/>
      <c r="J125" s="156"/>
      <c r="K125" s="156"/>
      <c r="L125" s="156"/>
      <c r="M125" s="156"/>
      <c r="N125" s="156"/>
      <c r="O125" s="156"/>
      <c r="P125" s="156"/>
      <c r="Q125" s="156"/>
      <c r="R125" s="936"/>
    </row>
    <row r="126" spans="1:20" s="937" customFormat="1" ht="12">
      <c r="A126" s="934">
        <f>A125+1</f>
        <v>49</v>
      </c>
      <c r="B126" s="938" t="s">
        <v>399</v>
      </c>
      <c r="C126" s="154">
        <f>-C100+1662191</f>
        <v>1662191</v>
      </c>
      <c r="D126" s="158">
        <v>-3903409.8104000003</v>
      </c>
      <c r="E126" s="158">
        <v>-3930175.1376</v>
      </c>
      <c r="F126" s="158">
        <v>-4110718.8514</v>
      </c>
      <c r="G126" s="158">
        <v>-4160876.1314000003</v>
      </c>
      <c r="H126" s="158">
        <v>-4164259.8334000004</v>
      </c>
      <c r="I126" s="158">
        <v>-4193632.9512</v>
      </c>
      <c r="J126" s="158">
        <v>-4460148.0616000006</v>
      </c>
      <c r="K126" s="158">
        <v>-4478967.0921999998</v>
      </c>
      <c r="L126" s="158">
        <v>-4502407.4844000004</v>
      </c>
      <c r="M126" s="158">
        <v>-4526746.6874000002</v>
      </c>
      <c r="N126" s="158">
        <v>-4544886.5846000006</v>
      </c>
      <c r="O126" s="158">
        <v>-4569090.3437999999</v>
      </c>
      <c r="P126" s="158">
        <v>-4603822.8244000003</v>
      </c>
      <c r="Q126" s="154"/>
      <c r="R126" s="155">
        <f>ROUND(SUM(D126:P126)/13,0)</f>
        <v>-4319165</v>
      </c>
    </row>
    <row r="127" spans="1:20" s="925" customFormat="1" ht="11.25" customHeight="1">
      <c r="A127" s="930"/>
      <c r="B127" s="931" t="s">
        <v>866</v>
      </c>
      <c r="C127" s="931"/>
      <c r="E127" s="925">
        <f t="shared" ref="E127:P127" si="46">+E126-D126</f>
        <v>-26765.327199999709</v>
      </c>
      <c r="F127" s="925">
        <f t="shared" si="46"/>
        <v>-180543.71380000003</v>
      </c>
      <c r="G127" s="925">
        <f t="shared" si="46"/>
        <v>-50157.280000000261</v>
      </c>
      <c r="H127" s="925">
        <f t="shared" si="46"/>
        <v>-3383.7020000000484</v>
      </c>
      <c r="I127" s="925">
        <f t="shared" si="46"/>
        <v>-29373.117799999658</v>
      </c>
      <c r="J127" s="925">
        <f t="shared" si="46"/>
        <v>-266515.11040000059</v>
      </c>
      <c r="K127" s="925">
        <f t="shared" si="46"/>
        <v>-18819.030599999242</v>
      </c>
      <c r="L127" s="925">
        <f t="shared" si="46"/>
        <v>-23440.392200000584</v>
      </c>
      <c r="M127" s="925">
        <f t="shared" si="46"/>
        <v>-24339.202999999747</v>
      </c>
      <c r="N127" s="925">
        <f t="shared" si="46"/>
        <v>-18139.897200000472</v>
      </c>
      <c r="O127" s="925">
        <f t="shared" si="46"/>
        <v>-24203.759199999273</v>
      </c>
      <c r="P127" s="925">
        <f t="shared" si="46"/>
        <v>-34732.480600000359</v>
      </c>
      <c r="R127" s="155"/>
    </row>
    <row r="128" spans="1:20" s="925" customFormat="1" ht="11.25" customHeight="1">
      <c r="A128" s="930"/>
      <c r="B128" s="931" t="s">
        <v>865</v>
      </c>
      <c r="C128" s="931"/>
      <c r="E128" s="925">
        <v>1</v>
      </c>
      <c r="F128" s="925">
        <v>2</v>
      </c>
      <c r="G128" s="925">
        <v>3</v>
      </c>
      <c r="H128" s="925">
        <v>4</v>
      </c>
      <c r="I128" s="925">
        <v>5</v>
      </c>
      <c r="J128" s="925">
        <v>6</v>
      </c>
      <c r="K128" s="925">
        <v>7</v>
      </c>
      <c r="L128" s="925">
        <v>8</v>
      </c>
      <c r="M128" s="925">
        <v>9</v>
      </c>
      <c r="N128" s="925">
        <v>10</v>
      </c>
      <c r="O128" s="925">
        <v>11</v>
      </c>
      <c r="P128" s="925">
        <v>12</v>
      </c>
      <c r="R128" s="155"/>
    </row>
    <row r="129" spans="1:250" s="925" customFormat="1" ht="11.25" customHeight="1">
      <c r="A129" s="930"/>
      <c r="B129" s="881">
        <v>6.6666666666666666E-2</v>
      </c>
      <c r="C129" s="931"/>
      <c r="E129" s="925">
        <f t="shared" ref="E129:P129" si="47">+E127*($B129/12)*E128</f>
        <v>-148.69626222222061</v>
      </c>
      <c r="F129" s="925">
        <f t="shared" si="47"/>
        <v>-2006.0412644444448</v>
      </c>
      <c r="G129" s="925">
        <f t="shared" si="47"/>
        <v>-835.95466666667107</v>
      </c>
      <c r="H129" s="925">
        <f t="shared" si="47"/>
        <v>-75.193377777778863</v>
      </c>
      <c r="I129" s="925">
        <f t="shared" si="47"/>
        <v>-815.91993888887941</v>
      </c>
      <c r="J129" s="925">
        <f t="shared" si="47"/>
        <v>-8883.8370133333519</v>
      </c>
      <c r="K129" s="925">
        <f t="shared" si="47"/>
        <v>-731.85118999997053</v>
      </c>
      <c r="L129" s="925">
        <f t="shared" si="47"/>
        <v>-1041.7952088889149</v>
      </c>
      <c r="M129" s="925">
        <f t="shared" si="47"/>
        <v>-1216.9601499999872</v>
      </c>
      <c r="N129" s="925">
        <f t="shared" si="47"/>
        <v>-1007.772066666693</v>
      </c>
      <c r="O129" s="925">
        <f t="shared" si="47"/>
        <v>-1479.1186177777333</v>
      </c>
      <c r="P129" s="925">
        <f t="shared" si="47"/>
        <v>-2315.4987066666909</v>
      </c>
      <c r="Q129" s="925">
        <f>SUM(E129:P129)</f>
        <v>-20558.638463333336</v>
      </c>
      <c r="R129" s="155"/>
    </row>
    <row r="130" spans="1:250" s="937" customFormat="1" ht="12">
      <c r="A130" s="934">
        <f>A126+1</f>
        <v>50</v>
      </c>
      <c r="B130" s="938" t="s">
        <v>400</v>
      </c>
      <c r="C130" s="154">
        <f>-C104+539027</f>
        <v>539027</v>
      </c>
      <c r="D130" s="158">
        <v>-1732420.1798</v>
      </c>
      <c r="E130" s="158">
        <v>-1832524.9408</v>
      </c>
      <c r="F130" s="158">
        <v>-1807977.0682000001</v>
      </c>
      <c r="G130" s="158">
        <v>-1837280.7890000001</v>
      </c>
      <c r="H130" s="158">
        <v>-1856401.3376000002</v>
      </c>
      <c r="I130" s="158">
        <v>-1817707.9634</v>
      </c>
      <c r="J130" s="158">
        <v>-1817669.1968</v>
      </c>
      <c r="K130" s="158">
        <v>-1809947.9430000002</v>
      </c>
      <c r="L130" s="158">
        <v>-1899733.3030000001</v>
      </c>
      <c r="M130" s="158">
        <v>-1892152.2790000001</v>
      </c>
      <c r="N130" s="158">
        <v>-1860706.8232</v>
      </c>
      <c r="O130" s="158">
        <v>-1860587.6518000001</v>
      </c>
      <c r="P130" s="158">
        <v>-1865847.9444000002</v>
      </c>
      <c r="Q130" s="154"/>
      <c r="R130" s="155">
        <f>ROUND(SUM(D130:P130)/13,0)</f>
        <v>-1837766</v>
      </c>
    </row>
    <row r="131" spans="1:250" s="925" customFormat="1" ht="11.25" customHeight="1">
      <c r="A131" s="930"/>
      <c r="B131" s="931" t="s">
        <v>866</v>
      </c>
      <c r="C131" s="931"/>
      <c r="E131" s="925">
        <f t="shared" ref="E131:P131" si="48">+E130-D130</f>
        <v>-100104.76099999994</v>
      </c>
      <c r="F131" s="925">
        <f t="shared" si="48"/>
        <v>24547.872599999886</v>
      </c>
      <c r="G131" s="925">
        <f t="shared" si="48"/>
        <v>-29303.72080000001</v>
      </c>
      <c r="H131" s="925">
        <f t="shared" si="48"/>
        <v>-19120.548600000096</v>
      </c>
      <c r="I131" s="925">
        <f t="shared" si="48"/>
        <v>38693.374200000195</v>
      </c>
      <c r="J131" s="925">
        <f t="shared" si="48"/>
        <v>38.76659999997355</v>
      </c>
      <c r="K131" s="925">
        <f t="shared" si="48"/>
        <v>7721.2537999998312</v>
      </c>
      <c r="L131" s="925">
        <f t="shared" si="48"/>
        <v>-89785.35999999987</v>
      </c>
      <c r="M131" s="925">
        <f t="shared" si="48"/>
        <v>7581.0239999999758</v>
      </c>
      <c r="N131" s="925">
        <f t="shared" si="48"/>
        <v>31445.455800000113</v>
      </c>
      <c r="O131" s="925">
        <f t="shared" si="48"/>
        <v>119.17139999987558</v>
      </c>
      <c r="P131" s="925">
        <f t="shared" si="48"/>
        <v>-5260.2926000000443</v>
      </c>
      <c r="R131" s="155"/>
    </row>
    <row r="132" spans="1:250" s="925" customFormat="1" ht="11.25" customHeight="1">
      <c r="A132" s="930"/>
      <c r="B132" s="931" t="s">
        <v>865</v>
      </c>
      <c r="C132" s="931"/>
      <c r="E132" s="925">
        <v>1</v>
      </c>
      <c r="F132" s="925">
        <v>2</v>
      </c>
      <c r="G132" s="925">
        <v>3</v>
      </c>
      <c r="H132" s="925">
        <v>4</v>
      </c>
      <c r="I132" s="925">
        <v>5</v>
      </c>
      <c r="J132" s="925">
        <v>6</v>
      </c>
      <c r="K132" s="925">
        <v>7</v>
      </c>
      <c r="L132" s="925">
        <v>8</v>
      </c>
      <c r="M132" s="925">
        <v>9</v>
      </c>
      <c r="N132" s="925">
        <v>10</v>
      </c>
      <c r="O132" s="925">
        <v>11</v>
      </c>
      <c r="P132" s="925">
        <v>12</v>
      </c>
      <c r="R132" s="155"/>
    </row>
    <row r="133" spans="1:250" s="925" customFormat="1" ht="11.25" customHeight="1">
      <c r="A133" s="930"/>
      <c r="B133" s="881">
        <v>0.2</v>
      </c>
      <c r="C133" s="931"/>
      <c r="E133" s="925">
        <f t="shared" ref="E133:P133" si="49">+E131*($B133/12)*E132</f>
        <v>-1668.4126833333323</v>
      </c>
      <c r="F133" s="925">
        <f t="shared" si="49"/>
        <v>818.26241999999615</v>
      </c>
      <c r="G133" s="925">
        <f t="shared" si="49"/>
        <v>-1465.1860400000005</v>
      </c>
      <c r="H133" s="925">
        <f t="shared" si="49"/>
        <v>-1274.7032400000064</v>
      </c>
      <c r="I133" s="925">
        <f t="shared" si="49"/>
        <v>3224.4478500000159</v>
      </c>
      <c r="J133" s="925">
        <f t="shared" si="49"/>
        <v>3.8766599999973552</v>
      </c>
      <c r="K133" s="925">
        <f t="shared" si="49"/>
        <v>900.81294333331368</v>
      </c>
      <c r="L133" s="925">
        <f t="shared" si="49"/>
        <v>-11971.381333333316</v>
      </c>
      <c r="M133" s="925">
        <f t="shared" si="49"/>
        <v>1137.1535999999965</v>
      </c>
      <c r="N133" s="925">
        <f t="shared" si="49"/>
        <v>5240.9093000000194</v>
      </c>
      <c r="O133" s="925">
        <f t="shared" si="49"/>
        <v>21.848089999977187</v>
      </c>
      <c r="P133" s="925">
        <f t="shared" si="49"/>
        <v>-1052.0585200000089</v>
      </c>
      <c r="Q133" s="925">
        <f>SUM(E133:P133)</f>
        <v>-6084.430953333349</v>
      </c>
      <c r="R133" s="155"/>
    </row>
    <row r="134" spans="1:250" s="937" customFormat="1" ht="12">
      <c r="A134" s="934">
        <f>A130+1</f>
        <v>51</v>
      </c>
      <c r="B134" s="938" t="s">
        <v>112</v>
      </c>
      <c r="C134" s="154"/>
      <c r="D134" s="158">
        <v>-12177.311800000001</v>
      </c>
      <c r="E134" s="158">
        <v>-12282.311800000001</v>
      </c>
      <c r="F134" s="158">
        <v>-12282.311800000001</v>
      </c>
      <c r="G134" s="158">
        <v>-12282.311800000001</v>
      </c>
      <c r="H134" s="158">
        <v>-12282.311800000001</v>
      </c>
      <c r="I134" s="158">
        <v>-12282.311800000001</v>
      </c>
      <c r="J134" s="158">
        <v>-12282.311800000001</v>
      </c>
      <c r="K134" s="158">
        <v>-12282.311800000001</v>
      </c>
      <c r="L134" s="158">
        <v>-12282.311800000001</v>
      </c>
      <c r="M134" s="158">
        <v>-12282.311800000001</v>
      </c>
      <c r="N134" s="158">
        <v>-12282.311800000001</v>
      </c>
      <c r="O134" s="158">
        <v>-12282.311800000001</v>
      </c>
      <c r="P134" s="158">
        <v>-12282.311800000001</v>
      </c>
      <c r="Q134" s="154"/>
      <c r="R134" s="155">
        <f>ROUND(SUM(D134:P134)/13,0)</f>
        <v>-12274</v>
      </c>
    </row>
    <row r="135" spans="1:250" ht="12">
      <c r="A135" s="934">
        <f>A134+1</f>
        <v>52</v>
      </c>
      <c r="B135" s="939" t="s">
        <v>653</v>
      </c>
      <c r="C135" s="940">
        <f>SUM(C124:C130)</f>
        <v>2201218</v>
      </c>
      <c r="D135" s="940">
        <f t="shared" ref="D135:R135" si="50">SUM(D126:D134)</f>
        <v>-5648007.3020000001</v>
      </c>
      <c r="E135" s="940">
        <f t="shared" si="50"/>
        <v>-5903667.5873455554</v>
      </c>
      <c r="F135" s="940">
        <f t="shared" si="50"/>
        <v>-6088157.8514444456</v>
      </c>
      <c r="G135" s="940">
        <f t="shared" si="50"/>
        <v>-6092195.3737066677</v>
      </c>
      <c r="H135" s="940">
        <f t="shared" si="50"/>
        <v>-6056789.6300177788</v>
      </c>
      <c r="I135" s="940">
        <f t="shared" si="50"/>
        <v>-6011884.442088889</v>
      </c>
      <c r="J135" s="940">
        <f t="shared" si="50"/>
        <v>-6565443.8743533352</v>
      </c>
      <c r="K135" s="940">
        <f t="shared" si="50"/>
        <v>-6312112.1620466653</v>
      </c>
      <c r="L135" s="940">
        <f t="shared" si="50"/>
        <v>-6540646.0279422235</v>
      </c>
      <c r="M135" s="940">
        <f t="shared" si="50"/>
        <v>-6448001.2637499999</v>
      </c>
      <c r="N135" s="940">
        <f t="shared" si="50"/>
        <v>-6400317.0237666667</v>
      </c>
      <c r="O135" s="940">
        <f t="shared" si="50"/>
        <v>-6467480.1657277774</v>
      </c>
      <c r="P135" s="940">
        <f t="shared" si="50"/>
        <v>-6525289.4110266687</v>
      </c>
      <c r="Q135" s="940">
        <f t="shared" si="50"/>
        <v>-26643.069416666687</v>
      </c>
      <c r="R135" s="940">
        <f t="shared" si="50"/>
        <v>-6169205</v>
      </c>
      <c r="S135" s="937"/>
      <c r="T135" s="937"/>
      <c r="U135" s="937"/>
      <c r="V135" s="937"/>
      <c r="W135" s="937"/>
      <c r="X135" s="937"/>
      <c r="Y135" s="907"/>
      <c r="Z135" s="907"/>
      <c r="AA135" s="907"/>
      <c r="AB135" s="907"/>
      <c r="AC135" s="907"/>
      <c r="AD135" s="907"/>
      <c r="AE135" s="907"/>
      <c r="AF135" s="907"/>
      <c r="AG135" s="907"/>
      <c r="AH135" s="907"/>
      <c r="AI135" s="907"/>
      <c r="AJ135" s="907"/>
      <c r="AK135" s="907"/>
      <c r="AL135" s="907"/>
      <c r="AM135" s="907"/>
      <c r="AN135" s="907"/>
      <c r="AO135" s="907"/>
      <c r="AP135" s="907"/>
      <c r="AQ135" s="907"/>
      <c r="AR135" s="907"/>
      <c r="AS135" s="907"/>
      <c r="AT135" s="907"/>
      <c r="AU135" s="907"/>
      <c r="AV135" s="907"/>
      <c r="AW135" s="907"/>
      <c r="AX135" s="907"/>
      <c r="AY135" s="907"/>
      <c r="AZ135" s="907"/>
      <c r="BA135" s="907"/>
      <c r="BB135" s="907"/>
      <c r="BC135" s="907"/>
      <c r="BD135" s="907"/>
      <c r="BE135" s="907"/>
      <c r="BF135" s="907"/>
      <c r="BG135" s="907"/>
      <c r="BH135" s="907"/>
      <c r="BI135" s="907"/>
      <c r="BJ135" s="907"/>
      <c r="BK135" s="907"/>
      <c r="BL135" s="907"/>
      <c r="BM135" s="907"/>
      <c r="BN135" s="907"/>
      <c r="BO135" s="907"/>
      <c r="BP135" s="907"/>
      <c r="BQ135" s="907"/>
      <c r="BR135" s="907"/>
      <c r="BS135" s="907"/>
      <c r="BT135" s="907"/>
      <c r="BU135" s="907"/>
      <c r="BV135" s="907"/>
      <c r="BW135" s="907"/>
      <c r="BX135" s="907"/>
      <c r="BY135" s="907"/>
      <c r="BZ135" s="907"/>
      <c r="CA135" s="907"/>
      <c r="CB135" s="907"/>
      <c r="CC135" s="907"/>
      <c r="CD135" s="907"/>
      <c r="CE135" s="907"/>
      <c r="CF135" s="907"/>
      <c r="CG135" s="907"/>
      <c r="CH135" s="907"/>
      <c r="CI135" s="907"/>
      <c r="CJ135" s="907"/>
      <c r="CK135" s="907"/>
      <c r="CL135" s="907"/>
      <c r="CM135" s="907"/>
      <c r="CN135" s="907"/>
      <c r="CO135" s="907"/>
      <c r="CP135" s="907"/>
      <c r="CQ135" s="907"/>
      <c r="CR135" s="907"/>
      <c r="CS135" s="907"/>
      <c r="CT135" s="907"/>
      <c r="CU135" s="907"/>
      <c r="CV135" s="907"/>
      <c r="CW135" s="907"/>
      <c r="CX135" s="907"/>
      <c r="CY135" s="907"/>
      <c r="CZ135" s="907"/>
      <c r="DA135" s="907"/>
      <c r="DB135" s="907"/>
      <c r="DC135" s="907"/>
      <c r="DD135" s="907"/>
      <c r="DE135" s="907"/>
      <c r="DF135" s="907"/>
      <c r="DG135" s="907"/>
      <c r="DH135" s="907"/>
      <c r="DI135" s="907"/>
      <c r="DJ135" s="907"/>
      <c r="DK135" s="907"/>
      <c r="DL135" s="907"/>
      <c r="DM135" s="907"/>
      <c r="DN135" s="907"/>
      <c r="DO135" s="907"/>
      <c r="DP135" s="907"/>
      <c r="DQ135" s="907"/>
      <c r="DR135" s="907"/>
      <c r="DS135" s="907"/>
      <c r="DT135" s="907"/>
      <c r="DU135" s="907"/>
      <c r="DV135" s="907"/>
      <c r="DW135" s="907"/>
      <c r="DX135" s="907"/>
      <c r="DY135" s="907"/>
      <c r="DZ135" s="907"/>
      <c r="EA135" s="907"/>
      <c r="EB135" s="907"/>
      <c r="EC135" s="907"/>
      <c r="ED135" s="907"/>
      <c r="EE135" s="907"/>
      <c r="EF135" s="907"/>
      <c r="EG135" s="907"/>
      <c r="EH135" s="907"/>
      <c r="EI135" s="907"/>
      <c r="EJ135" s="907"/>
      <c r="EK135" s="907"/>
      <c r="EL135" s="907"/>
      <c r="EM135" s="907"/>
      <c r="EN135" s="907"/>
      <c r="EO135" s="907"/>
      <c r="EP135" s="907"/>
      <c r="EQ135" s="907"/>
      <c r="ER135" s="907"/>
      <c r="ES135" s="907"/>
      <c r="ET135" s="907"/>
      <c r="EU135" s="907"/>
      <c r="EV135" s="907"/>
      <c r="EW135" s="907"/>
      <c r="EX135" s="907"/>
      <c r="EY135" s="907"/>
      <c r="EZ135" s="907"/>
      <c r="FA135" s="907"/>
      <c r="FB135" s="907"/>
      <c r="FC135" s="907"/>
      <c r="FD135" s="907"/>
      <c r="FE135" s="907"/>
      <c r="FF135" s="907"/>
      <c r="FG135" s="907"/>
      <c r="FH135" s="907"/>
      <c r="FI135" s="907"/>
      <c r="FJ135" s="907"/>
      <c r="FK135" s="907"/>
      <c r="FL135" s="907"/>
      <c r="FM135" s="907"/>
      <c r="FN135" s="907"/>
      <c r="FO135" s="907"/>
      <c r="FP135" s="907"/>
      <c r="FQ135" s="907"/>
      <c r="FR135" s="907"/>
      <c r="FS135" s="907"/>
      <c r="FT135" s="907"/>
      <c r="FU135" s="907"/>
      <c r="FV135" s="907"/>
      <c r="FW135" s="907"/>
      <c r="FX135" s="907"/>
      <c r="FY135" s="907"/>
      <c r="FZ135" s="907"/>
      <c r="GA135" s="907"/>
      <c r="GB135" s="907"/>
      <c r="GC135" s="907"/>
      <c r="GD135" s="907"/>
      <c r="GE135" s="907"/>
      <c r="GF135" s="907"/>
      <c r="GG135" s="907"/>
      <c r="GH135" s="907"/>
      <c r="GI135" s="907"/>
      <c r="GJ135" s="907"/>
      <c r="GK135" s="907"/>
      <c r="GL135" s="907"/>
      <c r="GM135" s="907"/>
      <c r="GN135" s="907"/>
      <c r="GO135" s="907"/>
      <c r="GP135" s="907"/>
      <c r="GQ135" s="907"/>
      <c r="GR135" s="907"/>
      <c r="GS135" s="907"/>
      <c r="GT135" s="907"/>
      <c r="GU135" s="907"/>
      <c r="GV135" s="907"/>
      <c r="GW135" s="907"/>
      <c r="GX135" s="907"/>
      <c r="GY135" s="907"/>
      <c r="GZ135" s="907"/>
      <c r="HA135" s="907"/>
      <c r="HB135" s="907"/>
      <c r="HC135" s="907"/>
      <c r="HD135" s="907"/>
      <c r="HE135" s="907"/>
      <c r="HF135" s="907"/>
      <c r="HG135" s="907"/>
      <c r="HH135" s="907"/>
      <c r="HI135" s="907"/>
      <c r="HJ135" s="907"/>
      <c r="HK135" s="907"/>
      <c r="HL135" s="907"/>
      <c r="HM135" s="907"/>
      <c r="HN135" s="907"/>
      <c r="HO135" s="907"/>
      <c r="HP135" s="907"/>
      <c r="HQ135" s="907"/>
      <c r="HR135" s="907"/>
      <c r="HS135" s="907"/>
      <c r="HT135" s="907"/>
      <c r="HU135" s="907"/>
      <c r="HV135" s="907"/>
      <c r="HW135" s="907"/>
      <c r="HX135" s="907"/>
      <c r="HY135" s="907"/>
      <c r="HZ135" s="907"/>
      <c r="IA135" s="907"/>
      <c r="IB135" s="907"/>
      <c r="IC135" s="907"/>
      <c r="ID135" s="907"/>
      <c r="IE135" s="907"/>
      <c r="IF135" s="907"/>
      <c r="IG135" s="907"/>
      <c r="IH135" s="907"/>
      <c r="II135" s="907"/>
      <c r="IJ135" s="907"/>
      <c r="IK135" s="907"/>
      <c r="IL135" s="907"/>
      <c r="IM135" s="907"/>
      <c r="IN135" s="907"/>
      <c r="IO135" s="907"/>
      <c r="IP135" s="907"/>
    </row>
    <row r="136" spans="1:250" ht="12">
      <c r="A136" s="924"/>
      <c r="B136" s="905"/>
      <c r="Y136" s="907"/>
      <c r="Z136" s="907"/>
      <c r="AA136" s="907"/>
      <c r="AB136" s="907"/>
      <c r="AC136" s="907"/>
      <c r="AD136" s="907"/>
      <c r="AE136" s="907"/>
      <c r="AF136" s="907"/>
      <c r="AG136" s="907"/>
      <c r="AH136" s="907"/>
      <c r="AI136" s="907"/>
      <c r="AJ136" s="907"/>
      <c r="AK136" s="907"/>
      <c r="AL136" s="907"/>
      <c r="AM136" s="907"/>
      <c r="AN136" s="907"/>
      <c r="AO136" s="907"/>
      <c r="AP136" s="907"/>
      <c r="AQ136" s="907"/>
      <c r="AR136" s="907"/>
      <c r="AS136" s="907"/>
      <c r="AT136" s="907"/>
      <c r="AU136" s="907"/>
      <c r="AV136" s="907"/>
      <c r="AW136" s="907"/>
      <c r="AX136" s="907"/>
      <c r="AY136" s="907"/>
      <c r="AZ136" s="907"/>
      <c r="BA136" s="907"/>
      <c r="BB136" s="907"/>
      <c r="BC136" s="907"/>
      <c r="BD136" s="907"/>
      <c r="BE136" s="907"/>
      <c r="BF136" s="907"/>
      <c r="BG136" s="907"/>
      <c r="BH136" s="907"/>
      <c r="BI136" s="907"/>
      <c r="BJ136" s="907"/>
      <c r="BK136" s="907"/>
      <c r="BL136" s="907"/>
      <c r="BM136" s="907"/>
      <c r="BN136" s="907"/>
      <c r="BO136" s="907"/>
      <c r="BP136" s="907"/>
      <c r="BQ136" s="907"/>
      <c r="BR136" s="907"/>
      <c r="BS136" s="907"/>
      <c r="BT136" s="907"/>
      <c r="BU136" s="907"/>
      <c r="BV136" s="907"/>
      <c r="BW136" s="907"/>
      <c r="BX136" s="907"/>
      <c r="BY136" s="907"/>
      <c r="BZ136" s="907"/>
      <c r="CA136" s="907"/>
      <c r="CB136" s="907"/>
      <c r="CC136" s="907"/>
      <c r="CD136" s="907"/>
      <c r="CE136" s="907"/>
      <c r="CF136" s="907"/>
      <c r="CG136" s="907"/>
      <c r="CH136" s="907"/>
      <c r="CI136" s="907"/>
      <c r="CJ136" s="907"/>
      <c r="CK136" s="907"/>
      <c r="CL136" s="907"/>
      <c r="CM136" s="907"/>
      <c r="CN136" s="907"/>
      <c r="CO136" s="907"/>
      <c r="CP136" s="907"/>
      <c r="CQ136" s="907"/>
      <c r="CR136" s="907"/>
      <c r="CS136" s="907"/>
      <c r="CT136" s="907"/>
      <c r="CU136" s="907"/>
      <c r="CV136" s="907"/>
      <c r="CW136" s="907"/>
      <c r="CX136" s="907"/>
      <c r="CY136" s="907"/>
      <c r="CZ136" s="907"/>
      <c r="DA136" s="907"/>
      <c r="DB136" s="907"/>
      <c r="DC136" s="907"/>
      <c r="DD136" s="907"/>
      <c r="DE136" s="907"/>
      <c r="DF136" s="907"/>
      <c r="DG136" s="907"/>
      <c r="DH136" s="907"/>
      <c r="DI136" s="907"/>
      <c r="DJ136" s="907"/>
      <c r="DK136" s="907"/>
      <c r="DL136" s="907"/>
      <c r="DM136" s="907"/>
      <c r="DN136" s="907"/>
      <c r="DO136" s="907"/>
      <c r="DP136" s="907"/>
      <c r="DQ136" s="907"/>
      <c r="DR136" s="907"/>
      <c r="DS136" s="907"/>
      <c r="DT136" s="907"/>
      <c r="DU136" s="907"/>
      <c r="DV136" s="907"/>
      <c r="DW136" s="907"/>
      <c r="DX136" s="907"/>
      <c r="DY136" s="907"/>
      <c r="DZ136" s="907"/>
      <c r="EA136" s="907"/>
      <c r="EB136" s="907"/>
      <c r="EC136" s="907"/>
      <c r="ED136" s="907"/>
      <c r="EE136" s="907"/>
      <c r="EF136" s="907"/>
      <c r="EG136" s="907"/>
      <c r="EH136" s="907"/>
      <c r="EI136" s="907"/>
      <c r="EJ136" s="907"/>
      <c r="EK136" s="907"/>
      <c r="EL136" s="907"/>
      <c r="EM136" s="907"/>
      <c r="EN136" s="907"/>
      <c r="EO136" s="907"/>
      <c r="EP136" s="907"/>
      <c r="EQ136" s="907"/>
      <c r="ER136" s="907"/>
      <c r="ES136" s="907"/>
      <c r="ET136" s="907"/>
      <c r="EU136" s="907"/>
      <c r="EV136" s="907"/>
      <c r="EW136" s="907"/>
      <c r="EX136" s="907"/>
      <c r="EY136" s="907"/>
      <c r="EZ136" s="907"/>
      <c r="FA136" s="907"/>
      <c r="FB136" s="907"/>
      <c r="FC136" s="907"/>
      <c r="FD136" s="907"/>
      <c r="FE136" s="907"/>
      <c r="FF136" s="907"/>
      <c r="FG136" s="907"/>
      <c r="FH136" s="907"/>
      <c r="FI136" s="907"/>
      <c r="FJ136" s="907"/>
      <c r="FK136" s="907"/>
      <c r="FL136" s="907"/>
      <c r="FM136" s="907"/>
      <c r="FN136" s="907"/>
      <c r="FO136" s="907"/>
      <c r="FP136" s="907"/>
      <c r="FQ136" s="907"/>
      <c r="FR136" s="907"/>
      <c r="FS136" s="907"/>
      <c r="FT136" s="907"/>
      <c r="FU136" s="907"/>
      <c r="FV136" s="907"/>
      <c r="FW136" s="907"/>
      <c r="FX136" s="907"/>
      <c r="FY136" s="907"/>
      <c r="FZ136" s="907"/>
      <c r="GA136" s="907"/>
      <c r="GB136" s="907"/>
      <c r="GC136" s="907"/>
      <c r="GD136" s="907"/>
      <c r="GE136" s="907"/>
      <c r="GF136" s="907"/>
      <c r="GG136" s="907"/>
      <c r="GH136" s="907"/>
      <c r="GI136" s="907"/>
      <c r="GJ136" s="907"/>
      <c r="GK136" s="907"/>
      <c r="GL136" s="907"/>
      <c r="GM136" s="907"/>
      <c r="GN136" s="907"/>
      <c r="GO136" s="907"/>
      <c r="GP136" s="907"/>
      <c r="GQ136" s="907"/>
      <c r="GR136" s="907"/>
      <c r="GS136" s="907"/>
      <c r="GT136" s="907"/>
      <c r="GU136" s="907"/>
      <c r="GV136" s="907"/>
      <c r="GW136" s="907"/>
      <c r="GX136" s="907"/>
      <c r="GY136" s="907"/>
      <c r="GZ136" s="907"/>
      <c r="HA136" s="907"/>
      <c r="HB136" s="907"/>
      <c r="HC136" s="907"/>
      <c r="HD136" s="907"/>
      <c r="HE136" s="907"/>
      <c r="HF136" s="907"/>
      <c r="HG136" s="907"/>
      <c r="HH136" s="907"/>
      <c r="HI136" s="907"/>
      <c r="HJ136" s="907"/>
      <c r="HK136" s="907"/>
      <c r="HL136" s="907"/>
      <c r="HM136" s="907"/>
      <c r="HN136" s="907"/>
      <c r="HO136" s="907"/>
      <c r="HP136" s="907"/>
      <c r="HQ136" s="907"/>
      <c r="HR136" s="907"/>
      <c r="HS136" s="907"/>
      <c r="HT136" s="907"/>
      <c r="HU136" s="907"/>
      <c r="HV136" s="907"/>
      <c r="HW136" s="907"/>
      <c r="HX136" s="907"/>
      <c r="HY136" s="907"/>
      <c r="HZ136" s="907"/>
      <c r="IA136" s="907"/>
      <c r="IB136" s="907"/>
      <c r="IC136" s="907"/>
      <c r="ID136" s="907"/>
      <c r="IE136" s="907"/>
      <c r="IF136" s="907"/>
      <c r="IG136" s="907"/>
      <c r="IH136" s="907"/>
      <c r="II136" s="907"/>
      <c r="IJ136" s="907"/>
      <c r="IK136" s="907"/>
      <c r="IL136" s="907"/>
      <c r="IM136" s="907"/>
      <c r="IN136" s="907"/>
      <c r="IO136" s="907"/>
      <c r="IP136" s="907"/>
    </row>
    <row r="162" spans="1:250" ht="12">
      <c r="A162" s="941"/>
      <c r="Y162" s="907"/>
      <c r="Z162" s="907"/>
      <c r="AA162" s="907"/>
      <c r="AB162" s="907"/>
      <c r="AC162" s="907"/>
      <c r="AD162" s="907"/>
      <c r="AE162" s="907"/>
      <c r="AF162" s="907"/>
      <c r="AG162" s="907"/>
      <c r="AH162" s="907"/>
      <c r="AI162" s="907"/>
      <c r="AJ162" s="907"/>
      <c r="AK162" s="907"/>
      <c r="AL162" s="907"/>
      <c r="AM162" s="907"/>
      <c r="AN162" s="907"/>
      <c r="AO162" s="907"/>
      <c r="AP162" s="907"/>
      <c r="AQ162" s="907"/>
      <c r="AR162" s="907"/>
      <c r="AS162" s="907"/>
      <c r="AT162" s="907"/>
      <c r="AU162" s="907"/>
      <c r="AV162" s="907"/>
      <c r="AW162" s="907"/>
      <c r="AX162" s="907"/>
      <c r="AY162" s="907"/>
      <c r="AZ162" s="907"/>
      <c r="BA162" s="907"/>
      <c r="BB162" s="907"/>
      <c r="BC162" s="907"/>
      <c r="BD162" s="907"/>
      <c r="BE162" s="907"/>
      <c r="BF162" s="907"/>
      <c r="BG162" s="907"/>
      <c r="BH162" s="907"/>
      <c r="BI162" s="907"/>
      <c r="BJ162" s="907"/>
      <c r="BK162" s="907"/>
      <c r="BL162" s="907"/>
      <c r="BM162" s="907"/>
      <c r="BN162" s="907"/>
      <c r="BO162" s="907"/>
      <c r="BP162" s="907"/>
      <c r="BQ162" s="907"/>
      <c r="BR162" s="907"/>
      <c r="BS162" s="907"/>
      <c r="BT162" s="907"/>
      <c r="BU162" s="907"/>
      <c r="BV162" s="907"/>
      <c r="BW162" s="907"/>
      <c r="BX162" s="907"/>
      <c r="BY162" s="907"/>
      <c r="BZ162" s="907"/>
      <c r="CA162" s="907"/>
      <c r="CB162" s="907"/>
      <c r="CC162" s="907"/>
      <c r="CD162" s="907"/>
      <c r="CE162" s="907"/>
      <c r="CF162" s="907"/>
      <c r="CG162" s="907"/>
      <c r="CH162" s="907"/>
      <c r="CI162" s="907"/>
      <c r="CJ162" s="907"/>
      <c r="CK162" s="907"/>
      <c r="CL162" s="907"/>
      <c r="CM162" s="907"/>
      <c r="CN162" s="907"/>
      <c r="CO162" s="907"/>
      <c r="CP162" s="907"/>
      <c r="CQ162" s="907"/>
      <c r="CR162" s="907"/>
      <c r="CS162" s="907"/>
      <c r="CT162" s="907"/>
      <c r="CU162" s="907"/>
      <c r="CV162" s="907"/>
      <c r="CW162" s="907"/>
      <c r="CX162" s="907"/>
      <c r="CY162" s="907"/>
      <c r="CZ162" s="907"/>
      <c r="DA162" s="907"/>
      <c r="DB162" s="907"/>
      <c r="DC162" s="907"/>
      <c r="DD162" s="907"/>
      <c r="DE162" s="907"/>
      <c r="DF162" s="907"/>
      <c r="DG162" s="907"/>
      <c r="DH162" s="907"/>
      <c r="DI162" s="907"/>
      <c r="DJ162" s="907"/>
      <c r="DK162" s="907"/>
      <c r="DL162" s="907"/>
      <c r="DM162" s="907"/>
      <c r="DN162" s="907"/>
      <c r="DO162" s="907"/>
      <c r="DP162" s="907"/>
      <c r="DQ162" s="907"/>
      <c r="DR162" s="907"/>
      <c r="DS162" s="907"/>
      <c r="DT162" s="907"/>
      <c r="DU162" s="907"/>
      <c r="DV162" s="907"/>
      <c r="DW162" s="907"/>
      <c r="DX162" s="907"/>
      <c r="DY162" s="907"/>
      <c r="DZ162" s="907"/>
      <c r="EA162" s="907"/>
      <c r="EB162" s="907"/>
      <c r="EC162" s="907"/>
      <c r="ED162" s="907"/>
      <c r="EE162" s="907"/>
      <c r="EF162" s="907"/>
      <c r="EG162" s="907"/>
      <c r="EH162" s="907"/>
      <c r="EI162" s="907"/>
      <c r="EJ162" s="907"/>
      <c r="EK162" s="907"/>
      <c r="EL162" s="907"/>
      <c r="EM162" s="907"/>
      <c r="EN162" s="907"/>
      <c r="EO162" s="907"/>
      <c r="EP162" s="907"/>
      <c r="EQ162" s="907"/>
      <c r="ER162" s="907"/>
      <c r="ES162" s="907"/>
      <c r="ET162" s="907"/>
      <c r="EU162" s="907"/>
      <c r="EV162" s="907"/>
      <c r="EW162" s="907"/>
      <c r="EX162" s="907"/>
      <c r="EY162" s="907"/>
      <c r="EZ162" s="907"/>
      <c r="FA162" s="907"/>
      <c r="FB162" s="907"/>
      <c r="FC162" s="907"/>
      <c r="FD162" s="907"/>
      <c r="FE162" s="907"/>
      <c r="FF162" s="907"/>
      <c r="FG162" s="907"/>
      <c r="FH162" s="907"/>
      <c r="FI162" s="907"/>
      <c r="FJ162" s="907"/>
      <c r="FK162" s="907"/>
      <c r="FL162" s="907"/>
      <c r="FM162" s="907"/>
      <c r="FN162" s="907"/>
      <c r="FO162" s="907"/>
      <c r="FP162" s="907"/>
      <c r="FQ162" s="907"/>
      <c r="FR162" s="907"/>
      <c r="FS162" s="907"/>
      <c r="FT162" s="907"/>
      <c r="FU162" s="907"/>
      <c r="FV162" s="907"/>
      <c r="FW162" s="907"/>
      <c r="FX162" s="907"/>
      <c r="FY162" s="907"/>
      <c r="FZ162" s="907"/>
      <c r="GA162" s="907"/>
      <c r="GB162" s="907"/>
      <c r="GC162" s="907"/>
      <c r="GD162" s="907"/>
      <c r="GE162" s="907"/>
      <c r="GF162" s="907"/>
      <c r="GG162" s="907"/>
      <c r="GH162" s="907"/>
      <c r="GI162" s="907"/>
      <c r="GJ162" s="907"/>
      <c r="GK162" s="907"/>
      <c r="GL162" s="907"/>
      <c r="GM162" s="907"/>
      <c r="GN162" s="907"/>
      <c r="GO162" s="907"/>
      <c r="GP162" s="907"/>
      <c r="GQ162" s="907"/>
      <c r="GR162" s="907"/>
      <c r="GS162" s="907"/>
      <c r="GT162" s="907"/>
      <c r="GU162" s="907"/>
      <c r="GV162" s="907"/>
      <c r="GW162" s="907"/>
      <c r="GX162" s="907"/>
      <c r="GY162" s="907"/>
      <c r="GZ162" s="907"/>
      <c r="HA162" s="907"/>
      <c r="HB162" s="907"/>
      <c r="HC162" s="907"/>
      <c r="HD162" s="907"/>
      <c r="HE162" s="907"/>
      <c r="HF162" s="907"/>
      <c r="HG162" s="907"/>
      <c r="HH162" s="907"/>
      <c r="HI162" s="907"/>
      <c r="HJ162" s="907"/>
      <c r="HK162" s="907"/>
      <c r="HL162" s="907"/>
      <c r="HM162" s="907"/>
      <c r="HN162" s="907"/>
      <c r="HO162" s="907"/>
      <c r="HP162" s="907"/>
      <c r="HQ162" s="907"/>
      <c r="HR162" s="907"/>
      <c r="HS162" s="907"/>
      <c r="HT162" s="907"/>
      <c r="HU162" s="907"/>
      <c r="HV162" s="907"/>
      <c r="HW162" s="907"/>
      <c r="HX162" s="907"/>
      <c r="HY162" s="907"/>
      <c r="HZ162" s="907"/>
      <c r="IA162" s="907"/>
      <c r="IB162" s="907"/>
      <c r="IC162" s="907"/>
      <c r="ID162" s="907"/>
      <c r="IE162" s="907"/>
      <c r="IF162" s="907"/>
      <c r="IG162" s="907"/>
      <c r="IH162" s="907"/>
      <c r="II162" s="907"/>
      <c r="IJ162" s="907"/>
      <c r="IK162" s="907"/>
      <c r="IL162" s="907"/>
      <c r="IM162" s="907"/>
      <c r="IN162" s="907"/>
      <c r="IO162" s="907"/>
      <c r="IP162" s="907"/>
    </row>
    <row r="163" spans="1:250" ht="12">
      <c r="A163" s="941"/>
      <c r="B163" s="941"/>
      <c r="Y163" s="907"/>
      <c r="Z163" s="907"/>
      <c r="AA163" s="907"/>
      <c r="AB163" s="907"/>
      <c r="AC163" s="907"/>
      <c r="AD163" s="907"/>
      <c r="AE163" s="907"/>
      <c r="AF163" s="907"/>
      <c r="AG163" s="907"/>
      <c r="AH163" s="907"/>
      <c r="AI163" s="907"/>
      <c r="AJ163" s="907"/>
      <c r="AK163" s="907"/>
      <c r="AL163" s="907"/>
      <c r="AM163" s="907"/>
      <c r="AN163" s="907"/>
      <c r="AO163" s="907"/>
      <c r="AP163" s="907"/>
      <c r="AQ163" s="907"/>
      <c r="AR163" s="907"/>
      <c r="AS163" s="907"/>
      <c r="AT163" s="907"/>
      <c r="AU163" s="907"/>
      <c r="AV163" s="907"/>
      <c r="AW163" s="907"/>
      <c r="AX163" s="907"/>
      <c r="AY163" s="907"/>
      <c r="AZ163" s="907"/>
      <c r="BA163" s="907"/>
      <c r="BB163" s="907"/>
      <c r="BC163" s="907"/>
      <c r="BD163" s="907"/>
      <c r="BE163" s="907"/>
      <c r="BF163" s="907"/>
      <c r="BG163" s="907"/>
      <c r="BH163" s="907"/>
      <c r="BI163" s="907"/>
      <c r="BJ163" s="907"/>
      <c r="BK163" s="907"/>
      <c r="BL163" s="907"/>
      <c r="BM163" s="907"/>
      <c r="BN163" s="907"/>
      <c r="BO163" s="907"/>
      <c r="BP163" s="907"/>
      <c r="BQ163" s="907"/>
      <c r="BR163" s="907"/>
      <c r="BS163" s="907"/>
      <c r="BT163" s="907"/>
      <c r="BU163" s="907"/>
      <c r="BV163" s="907"/>
      <c r="BW163" s="907"/>
      <c r="BX163" s="907"/>
      <c r="BY163" s="907"/>
      <c r="BZ163" s="907"/>
      <c r="CA163" s="907"/>
      <c r="CB163" s="907"/>
      <c r="CC163" s="907"/>
      <c r="CD163" s="907"/>
      <c r="CE163" s="907"/>
      <c r="CF163" s="907"/>
      <c r="CG163" s="907"/>
      <c r="CH163" s="907"/>
      <c r="CI163" s="907"/>
      <c r="CJ163" s="907"/>
      <c r="CK163" s="907"/>
      <c r="CL163" s="907"/>
      <c r="CM163" s="907"/>
      <c r="CN163" s="907"/>
      <c r="CO163" s="907"/>
      <c r="CP163" s="907"/>
      <c r="CQ163" s="907"/>
      <c r="CR163" s="907"/>
      <c r="CS163" s="907"/>
      <c r="CT163" s="907"/>
      <c r="CU163" s="907"/>
      <c r="CV163" s="907"/>
      <c r="CW163" s="907"/>
      <c r="CX163" s="907"/>
      <c r="CY163" s="907"/>
      <c r="CZ163" s="907"/>
      <c r="DA163" s="907"/>
      <c r="DB163" s="907"/>
      <c r="DC163" s="907"/>
      <c r="DD163" s="907"/>
      <c r="DE163" s="907"/>
      <c r="DF163" s="907"/>
      <c r="DG163" s="907"/>
      <c r="DH163" s="907"/>
      <c r="DI163" s="907"/>
      <c r="DJ163" s="907"/>
      <c r="DK163" s="907"/>
      <c r="DL163" s="907"/>
      <c r="DM163" s="907"/>
      <c r="DN163" s="907"/>
      <c r="DO163" s="907"/>
      <c r="DP163" s="907"/>
      <c r="DQ163" s="907"/>
      <c r="DR163" s="907"/>
      <c r="DS163" s="907"/>
      <c r="DT163" s="907"/>
      <c r="DU163" s="907"/>
      <c r="DV163" s="907"/>
      <c r="DW163" s="907"/>
      <c r="DX163" s="907"/>
      <c r="DY163" s="907"/>
      <c r="DZ163" s="907"/>
      <c r="EA163" s="907"/>
      <c r="EB163" s="907"/>
      <c r="EC163" s="907"/>
      <c r="ED163" s="907"/>
      <c r="EE163" s="907"/>
      <c r="EF163" s="907"/>
      <c r="EG163" s="907"/>
      <c r="EH163" s="907"/>
      <c r="EI163" s="907"/>
      <c r="EJ163" s="907"/>
      <c r="EK163" s="907"/>
      <c r="EL163" s="907"/>
      <c r="EM163" s="907"/>
      <c r="EN163" s="907"/>
      <c r="EO163" s="907"/>
      <c r="EP163" s="907"/>
      <c r="EQ163" s="907"/>
      <c r="ER163" s="907"/>
      <c r="ES163" s="907"/>
      <c r="ET163" s="907"/>
      <c r="EU163" s="907"/>
      <c r="EV163" s="907"/>
      <c r="EW163" s="907"/>
      <c r="EX163" s="907"/>
      <c r="EY163" s="907"/>
      <c r="EZ163" s="907"/>
      <c r="FA163" s="907"/>
      <c r="FB163" s="907"/>
      <c r="FC163" s="907"/>
      <c r="FD163" s="907"/>
      <c r="FE163" s="907"/>
      <c r="FF163" s="907"/>
      <c r="FG163" s="907"/>
      <c r="FH163" s="907"/>
      <c r="FI163" s="907"/>
      <c r="FJ163" s="907"/>
      <c r="FK163" s="907"/>
      <c r="FL163" s="907"/>
      <c r="FM163" s="907"/>
      <c r="FN163" s="907"/>
      <c r="FO163" s="907"/>
      <c r="FP163" s="907"/>
      <c r="FQ163" s="907"/>
      <c r="FR163" s="907"/>
      <c r="FS163" s="907"/>
      <c r="FT163" s="907"/>
      <c r="FU163" s="907"/>
      <c r="FV163" s="907"/>
      <c r="FW163" s="907"/>
      <c r="FX163" s="907"/>
      <c r="FY163" s="907"/>
      <c r="FZ163" s="907"/>
      <c r="GA163" s="907"/>
      <c r="GB163" s="907"/>
      <c r="GC163" s="907"/>
      <c r="GD163" s="907"/>
      <c r="GE163" s="907"/>
      <c r="GF163" s="907"/>
      <c r="GG163" s="907"/>
      <c r="GH163" s="907"/>
      <c r="GI163" s="907"/>
      <c r="GJ163" s="907"/>
      <c r="GK163" s="907"/>
      <c r="GL163" s="907"/>
      <c r="GM163" s="907"/>
      <c r="GN163" s="907"/>
      <c r="GO163" s="907"/>
      <c r="GP163" s="907"/>
      <c r="GQ163" s="907"/>
      <c r="GR163" s="907"/>
      <c r="GS163" s="907"/>
      <c r="GT163" s="907"/>
      <c r="GU163" s="907"/>
      <c r="GV163" s="907"/>
      <c r="GW163" s="907"/>
      <c r="GX163" s="907"/>
      <c r="GY163" s="907"/>
      <c r="GZ163" s="907"/>
      <c r="HA163" s="907"/>
      <c r="HB163" s="907"/>
      <c r="HC163" s="907"/>
      <c r="HD163" s="907"/>
      <c r="HE163" s="907"/>
      <c r="HF163" s="907"/>
      <c r="HG163" s="907"/>
      <c r="HH163" s="907"/>
      <c r="HI163" s="907"/>
      <c r="HJ163" s="907"/>
      <c r="HK163" s="907"/>
      <c r="HL163" s="907"/>
      <c r="HM163" s="907"/>
      <c r="HN163" s="907"/>
      <c r="HO163" s="907"/>
      <c r="HP163" s="907"/>
      <c r="HQ163" s="907"/>
      <c r="HR163" s="907"/>
      <c r="HS163" s="907"/>
      <c r="HT163" s="907"/>
      <c r="HU163" s="907"/>
      <c r="HV163" s="907"/>
      <c r="HW163" s="907"/>
      <c r="HX163" s="907"/>
      <c r="HY163" s="907"/>
      <c r="HZ163" s="907"/>
      <c r="IA163" s="907"/>
      <c r="IB163" s="907"/>
      <c r="IC163" s="907"/>
      <c r="ID163" s="907"/>
      <c r="IE163" s="907"/>
      <c r="IF163" s="907"/>
      <c r="IG163" s="907"/>
      <c r="IH163" s="907"/>
      <c r="II163" s="907"/>
      <c r="IJ163" s="907"/>
      <c r="IK163" s="907"/>
      <c r="IL163" s="907"/>
      <c r="IM163" s="907"/>
      <c r="IN163" s="907"/>
      <c r="IO163" s="907"/>
      <c r="IP163" s="907"/>
    </row>
    <row r="164" spans="1:250" ht="12">
      <c r="A164" s="941"/>
      <c r="B164" s="941"/>
      <c r="Y164" s="907"/>
      <c r="Z164" s="907"/>
      <c r="AA164" s="907"/>
      <c r="AB164" s="907"/>
      <c r="AC164" s="907"/>
      <c r="AD164" s="907"/>
      <c r="AE164" s="907"/>
      <c r="AF164" s="907"/>
      <c r="AG164" s="907"/>
      <c r="AH164" s="907"/>
      <c r="AI164" s="907"/>
      <c r="AJ164" s="907"/>
      <c r="AK164" s="907"/>
      <c r="AL164" s="907"/>
      <c r="AM164" s="907"/>
      <c r="AN164" s="907"/>
      <c r="AO164" s="907"/>
      <c r="AP164" s="907"/>
      <c r="AQ164" s="907"/>
      <c r="AR164" s="907"/>
      <c r="AS164" s="907"/>
      <c r="AT164" s="907"/>
      <c r="AU164" s="907"/>
      <c r="AV164" s="907"/>
      <c r="AW164" s="907"/>
      <c r="AX164" s="907"/>
      <c r="AY164" s="907"/>
      <c r="AZ164" s="907"/>
      <c r="BA164" s="907"/>
      <c r="BB164" s="907"/>
      <c r="BC164" s="907"/>
      <c r="BD164" s="907"/>
      <c r="BE164" s="907"/>
      <c r="BF164" s="907"/>
      <c r="BG164" s="907"/>
      <c r="BH164" s="907"/>
      <c r="BI164" s="907"/>
      <c r="BJ164" s="907"/>
      <c r="BK164" s="907"/>
      <c r="BL164" s="907"/>
      <c r="BM164" s="907"/>
      <c r="BN164" s="907"/>
      <c r="BO164" s="907"/>
      <c r="BP164" s="907"/>
      <c r="BQ164" s="907"/>
      <c r="BR164" s="907"/>
      <c r="BS164" s="907"/>
      <c r="BT164" s="907"/>
      <c r="BU164" s="907"/>
      <c r="BV164" s="907"/>
      <c r="BW164" s="907"/>
      <c r="BX164" s="907"/>
      <c r="BY164" s="907"/>
      <c r="BZ164" s="907"/>
      <c r="CA164" s="907"/>
      <c r="CB164" s="907"/>
      <c r="CC164" s="907"/>
      <c r="CD164" s="907"/>
      <c r="CE164" s="907"/>
      <c r="CF164" s="907"/>
      <c r="CG164" s="907"/>
      <c r="CH164" s="907"/>
      <c r="CI164" s="907"/>
      <c r="CJ164" s="907"/>
      <c r="CK164" s="907"/>
      <c r="CL164" s="907"/>
      <c r="CM164" s="907"/>
      <c r="CN164" s="907"/>
      <c r="CO164" s="907"/>
      <c r="CP164" s="907"/>
      <c r="CQ164" s="907"/>
      <c r="CR164" s="907"/>
      <c r="CS164" s="907"/>
      <c r="CT164" s="907"/>
      <c r="CU164" s="907"/>
      <c r="CV164" s="907"/>
      <c r="CW164" s="907"/>
      <c r="CX164" s="907"/>
      <c r="CY164" s="907"/>
      <c r="CZ164" s="907"/>
      <c r="DA164" s="907"/>
      <c r="DB164" s="907"/>
      <c r="DC164" s="907"/>
      <c r="DD164" s="907"/>
      <c r="DE164" s="907"/>
      <c r="DF164" s="907"/>
      <c r="DG164" s="907"/>
      <c r="DH164" s="907"/>
      <c r="DI164" s="907"/>
      <c r="DJ164" s="907"/>
      <c r="DK164" s="907"/>
      <c r="DL164" s="907"/>
      <c r="DM164" s="907"/>
      <c r="DN164" s="907"/>
      <c r="DO164" s="907"/>
      <c r="DP164" s="907"/>
      <c r="DQ164" s="907"/>
      <c r="DR164" s="907"/>
      <c r="DS164" s="907"/>
      <c r="DT164" s="907"/>
      <c r="DU164" s="907"/>
      <c r="DV164" s="907"/>
      <c r="DW164" s="907"/>
      <c r="DX164" s="907"/>
      <c r="DY164" s="907"/>
      <c r="DZ164" s="907"/>
      <c r="EA164" s="907"/>
      <c r="EB164" s="907"/>
      <c r="EC164" s="907"/>
      <c r="ED164" s="907"/>
      <c r="EE164" s="907"/>
      <c r="EF164" s="907"/>
      <c r="EG164" s="907"/>
      <c r="EH164" s="907"/>
      <c r="EI164" s="907"/>
      <c r="EJ164" s="907"/>
      <c r="EK164" s="907"/>
      <c r="EL164" s="907"/>
      <c r="EM164" s="907"/>
      <c r="EN164" s="907"/>
      <c r="EO164" s="907"/>
      <c r="EP164" s="907"/>
      <c r="EQ164" s="907"/>
      <c r="ER164" s="907"/>
      <c r="ES164" s="907"/>
      <c r="ET164" s="907"/>
      <c r="EU164" s="907"/>
      <c r="EV164" s="907"/>
      <c r="EW164" s="907"/>
      <c r="EX164" s="907"/>
      <c r="EY164" s="907"/>
      <c r="EZ164" s="907"/>
      <c r="FA164" s="907"/>
      <c r="FB164" s="907"/>
      <c r="FC164" s="907"/>
      <c r="FD164" s="907"/>
      <c r="FE164" s="907"/>
      <c r="FF164" s="907"/>
      <c r="FG164" s="907"/>
      <c r="FH164" s="907"/>
      <c r="FI164" s="907"/>
      <c r="FJ164" s="907"/>
      <c r="FK164" s="907"/>
      <c r="FL164" s="907"/>
      <c r="FM164" s="907"/>
      <c r="FN164" s="907"/>
      <c r="FO164" s="907"/>
      <c r="FP164" s="907"/>
      <c r="FQ164" s="907"/>
      <c r="FR164" s="907"/>
      <c r="FS164" s="907"/>
      <c r="FT164" s="907"/>
      <c r="FU164" s="907"/>
      <c r="FV164" s="907"/>
      <c r="FW164" s="907"/>
      <c r="FX164" s="907"/>
      <c r="FY164" s="907"/>
      <c r="FZ164" s="907"/>
      <c r="GA164" s="907"/>
      <c r="GB164" s="907"/>
      <c r="GC164" s="907"/>
      <c r="GD164" s="907"/>
      <c r="GE164" s="907"/>
      <c r="GF164" s="907"/>
      <c r="GG164" s="907"/>
      <c r="GH164" s="907"/>
      <c r="GI164" s="907"/>
      <c r="GJ164" s="907"/>
      <c r="GK164" s="907"/>
      <c r="GL164" s="907"/>
      <c r="GM164" s="907"/>
      <c r="GN164" s="907"/>
      <c r="GO164" s="907"/>
      <c r="GP164" s="907"/>
      <c r="GQ164" s="907"/>
      <c r="GR164" s="907"/>
      <c r="GS164" s="907"/>
      <c r="GT164" s="907"/>
      <c r="GU164" s="907"/>
      <c r="GV164" s="907"/>
      <c r="GW164" s="907"/>
      <c r="GX164" s="907"/>
      <c r="GY164" s="907"/>
      <c r="GZ164" s="907"/>
      <c r="HA164" s="907"/>
      <c r="HB164" s="907"/>
      <c r="HC164" s="907"/>
      <c r="HD164" s="907"/>
      <c r="HE164" s="907"/>
      <c r="HF164" s="907"/>
      <c r="HG164" s="907"/>
      <c r="HH164" s="907"/>
      <c r="HI164" s="907"/>
      <c r="HJ164" s="907"/>
      <c r="HK164" s="907"/>
      <c r="HL164" s="907"/>
      <c r="HM164" s="907"/>
      <c r="HN164" s="907"/>
      <c r="HO164" s="907"/>
      <c r="HP164" s="907"/>
      <c r="HQ164" s="907"/>
      <c r="HR164" s="907"/>
      <c r="HS164" s="907"/>
      <c r="HT164" s="907"/>
      <c r="HU164" s="907"/>
      <c r="HV164" s="907"/>
      <c r="HW164" s="907"/>
      <c r="HX164" s="907"/>
      <c r="HY164" s="907"/>
      <c r="HZ164" s="907"/>
      <c r="IA164" s="907"/>
      <c r="IB164" s="907"/>
      <c r="IC164" s="907"/>
      <c r="ID164" s="907"/>
      <c r="IE164" s="907"/>
      <c r="IF164" s="907"/>
      <c r="IG164" s="907"/>
      <c r="IH164" s="907"/>
      <c r="II164" s="907"/>
      <c r="IJ164" s="907"/>
      <c r="IK164" s="907"/>
      <c r="IL164" s="907"/>
      <c r="IM164" s="907"/>
      <c r="IN164" s="907"/>
      <c r="IO164" s="907"/>
      <c r="IP164" s="907"/>
    </row>
    <row r="165" spans="1:250" ht="12">
      <c r="A165" s="941"/>
      <c r="B165" s="941"/>
      <c r="Y165" s="907"/>
      <c r="Z165" s="907"/>
      <c r="AA165" s="907"/>
      <c r="AB165" s="907"/>
      <c r="AC165" s="907"/>
      <c r="AD165" s="907"/>
      <c r="AE165" s="907"/>
      <c r="AF165" s="907"/>
      <c r="AG165" s="907"/>
      <c r="AH165" s="907"/>
      <c r="AI165" s="907"/>
      <c r="AJ165" s="907"/>
      <c r="AK165" s="907"/>
      <c r="AL165" s="907"/>
      <c r="AM165" s="907"/>
      <c r="AN165" s="907"/>
      <c r="AO165" s="907"/>
      <c r="AP165" s="907"/>
      <c r="AQ165" s="907"/>
      <c r="AR165" s="907"/>
      <c r="AS165" s="907"/>
      <c r="AT165" s="907"/>
      <c r="AU165" s="907"/>
      <c r="AV165" s="907"/>
      <c r="AW165" s="907"/>
      <c r="AX165" s="907"/>
      <c r="AY165" s="907"/>
      <c r="AZ165" s="907"/>
      <c r="BA165" s="907"/>
      <c r="BB165" s="907"/>
      <c r="BC165" s="907"/>
      <c r="BD165" s="907"/>
      <c r="BE165" s="907"/>
      <c r="BF165" s="907"/>
      <c r="BG165" s="907"/>
      <c r="BH165" s="907"/>
      <c r="BI165" s="907"/>
      <c r="BJ165" s="907"/>
      <c r="BK165" s="907"/>
      <c r="BL165" s="907"/>
      <c r="BM165" s="907"/>
      <c r="BN165" s="907"/>
      <c r="BO165" s="907"/>
      <c r="BP165" s="907"/>
      <c r="BQ165" s="907"/>
      <c r="BR165" s="907"/>
      <c r="BS165" s="907"/>
      <c r="BT165" s="907"/>
      <c r="BU165" s="907"/>
      <c r="BV165" s="907"/>
      <c r="BW165" s="907"/>
      <c r="BX165" s="907"/>
      <c r="BY165" s="907"/>
      <c r="BZ165" s="907"/>
      <c r="CA165" s="907"/>
      <c r="CB165" s="907"/>
      <c r="CC165" s="907"/>
      <c r="CD165" s="907"/>
      <c r="CE165" s="907"/>
      <c r="CF165" s="907"/>
      <c r="CG165" s="907"/>
      <c r="CH165" s="907"/>
      <c r="CI165" s="907"/>
      <c r="CJ165" s="907"/>
      <c r="CK165" s="907"/>
      <c r="CL165" s="907"/>
      <c r="CM165" s="907"/>
      <c r="CN165" s="907"/>
      <c r="CO165" s="907"/>
      <c r="CP165" s="907"/>
      <c r="CQ165" s="907"/>
      <c r="CR165" s="907"/>
      <c r="CS165" s="907"/>
      <c r="CT165" s="907"/>
      <c r="CU165" s="907"/>
      <c r="CV165" s="907"/>
      <c r="CW165" s="907"/>
      <c r="CX165" s="907"/>
      <c r="CY165" s="907"/>
      <c r="CZ165" s="907"/>
      <c r="DA165" s="907"/>
      <c r="DB165" s="907"/>
      <c r="DC165" s="907"/>
      <c r="DD165" s="907"/>
      <c r="DE165" s="907"/>
      <c r="DF165" s="907"/>
      <c r="DG165" s="907"/>
      <c r="DH165" s="907"/>
      <c r="DI165" s="907"/>
      <c r="DJ165" s="907"/>
      <c r="DK165" s="907"/>
      <c r="DL165" s="907"/>
      <c r="DM165" s="907"/>
      <c r="DN165" s="907"/>
      <c r="DO165" s="907"/>
      <c r="DP165" s="907"/>
      <c r="DQ165" s="907"/>
      <c r="DR165" s="907"/>
      <c r="DS165" s="907"/>
      <c r="DT165" s="907"/>
      <c r="DU165" s="907"/>
      <c r="DV165" s="907"/>
      <c r="DW165" s="907"/>
      <c r="DX165" s="907"/>
      <c r="DY165" s="907"/>
      <c r="DZ165" s="907"/>
      <c r="EA165" s="907"/>
      <c r="EB165" s="907"/>
      <c r="EC165" s="907"/>
      <c r="ED165" s="907"/>
      <c r="EE165" s="907"/>
      <c r="EF165" s="907"/>
      <c r="EG165" s="907"/>
      <c r="EH165" s="907"/>
      <c r="EI165" s="907"/>
      <c r="EJ165" s="907"/>
      <c r="EK165" s="907"/>
      <c r="EL165" s="907"/>
      <c r="EM165" s="907"/>
      <c r="EN165" s="907"/>
      <c r="EO165" s="907"/>
      <c r="EP165" s="907"/>
      <c r="EQ165" s="907"/>
      <c r="ER165" s="907"/>
      <c r="ES165" s="907"/>
      <c r="ET165" s="907"/>
      <c r="EU165" s="907"/>
      <c r="EV165" s="907"/>
      <c r="EW165" s="907"/>
      <c r="EX165" s="907"/>
      <c r="EY165" s="907"/>
      <c r="EZ165" s="907"/>
      <c r="FA165" s="907"/>
      <c r="FB165" s="907"/>
      <c r="FC165" s="907"/>
      <c r="FD165" s="907"/>
      <c r="FE165" s="907"/>
      <c r="FF165" s="907"/>
      <c r="FG165" s="907"/>
      <c r="FH165" s="907"/>
      <c r="FI165" s="907"/>
      <c r="FJ165" s="907"/>
      <c r="FK165" s="907"/>
      <c r="FL165" s="907"/>
      <c r="FM165" s="907"/>
      <c r="FN165" s="907"/>
      <c r="FO165" s="907"/>
      <c r="FP165" s="907"/>
      <c r="FQ165" s="907"/>
      <c r="FR165" s="907"/>
      <c r="FS165" s="907"/>
      <c r="FT165" s="907"/>
      <c r="FU165" s="907"/>
      <c r="FV165" s="907"/>
      <c r="FW165" s="907"/>
      <c r="FX165" s="907"/>
      <c r="FY165" s="907"/>
      <c r="FZ165" s="907"/>
      <c r="GA165" s="907"/>
      <c r="GB165" s="907"/>
      <c r="GC165" s="907"/>
      <c r="GD165" s="907"/>
      <c r="GE165" s="907"/>
      <c r="GF165" s="907"/>
      <c r="GG165" s="907"/>
      <c r="GH165" s="907"/>
      <c r="GI165" s="907"/>
      <c r="GJ165" s="907"/>
      <c r="GK165" s="907"/>
      <c r="GL165" s="907"/>
      <c r="GM165" s="907"/>
      <c r="GN165" s="907"/>
      <c r="GO165" s="907"/>
      <c r="GP165" s="907"/>
      <c r="GQ165" s="907"/>
      <c r="GR165" s="907"/>
      <c r="GS165" s="907"/>
      <c r="GT165" s="907"/>
      <c r="GU165" s="907"/>
      <c r="GV165" s="907"/>
      <c r="GW165" s="907"/>
      <c r="GX165" s="907"/>
      <c r="GY165" s="907"/>
      <c r="GZ165" s="907"/>
      <c r="HA165" s="907"/>
      <c r="HB165" s="907"/>
      <c r="HC165" s="907"/>
      <c r="HD165" s="907"/>
      <c r="HE165" s="907"/>
      <c r="HF165" s="907"/>
      <c r="HG165" s="907"/>
      <c r="HH165" s="907"/>
      <c r="HI165" s="907"/>
      <c r="HJ165" s="907"/>
      <c r="HK165" s="907"/>
      <c r="HL165" s="907"/>
      <c r="HM165" s="907"/>
      <c r="HN165" s="907"/>
      <c r="HO165" s="907"/>
      <c r="HP165" s="907"/>
      <c r="HQ165" s="907"/>
      <c r="HR165" s="907"/>
      <c r="HS165" s="907"/>
      <c r="HT165" s="907"/>
      <c r="HU165" s="907"/>
      <c r="HV165" s="907"/>
      <c r="HW165" s="907"/>
      <c r="HX165" s="907"/>
      <c r="HY165" s="907"/>
      <c r="HZ165" s="907"/>
      <c r="IA165" s="907"/>
      <c r="IB165" s="907"/>
      <c r="IC165" s="907"/>
      <c r="ID165" s="907"/>
      <c r="IE165" s="907"/>
      <c r="IF165" s="907"/>
      <c r="IG165" s="907"/>
      <c r="IH165" s="907"/>
      <c r="II165" s="907"/>
      <c r="IJ165" s="907"/>
      <c r="IK165" s="907"/>
      <c r="IL165" s="907"/>
      <c r="IM165" s="907"/>
      <c r="IN165" s="907"/>
      <c r="IO165" s="907"/>
      <c r="IP165" s="907"/>
    </row>
    <row r="166" spans="1:250" ht="12">
      <c r="A166" s="941"/>
      <c r="B166" s="941"/>
      <c r="Y166" s="907"/>
      <c r="Z166" s="907"/>
      <c r="AA166" s="907"/>
      <c r="AB166" s="907"/>
      <c r="AC166" s="907"/>
      <c r="AD166" s="907"/>
      <c r="AE166" s="907"/>
      <c r="AF166" s="907"/>
      <c r="AG166" s="907"/>
      <c r="AH166" s="907"/>
      <c r="AI166" s="907"/>
      <c r="AJ166" s="907"/>
      <c r="AK166" s="907"/>
      <c r="AL166" s="907"/>
      <c r="AM166" s="907"/>
      <c r="AN166" s="907"/>
      <c r="AO166" s="907"/>
      <c r="AP166" s="907"/>
      <c r="AQ166" s="907"/>
      <c r="AR166" s="907"/>
      <c r="AS166" s="907"/>
      <c r="AT166" s="907"/>
      <c r="AU166" s="907"/>
      <c r="AV166" s="907"/>
      <c r="AW166" s="907"/>
      <c r="AX166" s="907"/>
      <c r="AY166" s="907"/>
      <c r="AZ166" s="907"/>
      <c r="BA166" s="907"/>
      <c r="BB166" s="907"/>
      <c r="BC166" s="907"/>
      <c r="BD166" s="907"/>
      <c r="BE166" s="907"/>
      <c r="BF166" s="907"/>
      <c r="BG166" s="907"/>
      <c r="BH166" s="907"/>
      <c r="BI166" s="907"/>
      <c r="BJ166" s="907"/>
      <c r="BK166" s="907"/>
      <c r="BL166" s="907"/>
      <c r="BM166" s="907"/>
      <c r="BN166" s="907"/>
      <c r="BO166" s="907"/>
      <c r="BP166" s="907"/>
      <c r="BQ166" s="907"/>
      <c r="BR166" s="907"/>
      <c r="BS166" s="907"/>
      <c r="BT166" s="907"/>
      <c r="BU166" s="907"/>
      <c r="BV166" s="907"/>
      <c r="BW166" s="907"/>
      <c r="BX166" s="907"/>
      <c r="BY166" s="907"/>
      <c r="BZ166" s="907"/>
      <c r="CA166" s="907"/>
      <c r="CB166" s="907"/>
      <c r="CC166" s="907"/>
      <c r="CD166" s="907"/>
      <c r="CE166" s="907"/>
      <c r="CF166" s="907"/>
      <c r="CG166" s="907"/>
      <c r="CH166" s="907"/>
      <c r="CI166" s="907"/>
      <c r="CJ166" s="907"/>
      <c r="CK166" s="907"/>
      <c r="CL166" s="907"/>
      <c r="CM166" s="907"/>
      <c r="CN166" s="907"/>
      <c r="CO166" s="907"/>
      <c r="CP166" s="907"/>
      <c r="CQ166" s="907"/>
      <c r="CR166" s="907"/>
      <c r="CS166" s="907"/>
      <c r="CT166" s="907"/>
      <c r="CU166" s="907"/>
      <c r="CV166" s="907"/>
      <c r="CW166" s="907"/>
      <c r="CX166" s="907"/>
      <c r="CY166" s="907"/>
      <c r="CZ166" s="907"/>
      <c r="DA166" s="907"/>
      <c r="DB166" s="907"/>
      <c r="DC166" s="907"/>
      <c r="DD166" s="907"/>
      <c r="DE166" s="907"/>
      <c r="DF166" s="907"/>
      <c r="DG166" s="907"/>
      <c r="DH166" s="907"/>
      <c r="DI166" s="907"/>
      <c r="DJ166" s="907"/>
      <c r="DK166" s="907"/>
      <c r="DL166" s="907"/>
      <c r="DM166" s="907"/>
      <c r="DN166" s="907"/>
      <c r="DO166" s="907"/>
      <c r="DP166" s="907"/>
      <c r="DQ166" s="907"/>
      <c r="DR166" s="907"/>
      <c r="DS166" s="907"/>
      <c r="DT166" s="907"/>
      <c r="DU166" s="907"/>
      <c r="DV166" s="907"/>
      <c r="DW166" s="907"/>
      <c r="DX166" s="907"/>
      <c r="DY166" s="907"/>
      <c r="DZ166" s="907"/>
      <c r="EA166" s="907"/>
      <c r="EB166" s="907"/>
      <c r="EC166" s="907"/>
      <c r="ED166" s="907"/>
      <c r="EE166" s="907"/>
      <c r="EF166" s="907"/>
      <c r="EG166" s="907"/>
      <c r="EH166" s="907"/>
      <c r="EI166" s="907"/>
      <c r="EJ166" s="907"/>
      <c r="EK166" s="907"/>
      <c r="EL166" s="907"/>
      <c r="EM166" s="907"/>
      <c r="EN166" s="907"/>
      <c r="EO166" s="907"/>
      <c r="EP166" s="907"/>
      <c r="EQ166" s="907"/>
      <c r="ER166" s="907"/>
      <c r="ES166" s="907"/>
      <c r="ET166" s="907"/>
      <c r="EU166" s="907"/>
      <c r="EV166" s="907"/>
      <c r="EW166" s="907"/>
      <c r="EX166" s="907"/>
      <c r="EY166" s="907"/>
      <c r="EZ166" s="907"/>
      <c r="FA166" s="907"/>
      <c r="FB166" s="907"/>
      <c r="FC166" s="907"/>
      <c r="FD166" s="907"/>
      <c r="FE166" s="907"/>
      <c r="FF166" s="907"/>
      <c r="FG166" s="907"/>
      <c r="FH166" s="907"/>
      <c r="FI166" s="907"/>
      <c r="FJ166" s="907"/>
      <c r="FK166" s="907"/>
      <c r="FL166" s="907"/>
      <c r="FM166" s="907"/>
      <c r="FN166" s="907"/>
      <c r="FO166" s="907"/>
      <c r="FP166" s="907"/>
      <c r="FQ166" s="907"/>
      <c r="FR166" s="907"/>
      <c r="FS166" s="907"/>
      <c r="FT166" s="907"/>
      <c r="FU166" s="907"/>
      <c r="FV166" s="907"/>
      <c r="FW166" s="907"/>
      <c r="FX166" s="907"/>
      <c r="FY166" s="907"/>
      <c r="FZ166" s="907"/>
      <c r="GA166" s="907"/>
      <c r="GB166" s="907"/>
      <c r="GC166" s="907"/>
      <c r="GD166" s="907"/>
      <c r="GE166" s="907"/>
      <c r="GF166" s="907"/>
      <c r="GG166" s="907"/>
      <c r="GH166" s="907"/>
      <c r="GI166" s="907"/>
      <c r="GJ166" s="907"/>
      <c r="GK166" s="907"/>
      <c r="GL166" s="907"/>
      <c r="GM166" s="907"/>
      <c r="GN166" s="907"/>
      <c r="GO166" s="907"/>
      <c r="GP166" s="907"/>
      <c r="GQ166" s="907"/>
      <c r="GR166" s="907"/>
      <c r="GS166" s="907"/>
      <c r="GT166" s="907"/>
      <c r="GU166" s="907"/>
      <c r="GV166" s="907"/>
      <c r="GW166" s="907"/>
      <c r="GX166" s="907"/>
      <c r="GY166" s="907"/>
      <c r="GZ166" s="907"/>
      <c r="HA166" s="907"/>
      <c r="HB166" s="907"/>
      <c r="HC166" s="907"/>
      <c r="HD166" s="907"/>
      <c r="HE166" s="907"/>
      <c r="HF166" s="907"/>
      <c r="HG166" s="907"/>
      <c r="HH166" s="907"/>
      <c r="HI166" s="907"/>
      <c r="HJ166" s="907"/>
      <c r="HK166" s="907"/>
      <c r="HL166" s="907"/>
      <c r="HM166" s="907"/>
      <c r="HN166" s="907"/>
      <c r="HO166" s="907"/>
      <c r="HP166" s="907"/>
      <c r="HQ166" s="907"/>
      <c r="HR166" s="907"/>
      <c r="HS166" s="907"/>
      <c r="HT166" s="907"/>
      <c r="HU166" s="907"/>
      <c r="HV166" s="907"/>
      <c r="HW166" s="907"/>
      <c r="HX166" s="907"/>
      <c r="HY166" s="907"/>
      <c r="HZ166" s="907"/>
      <c r="IA166" s="907"/>
      <c r="IB166" s="907"/>
      <c r="IC166" s="907"/>
      <c r="ID166" s="907"/>
      <c r="IE166" s="907"/>
      <c r="IF166" s="907"/>
      <c r="IG166" s="907"/>
      <c r="IH166" s="907"/>
      <c r="II166" s="907"/>
      <c r="IJ166" s="907"/>
      <c r="IK166" s="907"/>
      <c r="IL166" s="907"/>
      <c r="IM166" s="907"/>
      <c r="IN166" s="907"/>
      <c r="IO166" s="907"/>
      <c r="IP166" s="907"/>
    </row>
    <row r="167" spans="1:250" ht="12">
      <c r="B167" s="941"/>
      <c r="Y167" s="907"/>
      <c r="Z167" s="907"/>
      <c r="AA167" s="907"/>
      <c r="AB167" s="907"/>
      <c r="AC167" s="907"/>
      <c r="AD167" s="907"/>
      <c r="AE167" s="907"/>
      <c r="AF167" s="907"/>
      <c r="AG167" s="907"/>
      <c r="AH167" s="907"/>
      <c r="AI167" s="907"/>
      <c r="AJ167" s="907"/>
      <c r="AK167" s="907"/>
      <c r="AL167" s="907"/>
      <c r="AM167" s="907"/>
      <c r="AN167" s="907"/>
      <c r="AO167" s="907"/>
      <c r="AP167" s="907"/>
      <c r="AQ167" s="907"/>
      <c r="AR167" s="907"/>
      <c r="AS167" s="907"/>
      <c r="AT167" s="907"/>
      <c r="AU167" s="907"/>
      <c r="AV167" s="907"/>
      <c r="AW167" s="907"/>
      <c r="AX167" s="907"/>
      <c r="AY167" s="907"/>
      <c r="AZ167" s="907"/>
      <c r="BA167" s="907"/>
      <c r="BB167" s="907"/>
      <c r="BC167" s="907"/>
      <c r="BD167" s="907"/>
      <c r="BE167" s="907"/>
      <c r="BF167" s="907"/>
      <c r="BG167" s="907"/>
      <c r="BH167" s="907"/>
      <c r="BI167" s="907"/>
      <c r="BJ167" s="907"/>
      <c r="BK167" s="907"/>
      <c r="BL167" s="907"/>
      <c r="BM167" s="907"/>
      <c r="BN167" s="907"/>
      <c r="BO167" s="907"/>
      <c r="BP167" s="907"/>
      <c r="BQ167" s="907"/>
      <c r="BR167" s="907"/>
      <c r="BS167" s="907"/>
      <c r="BT167" s="907"/>
      <c r="BU167" s="907"/>
      <c r="BV167" s="907"/>
      <c r="BW167" s="907"/>
      <c r="BX167" s="907"/>
      <c r="BY167" s="907"/>
      <c r="BZ167" s="907"/>
      <c r="CA167" s="907"/>
      <c r="CB167" s="907"/>
      <c r="CC167" s="907"/>
      <c r="CD167" s="907"/>
      <c r="CE167" s="907"/>
      <c r="CF167" s="907"/>
      <c r="CG167" s="907"/>
      <c r="CH167" s="907"/>
      <c r="CI167" s="907"/>
      <c r="CJ167" s="907"/>
      <c r="CK167" s="907"/>
      <c r="CL167" s="907"/>
      <c r="CM167" s="907"/>
      <c r="CN167" s="907"/>
      <c r="CO167" s="907"/>
      <c r="CP167" s="907"/>
      <c r="CQ167" s="907"/>
      <c r="CR167" s="907"/>
      <c r="CS167" s="907"/>
      <c r="CT167" s="907"/>
      <c r="CU167" s="907"/>
      <c r="CV167" s="907"/>
      <c r="CW167" s="907"/>
      <c r="CX167" s="907"/>
      <c r="CY167" s="907"/>
      <c r="CZ167" s="907"/>
      <c r="DA167" s="907"/>
      <c r="DB167" s="907"/>
      <c r="DC167" s="907"/>
      <c r="DD167" s="907"/>
      <c r="DE167" s="907"/>
      <c r="DF167" s="907"/>
      <c r="DG167" s="907"/>
      <c r="DH167" s="907"/>
      <c r="DI167" s="907"/>
      <c r="DJ167" s="907"/>
      <c r="DK167" s="907"/>
      <c r="DL167" s="907"/>
      <c r="DM167" s="907"/>
      <c r="DN167" s="907"/>
      <c r="DO167" s="907"/>
      <c r="DP167" s="907"/>
      <c r="DQ167" s="907"/>
      <c r="DR167" s="907"/>
      <c r="DS167" s="907"/>
      <c r="DT167" s="907"/>
      <c r="DU167" s="907"/>
      <c r="DV167" s="907"/>
      <c r="DW167" s="907"/>
      <c r="DX167" s="907"/>
      <c r="DY167" s="907"/>
      <c r="DZ167" s="907"/>
      <c r="EA167" s="907"/>
      <c r="EB167" s="907"/>
      <c r="EC167" s="907"/>
      <c r="ED167" s="907"/>
      <c r="EE167" s="907"/>
      <c r="EF167" s="907"/>
      <c r="EG167" s="907"/>
      <c r="EH167" s="907"/>
      <c r="EI167" s="907"/>
      <c r="EJ167" s="907"/>
      <c r="EK167" s="907"/>
      <c r="EL167" s="907"/>
      <c r="EM167" s="907"/>
      <c r="EN167" s="907"/>
      <c r="EO167" s="907"/>
      <c r="EP167" s="907"/>
      <c r="EQ167" s="907"/>
      <c r="ER167" s="907"/>
      <c r="ES167" s="907"/>
      <c r="ET167" s="907"/>
      <c r="EU167" s="907"/>
      <c r="EV167" s="907"/>
      <c r="EW167" s="907"/>
      <c r="EX167" s="907"/>
      <c r="EY167" s="907"/>
      <c r="EZ167" s="907"/>
      <c r="FA167" s="907"/>
      <c r="FB167" s="907"/>
      <c r="FC167" s="907"/>
      <c r="FD167" s="907"/>
      <c r="FE167" s="907"/>
      <c r="FF167" s="907"/>
      <c r="FG167" s="907"/>
      <c r="FH167" s="907"/>
      <c r="FI167" s="907"/>
      <c r="FJ167" s="907"/>
      <c r="FK167" s="907"/>
      <c r="FL167" s="907"/>
      <c r="FM167" s="907"/>
      <c r="FN167" s="907"/>
      <c r="FO167" s="907"/>
      <c r="FP167" s="907"/>
      <c r="FQ167" s="907"/>
      <c r="FR167" s="907"/>
      <c r="FS167" s="907"/>
      <c r="FT167" s="907"/>
      <c r="FU167" s="907"/>
      <c r="FV167" s="907"/>
      <c r="FW167" s="907"/>
      <c r="FX167" s="907"/>
      <c r="FY167" s="907"/>
      <c r="FZ167" s="907"/>
      <c r="GA167" s="907"/>
      <c r="GB167" s="907"/>
      <c r="GC167" s="907"/>
      <c r="GD167" s="907"/>
      <c r="GE167" s="907"/>
      <c r="GF167" s="907"/>
      <c r="GG167" s="907"/>
      <c r="GH167" s="907"/>
      <c r="GI167" s="907"/>
      <c r="GJ167" s="907"/>
      <c r="GK167" s="907"/>
      <c r="GL167" s="907"/>
      <c r="GM167" s="907"/>
      <c r="GN167" s="907"/>
      <c r="GO167" s="907"/>
      <c r="GP167" s="907"/>
      <c r="GQ167" s="907"/>
      <c r="GR167" s="907"/>
      <c r="GS167" s="907"/>
      <c r="GT167" s="907"/>
      <c r="GU167" s="907"/>
      <c r="GV167" s="907"/>
      <c r="GW167" s="907"/>
      <c r="GX167" s="907"/>
      <c r="GY167" s="907"/>
      <c r="GZ167" s="907"/>
      <c r="HA167" s="907"/>
      <c r="HB167" s="907"/>
      <c r="HC167" s="907"/>
      <c r="HD167" s="907"/>
      <c r="HE167" s="907"/>
      <c r="HF167" s="907"/>
      <c r="HG167" s="907"/>
      <c r="HH167" s="907"/>
      <c r="HI167" s="907"/>
      <c r="HJ167" s="907"/>
      <c r="HK167" s="907"/>
      <c r="HL167" s="907"/>
      <c r="HM167" s="907"/>
      <c r="HN167" s="907"/>
      <c r="HO167" s="907"/>
      <c r="HP167" s="907"/>
      <c r="HQ167" s="907"/>
      <c r="HR167" s="907"/>
      <c r="HS167" s="907"/>
      <c r="HT167" s="907"/>
      <c r="HU167" s="907"/>
      <c r="HV167" s="907"/>
      <c r="HW167" s="907"/>
      <c r="HX167" s="907"/>
      <c r="HY167" s="907"/>
      <c r="HZ167" s="907"/>
      <c r="IA167" s="907"/>
      <c r="IB167" s="907"/>
      <c r="IC167" s="907"/>
      <c r="ID167" s="907"/>
      <c r="IE167" s="907"/>
      <c r="IF167" s="907"/>
      <c r="IG167" s="907"/>
      <c r="IH167" s="907"/>
      <c r="II167" s="907"/>
      <c r="IJ167" s="907"/>
      <c r="IK167" s="907"/>
      <c r="IL167" s="907"/>
      <c r="IM167" s="907"/>
      <c r="IN167" s="907"/>
      <c r="IO167" s="907"/>
      <c r="IP167" s="907"/>
    </row>
    <row r="196" spans="1:250" ht="12">
      <c r="A196" s="941"/>
      <c r="Y196" s="907"/>
      <c r="Z196" s="907"/>
      <c r="AA196" s="907"/>
      <c r="AB196" s="907"/>
      <c r="AC196" s="907"/>
      <c r="AD196" s="907"/>
      <c r="AE196" s="907"/>
      <c r="AF196" s="907"/>
      <c r="AG196" s="907"/>
      <c r="AH196" s="907"/>
      <c r="AI196" s="907"/>
      <c r="AJ196" s="907"/>
      <c r="AK196" s="907"/>
      <c r="AL196" s="907"/>
      <c r="AM196" s="907"/>
      <c r="AN196" s="907"/>
      <c r="AO196" s="907"/>
      <c r="AP196" s="907"/>
      <c r="AQ196" s="907"/>
      <c r="AR196" s="907"/>
      <c r="AS196" s="907"/>
      <c r="AT196" s="907"/>
      <c r="AU196" s="907"/>
      <c r="AV196" s="907"/>
      <c r="AW196" s="907"/>
      <c r="AX196" s="907"/>
      <c r="AY196" s="907"/>
      <c r="AZ196" s="907"/>
      <c r="BA196" s="907"/>
      <c r="BB196" s="907"/>
      <c r="BC196" s="907"/>
      <c r="BD196" s="907"/>
      <c r="BE196" s="907"/>
      <c r="BF196" s="907"/>
      <c r="BG196" s="907"/>
      <c r="BH196" s="907"/>
      <c r="BI196" s="907"/>
      <c r="BJ196" s="907"/>
      <c r="BK196" s="907"/>
      <c r="BL196" s="907"/>
      <c r="BM196" s="907"/>
      <c r="BN196" s="907"/>
      <c r="BO196" s="907"/>
      <c r="BP196" s="907"/>
      <c r="BQ196" s="907"/>
      <c r="BR196" s="907"/>
      <c r="BS196" s="907"/>
      <c r="BT196" s="907"/>
      <c r="BU196" s="907"/>
      <c r="BV196" s="907"/>
      <c r="BW196" s="907"/>
      <c r="BX196" s="907"/>
      <c r="BY196" s="907"/>
      <c r="BZ196" s="907"/>
      <c r="CA196" s="907"/>
      <c r="CB196" s="907"/>
      <c r="CC196" s="907"/>
      <c r="CD196" s="907"/>
      <c r="CE196" s="907"/>
      <c r="CF196" s="907"/>
      <c r="CG196" s="907"/>
      <c r="CH196" s="907"/>
      <c r="CI196" s="907"/>
      <c r="CJ196" s="907"/>
      <c r="CK196" s="907"/>
      <c r="CL196" s="907"/>
      <c r="CM196" s="907"/>
      <c r="CN196" s="907"/>
      <c r="CO196" s="907"/>
      <c r="CP196" s="907"/>
      <c r="CQ196" s="907"/>
      <c r="CR196" s="907"/>
      <c r="CS196" s="907"/>
      <c r="CT196" s="907"/>
      <c r="CU196" s="907"/>
      <c r="CV196" s="907"/>
      <c r="CW196" s="907"/>
      <c r="CX196" s="907"/>
      <c r="CY196" s="907"/>
      <c r="CZ196" s="907"/>
      <c r="DA196" s="907"/>
      <c r="DB196" s="907"/>
      <c r="DC196" s="907"/>
      <c r="DD196" s="907"/>
      <c r="DE196" s="907"/>
      <c r="DF196" s="907"/>
      <c r="DG196" s="907"/>
      <c r="DH196" s="907"/>
      <c r="DI196" s="907"/>
      <c r="DJ196" s="907"/>
      <c r="DK196" s="907"/>
      <c r="DL196" s="907"/>
      <c r="DM196" s="907"/>
      <c r="DN196" s="907"/>
      <c r="DO196" s="907"/>
      <c r="DP196" s="907"/>
      <c r="DQ196" s="907"/>
      <c r="DR196" s="907"/>
      <c r="DS196" s="907"/>
      <c r="DT196" s="907"/>
      <c r="DU196" s="907"/>
      <c r="DV196" s="907"/>
      <c r="DW196" s="907"/>
      <c r="DX196" s="907"/>
      <c r="DY196" s="907"/>
      <c r="DZ196" s="907"/>
      <c r="EA196" s="907"/>
      <c r="EB196" s="907"/>
      <c r="EC196" s="907"/>
      <c r="ED196" s="907"/>
      <c r="EE196" s="907"/>
      <c r="EF196" s="907"/>
      <c r="EG196" s="907"/>
      <c r="EH196" s="907"/>
      <c r="EI196" s="907"/>
      <c r="EJ196" s="907"/>
      <c r="EK196" s="907"/>
      <c r="EL196" s="907"/>
      <c r="EM196" s="907"/>
      <c r="EN196" s="907"/>
      <c r="EO196" s="907"/>
      <c r="EP196" s="907"/>
      <c r="EQ196" s="907"/>
      <c r="ER196" s="907"/>
      <c r="ES196" s="907"/>
      <c r="ET196" s="907"/>
      <c r="EU196" s="907"/>
      <c r="EV196" s="907"/>
      <c r="EW196" s="907"/>
      <c r="EX196" s="907"/>
      <c r="EY196" s="907"/>
      <c r="EZ196" s="907"/>
      <c r="FA196" s="907"/>
      <c r="FB196" s="907"/>
      <c r="FC196" s="907"/>
      <c r="FD196" s="907"/>
      <c r="FE196" s="907"/>
      <c r="FF196" s="907"/>
      <c r="FG196" s="907"/>
      <c r="FH196" s="907"/>
      <c r="FI196" s="907"/>
      <c r="FJ196" s="907"/>
      <c r="FK196" s="907"/>
      <c r="FL196" s="907"/>
      <c r="FM196" s="907"/>
      <c r="FN196" s="907"/>
      <c r="FO196" s="907"/>
      <c r="FP196" s="907"/>
      <c r="FQ196" s="907"/>
      <c r="FR196" s="907"/>
      <c r="FS196" s="907"/>
      <c r="FT196" s="907"/>
      <c r="FU196" s="907"/>
      <c r="FV196" s="907"/>
      <c r="FW196" s="907"/>
      <c r="FX196" s="907"/>
      <c r="FY196" s="907"/>
      <c r="FZ196" s="907"/>
      <c r="GA196" s="907"/>
      <c r="GB196" s="907"/>
      <c r="GC196" s="907"/>
      <c r="GD196" s="907"/>
      <c r="GE196" s="907"/>
      <c r="GF196" s="907"/>
      <c r="GG196" s="907"/>
      <c r="GH196" s="907"/>
      <c r="GI196" s="907"/>
      <c r="GJ196" s="907"/>
      <c r="GK196" s="907"/>
      <c r="GL196" s="907"/>
      <c r="GM196" s="907"/>
      <c r="GN196" s="907"/>
      <c r="GO196" s="907"/>
      <c r="GP196" s="907"/>
      <c r="GQ196" s="907"/>
      <c r="GR196" s="907"/>
      <c r="GS196" s="907"/>
      <c r="GT196" s="907"/>
      <c r="GU196" s="907"/>
      <c r="GV196" s="907"/>
      <c r="GW196" s="907"/>
      <c r="GX196" s="907"/>
      <c r="GY196" s="907"/>
      <c r="GZ196" s="907"/>
      <c r="HA196" s="907"/>
      <c r="HB196" s="907"/>
      <c r="HC196" s="907"/>
      <c r="HD196" s="907"/>
      <c r="HE196" s="907"/>
      <c r="HF196" s="907"/>
      <c r="HG196" s="907"/>
      <c r="HH196" s="907"/>
      <c r="HI196" s="907"/>
      <c r="HJ196" s="907"/>
      <c r="HK196" s="907"/>
      <c r="HL196" s="907"/>
      <c r="HM196" s="907"/>
      <c r="HN196" s="907"/>
      <c r="HO196" s="907"/>
      <c r="HP196" s="907"/>
      <c r="HQ196" s="907"/>
      <c r="HR196" s="907"/>
      <c r="HS196" s="907"/>
      <c r="HT196" s="907"/>
      <c r="HU196" s="907"/>
      <c r="HV196" s="907"/>
      <c r="HW196" s="907"/>
      <c r="HX196" s="907"/>
      <c r="HY196" s="907"/>
      <c r="HZ196" s="907"/>
      <c r="IA196" s="907"/>
      <c r="IB196" s="907"/>
      <c r="IC196" s="907"/>
      <c r="ID196" s="907"/>
      <c r="IE196" s="907"/>
      <c r="IF196" s="907"/>
      <c r="IG196" s="907"/>
      <c r="IH196" s="907"/>
      <c r="II196" s="907"/>
      <c r="IJ196" s="907"/>
      <c r="IK196" s="907"/>
      <c r="IL196" s="907"/>
      <c r="IM196" s="907"/>
      <c r="IN196" s="907"/>
      <c r="IO196" s="907"/>
      <c r="IP196" s="907"/>
    </row>
    <row r="197" spans="1:250" ht="12">
      <c r="B197" s="941"/>
      <c r="Y197" s="907"/>
      <c r="Z197" s="907"/>
      <c r="AA197" s="907"/>
      <c r="AB197" s="907"/>
      <c r="AC197" s="907"/>
      <c r="AD197" s="907"/>
      <c r="AE197" s="907"/>
      <c r="AF197" s="907"/>
      <c r="AG197" s="907"/>
      <c r="AH197" s="907"/>
      <c r="AI197" s="907"/>
      <c r="AJ197" s="907"/>
      <c r="AK197" s="907"/>
      <c r="AL197" s="907"/>
      <c r="AM197" s="907"/>
      <c r="AN197" s="907"/>
      <c r="AO197" s="907"/>
      <c r="AP197" s="907"/>
      <c r="AQ197" s="907"/>
      <c r="AR197" s="907"/>
      <c r="AS197" s="907"/>
      <c r="AT197" s="907"/>
      <c r="AU197" s="907"/>
      <c r="AV197" s="907"/>
      <c r="AW197" s="907"/>
      <c r="AX197" s="907"/>
      <c r="AY197" s="907"/>
      <c r="AZ197" s="907"/>
      <c r="BA197" s="907"/>
      <c r="BB197" s="907"/>
      <c r="BC197" s="907"/>
      <c r="BD197" s="907"/>
      <c r="BE197" s="907"/>
      <c r="BF197" s="907"/>
      <c r="BG197" s="907"/>
      <c r="BH197" s="907"/>
      <c r="BI197" s="907"/>
      <c r="BJ197" s="907"/>
      <c r="BK197" s="907"/>
      <c r="BL197" s="907"/>
      <c r="BM197" s="907"/>
      <c r="BN197" s="907"/>
      <c r="BO197" s="907"/>
      <c r="BP197" s="907"/>
      <c r="BQ197" s="907"/>
      <c r="BR197" s="907"/>
      <c r="BS197" s="907"/>
      <c r="BT197" s="907"/>
      <c r="BU197" s="907"/>
      <c r="BV197" s="907"/>
      <c r="BW197" s="907"/>
      <c r="BX197" s="907"/>
      <c r="BY197" s="907"/>
      <c r="BZ197" s="907"/>
      <c r="CA197" s="907"/>
      <c r="CB197" s="907"/>
      <c r="CC197" s="907"/>
      <c r="CD197" s="907"/>
      <c r="CE197" s="907"/>
      <c r="CF197" s="907"/>
      <c r="CG197" s="907"/>
      <c r="CH197" s="907"/>
      <c r="CI197" s="907"/>
      <c r="CJ197" s="907"/>
      <c r="CK197" s="907"/>
      <c r="CL197" s="907"/>
      <c r="CM197" s="907"/>
      <c r="CN197" s="907"/>
      <c r="CO197" s="907"/>
      <c r="CP197" s="907"/>
      <c r="CQ197" s="907"/>
      <c r="CR197" s="907"/>
      <c r="CS197" s="907"/>
      <c r="CT197" s="907"/>
      <c r="CU197" s="907"/>
      <c r="CV197" s="907"/>
      <c r="CW197" s="907"/>
      <c r="CX197" s="907"/>
      <c r="CY197" s="907"/>
      <c r="CZ197" s="907"/>
      <c r="DA197" s="907"/>
      <c r="DB197" s="907"/>
      <c r="DC197" s="907"/>
      <c r="DD197" s="907"/>
      <c r="DE197" s="907"/>
      <c r="DF197" s="907"/>
      <c r="DG197" s="907"/>
      <c r="DH197" s="907"/>
      <c r="DI197" s="907"/>
      <c r="DJ197" s="907"/>
      <c r="DK197" s="907"/>
      <c r="DL197" s="907"/>
      <c r="DM197" s="907"/>
      <c r="DN197" s="907"/>
      <c r="DO197" s="907"/>
      <c r="DP197" s="907"/>
      <c r="DQ197" s="907"/>
      <c r="DR197" s="907"/>
      <c r="DS197" s="907"/>
      <c r="DT197" s="907"/>
      <c r="DU197" s="907"/>
      <c r="DV197" s="907"/>
      <c r="DW197" s="907"/>
      <c r="DX197" s="907"/>
      <c r="DY197" s="907"/>
      <c r="DZ197" s="907"/>
      <c r="EA197" s="907"/>
      <c r="EB197" s="907"/>
      <c r="EC197" s="907"/>
      <c r="ED197" s="907"/>
      <c r="EE197" s="907"/>
      <c r="EF197" s="907"/>
      <c r="EG197" s="907"/>
      <c r="EH197" s="907"/>
      <c r="EI197" s="907"/>
      <c r="EJ197" s="907"/>
      <c r="EK197" s="907"/>
      <c r="EL197" s="907"/>
      <c r="EM197" s="907"/>
      <c r="EN197" s="907"/>
      <c r="EO197" s="907"/>
      <c r="EP197" s="907"/>
      <c r="EQ197" s="907"/>
      <c r="ER197" s="907"/>
      <c r="ES197" s="907"/>
      <c r="ET197" s="907"/>
      <c r="EU197" s="907"/>
      <c r="EV197" s="907"/>
      <c r="EW197" s="907"/>
      <c r="EX197" s="907"/>
      <c r="EY197" s="907"/>
      <c r="EZ197" s="907"/>
      <c r="FA197" s="907"/>
      <c r="FB197" s="907"/>
      <c r="FC197" s="907"/>
      <c r="FD197" s="907"/>
      <c r="FE197" s="907"/>
      <c r="FF197" s="907"/>
      <c r="FG197" s="907"/>
      <c r="FH197" s="907"/>
      <c r="FI197" s="907"/>
      <c r="FJ197" s="907"/>
      <c r="FK197" s="907"/>
      <c r="FL197" s="907"/>
      <c r="FM197" s="907"/>
      <c r="FN197" s="907"/>
      <c r="FO197" s="907"/>
      <c r="FP197" s="907"/>
      <c r="FQ197" s="907"/>
      <c r="FR197" s="907"/>
      <c r="FS197" s="907"/>
      <c r="FT197" s="907"/>
      <c r="FU197" s="907"/>
      <c r="FV197" s="907"/>
      <c r="FW197" s="907"/>
      <c r="FX197" s="907"/>
      <c r="FY197" s="907"/>
      <c r="FZ197" s="907"/>
      <c r="GA197" s="907"/>
      <c r="GB197" s="907"/>
      <c r="GC197" s="907"/>
      <c r="GD197" s="907"/>
      <c r="GE197" s="907"/>
      <c r="GF197" s="907"/>
      <c r="GG197" s="907"/>
      <c r="GH197" s="907"/>
      <c r="GI197" s="907"/>
      <c r="GJ197" s="907"/>
      <c r="GK197" s="907"/>
      <c r="GL197" s="907"/>
      <c r="GM197" s="907"/>
      <c r="GN197" s="907"/>
      <c r="GO197" s="907"/>
      <c r="GP197" s="907"/>
      <c r="GQ197" s="907"/>
      <c r="GR197" s="907"/>
      <c r="GS197" s="907"/>
      <c r="GT197" s="907"/>
      <c r="GU197" s="907"/>
      <c r="GV197" s="907"/>
      <c r="GW197" s="907"/>
      <c r="GX197" s="907"/>
      <c r="GY197" s="907"/>
      <c r="GZ197" s="907"/>
      <c r="HA197" s="907"/>
      <c r="HB197" s="907"/>
      <c r="HC197" s="907"/>
      <c r="HD197" s="907"/>
      <c r="HE197" s="907"/>
      <c r="HF197" s="907"/>
      <c r="HG197" s="907"/>
      <c r="HH197" s="907"/>
      <c r="HI197" s="907"/>
      <c r="HJ197" s="907"/>
      <c r="HK197" s="907"/>
      <c r="HL197" s="907"/>
      <c r="HM197" s="907"/>
      <c r="HN197" s="907"/>
      <c r="HO197" s="907"/>
      <c r="HP197" s="907"/>
      <c r="HQ197" s="907"/>
      <c r="HR197" s="907"/>
      <c r="HS197" s="907"/>
      <c r="HT197" s="907"/>
      <c r="HU197" s="907"/>
      <c r="HV197" s="907"/>
      <c r="HW197" s="907"/>
      <c r="HX197" s="907"/>
      <c r="HY197" s="907"/>
      <c r="HZ197" s="907"/>
      <c r="IA197" s="907"/>
      <c r="IB197" s="907"/>
      <c r="IC197" s="907"/>
      <c r="ID197" s="907"/>
      <c r="IE197" s="907"/>
      <c r="IF197" s="907"/>
      <c r="IG197" s="907"/>
      <c r="IH197" s="907"/>
      <c r="II197" s="907"/>
      <c r="IJ197" s="907"/>
      <c r="IK197" s="907"/>
      <c r="IL197" s="907"/>
      <c r="IM197" s="907"/>
      <c r="IN197" s="907"/>
      <c r="IO197" s="907"/>
      <c r="IP197" s="907"/>
    </row>
    <row r="265" spans="1:250" ht="12">
      <c r="A265" s="905"/>
      <c r="Y265" s="907"/>
      <c r="Z265" s="907"/>
      <c r="AA265" s="907"/>
      <c r="AB265" s="907"/>
      <c r="AC265" s="907"/>
      <c r="AD265" s="907"/>
      <c r="AE265" s="907"/>
      <c r="AF265" s="907"/>
      <c r="AG265" s="907"/>
      <c r="AH265" s="907"/>
      <c r="AI265" s="907"/>
      <c r="AJ265" s="907"/>
      <c r="AK265" s="907"/>
      <c r="AL265" s="907"/>
      <c r="AM265" s="907"/>
      <c r="AN265" s="907"/>
      <c r="AO265" s="907"/>
      <c r="AP265" s="907"/>
      <c r="AQ265" s="907"/>
      <c r="AR265" s="907"/>
      <c r="AS265" s="907"/>
      <c r="AT265" s="907"/>
      <c r="AU265" s="907"/>
      <c r="AV265" s="907"/>
      <c r="AW265" s="907"/>
      <c r="AX265" s="907"/>
      <c r="AY265" s="907"/>
      <c r="AZ265" s="907"/>
      <c r="BA265" s="907"/>
      <c r="BB265" s="907"/>
      <c r="BC265" s="907"/>
      <c r="BD265" s="907"/>
      <c r="BE265" s="907"/>
      <c r="BF265" s="907"/>
      <c r="BG265" s="907"/>
      <c r="BH265" s="907"/>
      <c r="BI265" s="907"/>
      <c r="BJ265" s="907"/>
      <c r="BK265" s="907"/>
      <c r="BL265" s="907"/>
      <c r="BM265" s="907"/>
      <c r="BN265" s="907"/>
      <c r="BO265" s="907"/>
      <c r="BP265" s="907"/>
      <c r="BQ265" s="907"/>
      <c r="BR265" s="907"/>
      <c r="BS265" s="907"/>
      <c r="BT265" s="907"/>
      <c r="BU265" s="907"/>
      <c r="BV265" s="907"/>
      <c r="BW265" s="907"/>
      <c r="BX265" s="907"/>
      <c r="BY265" s="907"/>
      <c r="BZ265" s="907"/>
      <c r="CA265" s="907"/>
      <c r="CB265" s="907"/>
      <c r="CC265" s="907"/>
      <c r="CD265" s="907"/>
      <c r="CE265" s="907"/>
      <c r="CF265" s="907"/>
      <c r="CG265" s="907"/>
      <c r="CH265" s="907"/>
      <c r="CI265" s="907"/>
      <c r="CJ265" s="907"/>
      <c r="CK265" s="907"/>
      <c r="CL265" s="907"/>
      <c r="CM265" s="907"/>
      <c r="CN265" s="907"/>
      <c r="CO265" s="907"/>
      <c r="CP265" s="907"/>
      <c r="CQ265" s="907"/>
      <c r="CR265" s="907"/>
      <c r="CS265" s="907"/>
      <c r="CT265" s="907"/>
      <c r="CU265" s="907"/>
      <c r="CV265" s="907"/>
      <c r="CW265" s="907"/>
      <c r="CX265" s="907"/>
      <c r="CY265" s="907"/>
      <c r="CZ265" s="907"/>
      <c r="DA265" s="907"/>
      <c r="DB265" s="907"/>
      <c r="DC265" s="907"/>
      <c r="DD265" s="907"/>
      <c r="DE265" s="907"/>
      <c r="DF265" s="907"/>
      <c r="DG265" s="907"/>
      <c r="DH265" s="907"/>
      <c r="DI265" s="907"/>
      <c r="DJ265" s="907"/>
      <c r="DK265" s="907"/>
      <c r="DL265" s="907"/>
      <c r="DM265" s="907"/>
      <c r="DN265" s="907"/>
      <c r="DO265" s="907"/>
      <c r="DP265" s="907"/>
      <c r="DQ265" s="907"/>
      <c r="DR265" s="907"/>
      <c r="DS265" s="907"/>
      <c r="DT265" s="907"/>
      <c r="DU265" s="907"/>
      <c r="DV265" s="907"/>
      <c r="DW265" s="907"/>
      <c r="DX265" s="907"/>
      <c r="DY265" s="907"/>
      <c r="DZ265" s="907"/>
      <c r="EA265" s="907"/>
      <c r="EB265" s="907"/>
      <c r="EC265" s="907"/>
      <c r="ED265" s="907"/>
      <c r="EE265" s="907"/>
      <c r="EF265" s="907"/>
      <c r="EG265" s="907"/>
      <c r="EH265" s="907"/>
      <c r="EI265" s="907"/>
      <c r="EJ265" s="907"/>
      <c r="EK265" s="907"/>
      <c r="EL265" s="907"/>
      <c r="EM265" s="907"/>
      <c r="EN265" s="907"/>
      <c r="EO265" s="907"/>
      <c r="EP265" s="907"/>
      <c r="EQ265" s="907"/>
      <c r="ER265" s="907"/>
      <c r="ES265" s="907"/>
      <c r="ET265" s="907"/>
      <c r="EU265" s="907"/>
      <c r="EV265" s="907"/>
      <c r="EW265" s="907"/>
      <c r="EX265" s="907"/>
      <c r="EY265" s="907"/>
      <c r="EZ265" s="907"/>
      <c r="FA265" s="907"/>
      <c r="FB265" s="907"/>
      <c r="FC265" s="907"/>
      <c r="FD265" s="907"/>
      <c r="FE265" s="907"/>
      <c r="FF265" s="907"/>
      <c r="FG265" s="907"/>
      <c r="FH265" s="907"/>
      <c r="FI265" s="907"/>
      <c r="FJ265" s="907"/>
      <c r="FK265" s="907"/>
      <c r="FL265" s="907"/>
      <c r="FM265" s="907"/>
      <c r="FN265" s="907"/>
      <c r="FO265" s="907"/>
      <c r="FP265" s="907"/>
      <c r="FQ265" s="907"/>
      <c r="FR265" s="907"/>
      <c r="FS265" s="907"/>
      <c r="FT265" s="907"/>
      <c r="FU265" s="907"/>
      <c r="FV265" s="907"/>
      <c r="FW265" s="907"/>
      <c r="FX265" s="907"/>
      <c r="FY265" s="907"/>
      <c r="FZ265" s="907"/>
      <c r="GA265" s="907"/>
      <c r="GB265" s="907"/>
      <c r="GC265" s="907"/>
      <c r="GD265" s="907"/>
      <c r="GE265" s="907"/>
      <c r="GF265" s="907"/>
      <c r="GG265" s="907"/>
      <c r="GH265" s="907"/>
      <c r="GI265" s="907"/>
      <c r="GJ265" s="907"/>
      <c r="GK265" s="907"/>
      <c r="GL265" s="907"/>
      <c r="GM265" s="907"/>
      <c r="GN265" s="907"/>
      <c r="GO265" s="907"/>
      <c r="GP265" s="907"/>
      <c r="GQ265" s="907"/>
      <c r="GR265" s="907"/>
      <c r="GS265" s="907"/>
      <c r="GT265" s="907"/>
      <c r="GU265" s="907"/>
      <c r="GV265" s="907"/>
      <c r="GW265" s="907"/>
      <c r="GX265" s="907"/>
      <c r="GY265" s="907"/>
      <c r="GZ265" s="907"/>
      <c r="HA265" s="907"/>
      <c r="HB265" s="907"/>
      <c r="HC265" s="907"/>
      <c r="HD265" s="907"/>
      <c r="HE265" s="907"/>
      <c r="HF265" s="907"/>
      <c r="HG265" s="907"/>
      <c r="HH265" s="907"/>
      <c r="HI265" s="907"/>
      <c r="HJ265" s="907"/>
      <c r="HK265" s="907"/>
      <c r="HL265" s="907"/>
      <c r="HM265" s="907"/>
      <c r="HN265" s="907"/>
      <c r="HO265" s="907"/>
      <c r="HP265" s="907"/>
      <c r="HQ265" s="907"/>
      <c r="HR265" s="907"/>
      <c r="HS265" s="907"/>
      <c r="HT265" s="907"/>
      <c r="HU265" s="907"/>
      <c r="HV265" s="907"/>
      <c r="HW265" s="907"/>
      <c r="HX265" s="907"/>
      <c r="HY265" s="907"/>
      <c r="HZ265" s="907"/>
      <c r="IA265" s="907"/>
      <c r="IB265" s="907"/>
      <c r="IC265" s="907"/>
      <c r="ID265" s="907"/>
      <c r="IE265" s="907"/>
      <c r="IF265" s="907"/>
      <c r="IG265" s="907"/>
      <c r="IH265" s="907"/>
      <c r="II265" s="907"/>
      <c r="IJ265" s="907"/>
      <c r="IK265" s="907"/>
      <c r="IL265" s="907"/>
      <c r="IM265" s="907"/>
      <c r="IN265" s="907"/>
      <c r="IO265" s="907"/>
      <c r="IP265" s="907"/>
    </row>
    <row r="282" spans="1:250" ht="12">
      <c r="A282" s="941"/>
      <c r="Y282" s="907"/>
      <c r="Z282" s="907"/>
      <c r="AA282" s="907"/>
      <c r="AB282" s="907"/>
      <c r="AC282" s="907"/>
      <c r="AD282" s="907"/>
      <c r="AE282" s="907"/>
      <c r="AF282" s="907"/>
      <c r="AG282" s="907"/>
      <c r="AH282" s="907"/>
      <c r="AI282" s="907"/>
      <c r="AJ282" s="907"/>
      <c r="AK282" s="907"/>
      <c r="AL282" s="907"/>
      <c r="AM282" s="907"/>
      <c r="AN282" s="907"/>
      <c r="AO282" s="907"/>
      <c r="AP282" s="907"/>
      <c r="AQ282" s="907"/>
      <c r="AR282" s="907"/>
      <c r="AS282" s="907"/>
      <c r="AT282" s="907"/>
      <c r="AU282" s="907"/>
      <c r="AV282" s="907"/>
      <c r="AW282" s="907"/>
      <c r="AX282" s="907"/>
      <c r="AY282" s="907"/>
      <c r="AZ282" s="907"/>
      <c r="BA282" s="907"/>
      <c r="BB282" s="907"/>
      <c r="BC282" s="907"/>
      <c r="BD282" s="907"/>
      <c r="BE282" s="907"/>
      <c r="BF282" s="907"/>
      <c r="BG282" s="907"/>
      <c r="BH282" s="907"/>
      <c r="BI282" s="907"/>
      <c r="BJ282" s="907"/>
      <c r="BK282" s="907"/>
      <c r="BL282" s="907"/>
      <c r="BM282" s="907"/>
      <c r="BN282" s="907"/>
      <c r="BO282" s="907"/>
      <c r="BP282" s="907"/>
      <c r="BQ282" s="907"/>
      <c r="BR282" s="907"/>
      <c r="BS282" s="907"/>
      <c r="BT282" s="907"/>
      <c r="BU282" s="907"/>
      <c r="BV282" s="907"/>
      <c r="BW282" s="907"/>
      <c r="BX282" s="907"/>
      <c r="BY282" s="907"/>
      <c r="BZ282" s="907"/>
      <c r="CA282" s="907"/>
      <c r="CB282" s="907"/>
      <c r="CC282" s="907"/>
      <c r="CD282" s="907"/>
      <c r="CE282" s="907"/>
      <c r="CF282" s="907"/>
      <c r="CG282" s="907"/>
      <c r="CH282" s="907"/>
      <c r="CI282" s="907"/>
      <c r="CJ282" s="907"/>
      <c r="CK282" s="907"/>
      <c r="CL282" s="907"/>
      <c r="CM282" s="907"/>
      <c r="CN282" s="907"/>
      <c r="CO282" s="907"/>
      <c r="CP282" s="907"/>
      <c r="CQ282" s="907"/>
      <c r="CR282" s="907"/>
      <c r="CS282" s="907"/>
      <c r="CT282" s="907"/>
      <c r="CU282" s="907"/>
      <c r="CV282" s="907"/>
      <c r="CW282" s="907"/>
      <c r="CX282" s="907"/>
      <c r="CY282" s="907"/>
      <c r="CZ282" s="907"/>
      <c r="DA282" s="907"/>
      <c r="DB282" s="907"/>
      <c r="DC282" s="907"/>
      <c r="DD282" s="907"/>
      <c r="DE282" s="907"/>
      <c r="DF282" s="907"/>
      <c r="DG282" s="907"/>
      <c r="DH282" s="907"/>
      <c r="DI282" s="907"/>
      <c r="DJ282" s="907"/>
      <c r="DK282" s="907"/>
      <c r="DL282" s="907"/>
      <c r="DM282" s="907"/>
      <c r="DN282" s="907"/>
      <c r="DO282" s="907"/>
      <c r="DP282" s="907"/>
      <c r="DQ282" s="907"/>
      <c r="DR282" s="907"/>
      <c r="DS282" s="907"/>
      <c r="DT282" s="907"/>
      <c r="DU282" s="907"/>
      <c r="DV282" s="907"/>
      <c r="DW282" s="907"/>
      <c r="DX282" s="907"/>
      <c r="DY282" s="907"/>
      <c r="DZ282" s="907"/>
      <c r="EA282" s="907"/>
      <c r="EB282" s="907"/>
      <c r="EC282" s="907"/>
      <c r="ED282" s="907"/>
      <c r="EE282" s="907"/>
      <c r="EF282" s="907"/>
      <c r="EG282" s="907"/>
      <c r="EH282" s="907"/>
      <c r="EI282" s="907"/>
      <c r="EJ282" s="907"/>
      <c r="EK282" s="907"/>
      <c r="EL282" s="907"/>
      <c r="EM282" s="907"/>
      <c r="EN282" s="907"/>
      <c r="EO282" s="907"/>
      <c r="EP282" s="907"/>
      <c r="EQ282" s="907"/>
      <c r="ER282" s="907"/>
      <c r="ES282" s="907"/>
      <c r="ET282" s="907"/>
      <c r="EU282" s="907"/>
      <c r="EV282" s="907"/>
      <c r="EW282" s="907"/>
      <c r="EX282" s="907"/>
      <c r="EY282" s="907"/>
      <c r="EZ282" s="907"/>
      <c r="FA282" s="907"/>
      <c r="FB282" s="907"/>
      <c r="FC282" s="907"/>
      <c r="FD282" s="907"/>
      <c r="FE282" s="907"/>
      <c r="FF282" s="907"/>
      <c r="FG282" s="907"/>
      <c r="FH282" s="907"/>
      <c r="FI282" s="907"/>
      <c r="FJ282" s="907"/>
      <c r="FK282" s="907"/>
      <c r="FL282" s="907"/>
      <c r="FM282" s="907"/>
      <c r="FN282" s="907"/>
      <c r="FO282" s="907"/>
      <c r="FP282" s="907"/>
      <c r="FQ282" s="907"/>
      <c r="FR282" s="907"/>
      <c r="FS282" s="907"/>
      <c r="FT282" s="907"/>
      <c r="FU282" s="907"/>
      <c r="FV282" s="907"/>
      <c r="FW282" s="907"/>
      <c r="FX282" s="907"/>
      <c r="FY282" s="907"/>
      <c r="FZ282" s="907"/>
      <c r="GA282" s="907"/>
      <c r="GB282" s="907"/>
      <c r="GC282" s="907"/>
      <c r="GD282" s="907"/>
      <c r="GE282" s="907"/>
      <c r="GF282" s="907"/>
      <c r="GG282" s="907"/>
      <c r="GH282" s="907"/>
      <c r="GI282" s="907"/>
      <c r="GJ282" s="907"/>
      <c r="GK282" s="907"/>
      <c r="GL282" s="907"/>
      <c r="GM282" s="907"/>
      <c r="GN282" s="907"/>
      <c r="GO282" s="907"/>
      <c r="GP282" s="907"/>
      <c r="GQ282" s="907"/>
      <c r="GR282" s="907"/>
      <c r="GS282" s="907"/>
      <c r="GT282" s="907"/>
      <c r="GU282" s="907"/>
      <c r="GV282" s="907"/>
      <c r="GW282" s="907"/>
      <c r="GX282" s="907"/>
      <c r="GY282" s="907"/>
      <c r="GZ282" s="907"/>
      <c r="HA282" s="907"/>
      <c r="HB282" s="907"/>
      <c r="HC282" s="907"/>
      <c r="HD282" s="907"/>
      <c r="HE282" s="907"/>
      <c r="HF282" s="907"/>
      <c r="HG282" s="907"/>
      <c r="HH282" s="907"/>
      <c r="HI282" s="907"/>
      <c r="HJ282" s="907"/>
      <c r="HK282" s="907"/>
      <c r="HL282" s="907"/>
      <c r="HM282" s="907"/>
      <c r="HN282" s="907"/>
      <c r="HO282" s="907"/>
      <c r="HP282" s="907"/>
      <c r="HQ282" s="907"/>
      <c r="HR282" s="907"/>
      <c r="HS282" s="907"/>
      <c r="HT282" s="907"/>
      <c r="HU282" s="907"/>
      <c r="HV282" s="907"/>
      <c r="HW282" s="907"/>
      <c r="HX282" s="907"/>
      <c r="HY282" s="907"/>
      <c r="HZ282" s="907"/>
      <c r="IA282" s="907"/>
      <c r="IB282" s="907"/>
      <c r="IC282" s="907"/>
      <c r="ID282" s="907"/>
      <c r="IE282" s="907"/>
      <c r="IF282" s="907"/>
      <c r="IG282" s="907"/>
      <c r="IH282" s="907"/>
      <c r="II282" s="907"/>
      <c r="IJ282" s="907"/>
      <c r="IK282" s="907"/>
      <c r="IL282" s="907"/>
      <c r="IM282" s="907"/>
      <c r="IN282" s="907"/>
      <c r="IO282" s="907"/>
      <c r="IP282" s="907"/>
    </row>
    <row r="283" spans="1:250" ht="12">
      <c r="A283" s="941"/>
      <c r="Y283" s="907"/>
      <c r="Z283" s="907"/>
      <c r="AA283" s="907"/>
      <c r="AB283" s="907"/>
      <c r="AC283" s="907"/>
      <c r="AD283" s="907"/>
      <c r="AE283" s="907"/>
      <c r="AF283" s="907"/>
      <c r="AG283" s="907"/>
      <c r="AH283" s="907"/>
      <c r="AI283" s="907"/>
      <c r="AJ283" s="907"/>
      <c r="AK283" s="907"/>
      <c r="AL283" s="907"/>
      <c r="AM283" s="907"/>
      <c r="AN283" s="907"/>
      <c r="AO283" s="907"/>
      <c r="AP283" s="907"/>
      <c r="AQ283" s="907"/>
      <c r="AR283" s="907"/>
      <c r="AS283" s="907"/>
      <c r="AT283" s="907"/>
      <c r="AU283" s="907"/>
      <c r="AV283" s="907"/>
      <c r="AW283" s="907"/>
      <c r="AX283" s="907"/>
      <c r="AY283" s="907"/>
      <c r="AZ283" s="907"/>
      <c r="BA283" s="907"/>
      <c r="BB283" s="907"/>
      <c r="BC283" s="907"/>
      <c r="BD283" s="907"/>
      <c r="BE283" s="907"/>
      <c r="BF283" s="907"/>
      <c r="BG283" s="907"/>
      <c r="BH283" s="907"/>
      <c r="BI283" s="907"/>
      <c r="BJ283" s="907"/>
      <c r="BK283" s="907"/>
      <c r="BL283" s="907"/>
      <c r="BM283" s="907"/>
      <c r="BN283" s="907"/>
      <c r="BO283" s="907"/>
      <c r="BP283" s="907"/>
      <c r="BQ283" s="907"/>
      <c r="BR283" s="907"/>
      <c r="BS283" s="907"/>
      <c r="BT283" s="907"/>
      <c r="BU283" s="907"/>
      <c r="BV283" s="907"/>
      <c r="BW283" s="907"/>
      <c r="BX283" s="907"/>
      <c r="BY283" s="907"/>
      <c r="BZ283" s="907"/>
      <c r="CA283" s="907"/>
      <c r="CB283" s="907"/>
      <c r="CC283" s="907"/>
      <c r="CD283" s="907"/>
      <c r="CE283" s="907"/>
      <c r="CF283" s="907"/>
      <c r="CG283" s="907"/>
      <c r="CH283" s="907"/>
      <c r="CI283" s="907"/>
      <c r="CJ283" s="907"/>
      <c r="CK283" s="907"/>
      <c r="CL283" s="907"/>
      <c r="CM283" s="907"/>
      <c r="CN283" s="907"/>
      <c r="CO283" s="907"/>
      <c r="CP283" s="907"/>
      <c r="CQ283" s="907"/>
      <c r="CR283" s="907"/>
      <c r="CS283" s="907"/>
      <c r="CT283" s="907"/>
      <c r="CU283" s="907"/>
      <c r="CV283" s="907"/>
      <c r="CW283" s="907"/>
      <c r="CX283" s="907"/>
      <c r="CY283" s="907"/>
      <c r="CZ283" s="907"/>
      <c r="DA283" s="907"/>
      <c r="DB283" s="907"/>
      <c r="DC283" s="907"/>
      <c r="DD283" s="907"/>
      <c r="DE283" s="907"/>
      <c r="DF283" s="907"/>
      <c r="DG283" s="907"/>
      <c r="DH283" s="907"/>
      <c r="DI283" s="907"/>
      <c r="DJ283" s="907"/>
      <c r="DK283" s="907"/>
      <c r="DL283" s="907"/>
      <c r="DM283" s="907"/>
      <c r="DN283" s="907"/>
      <c r="DO283" s="907"/>
      <c r="DP283" s="907"/>
      <c r="DQ283" s="907"/>
      <c r="DR283" s="907"/>
      <c r="DS283" s="907"/>
      <c r="DT283" s="907"/>
      <c r="DU283" s="907"/>
      <c r="DV283" s="907"/>
      <c r="DW283" s="907"/>
      <c r="DX283" s="907"/>
      <c r="DY283" s="907"/>
      <c r="DZ283" s="907"/>
      <c r="EA283" s="907"/>
      <c r="EB283" s="907"/>
      <c r="EC283" s="907"/>
      <c r="ED283" s="907"/>
      <c r="EE283" s="907"/>
      <c r="EF283" s="907"/>
      <c r="EG283" s="907"/>
      <c r="EH283" s="907"/>
      <c r="EI283" s="907"/>
      <c r="EJ283" s="907"/>
      <c r="EK283" s="907"/>
      <c r="EL283" s="907"/>
      <c r="EM283" s="907"/>
      <c r="EN283" s="907"/>
      <c r="EO283" s="907"/>
      <c r="EP283" s="907"/>
      <c r="EQ283" s="907"/>
      <c r="ER283" s="907"/>
      <c r="ES283" s="907"/>
      <c r="ET283" s="907"/>
      <c r="EU283" s="907"/>
      <c r="EV283" s="907"/>
      <c r="EW283" s="907"/>
      <c r="EX283" s="907"/>
      <c r="EY283" s="907"/>
      <c r="EZ283" s="907"/>
      <c r="FA283" s="907"/>
      <c r="FB283" s="907"/>
      <c r="FC283" s="907"/>
      <c r="FD283" s="907"/>
      <c r="FE283" s="907"/>
      <c r="FF283" s="907"/>
      <c r="FG283" s="907"/>
      <c r="FH283" s="907"/>
      <c r="FI283" s="907"/>
      <c r="FJ283" s="907"/>
      <c r="FK283" s="907"/>
      <c r="FL283" s="907"/>
      <c r="FM283" s="907"/>
      <c r="FN283" s="907"/>
      <c r="FO283" s="907"/>
      <c r="FP283" s="907"/>
      <c r="FQ283" s="907"/>
      <c r="FR283" s="907"/>
      <c r="FS283" s="907"/>
      <c r="FT283" s="907"/>
      <c r="FU283" s="907"/>
      <c r="FV283" s="907"/>
      <c r="FW283" s="907"/>
      <c r="FX283" s="907"/>
      <c r="FY283" s="907"/>
      <c r="FZ283" s="907"/>
      <c r="GA283" s="907"/>
      <c r="GB283" s="907"/>
      <c r="GC283" s="907"/>
      <c r="GD283" s="907"/>
      <c r="GE283" s="907"/>
      <c r="GF283" s="907"/>
      <c r="GG283" s="907"/>
      <c r="GH283" s="907"/>
      <c r="GI283" s="907"/>
      <c r="GJ283" s="907"/>
      <c r="GK283" s="907"/>
      <c r="GL283" s="907"/>
      <c r="GM283" s="907"/>
      <c r="GN283" s="907"/>
      <c r="GO283" s="907"/>
      <c r="GP283" s="907"/>
      <c r="GQ283" s="907"/>
      <c r="GR283" s="907"/>
      <c r="GS283" s="907"/>
      <c r="GT283" s="907"/>
      <c r="GU283" s="907"/>
      <c r="GV283" s="907"/>
      <c r="GW283" s="907"/>
      <c r="GX283" s="907"/>
      <c r="GY283" s="907"/>
      <c r="GZ283" s="907"/>
      <c r="HA283" s="907"/>
      <c r="HB283" s="907"/>
      <c r="HC283" s="907"/>
      <c r="HD283" s="907"/>
      <c r="HE283" s="907"/>
      <c r="HF283" s="907"/>
      <c r="HG283" s="907"/>
      <c r="HH283" s="907"/>
      <c r="HI283" s="907"/>
      <c r="HJ283" s="907"/>
      <c r="HK283" s="907"/>
      <c r="HL283" s="907"/>
      <c r="HM283" s="907"/>
      <c r="HN283" s="907"/>
      <c r="HO283" s="907"/>
      <c r="HP283" s="907"/>
      <c r="HQ283" s="907"/>
      <c r="HR283" s="907"/>
      <c r="HS283" s="907"/>
      <c r="HT283" s="907"/>
      <c r="HU283" s="907"/>
      <c r="HV283" s="907"/>
      <c r="HW283" s="907"/>
      <c r="HX283" s="907"/>
      <c r="HY283" s="907"/>
      <c r="HZ283" s="907"/>
      <c r="IA283" s="907"/>
      <c r="IB283" s="907"/>
      <c r="IC283" s="907"/>
      <c r="ID283" s="907"/>
      <c r="IE283" s="907"/>
      <c r="IF283" s="907"/>
      <c r="IG283" s="907"/>
      <c r="IH283" s="907"/>
      <c r="II283" s="907"/>
      <c r="IJ283" s="907"/>
      <c r="IK283" s="907"/>
      <c r="IL283" s="907"/>
      <c r="IM283" s="907"/>
      <c r="IN283" s="907"/>
      <c r="IO283" s="907"/>
      <c r="IP283" s="907"/>
    </row>
    <row r="284" spans="1:250" ht="12">
      <c r="A284" s="941"/>
      <c r="Y284" s="907"/>
      <c r="Z284" s="907"/>
      <c r="AA284" s="907"/>
      <c r="AB284" s="907"/>
      <c r="AC284" s="907"/>
      <c r="AD284" s="907"/>
      <c r="AE284" s="907"/>
      <c r="AF284" s="907"/>
      <c r="AG284" s="907"/>
      <c r="AH284" s="907"/>
      <c r="AI284" s="907"/>
      <c r="AJ284" s="907"/>
      <c r="AK284" s="907"/>
      <c r="AL284" s="907"/>
      <c r="AM284" s="907"/>
      <c r="AN284" s="907"/>
      <c r="AO284" s="907"/>
      <c r="AP284" s="907"/>
      <c r="AQ284" s="907"/>
      <c r="AR284" s="907"/>
      <c r="AS284" s="907"/>
      <c r="AT284" s="907"/>
      <c r="AU284" s="907"/>
      <c r="AV284" s="907"/>
      <c r="AW284" s="907"/>
      <c r="AX284" s="907"/>
      <c r="AY284" s="907"/>
      <c r="AZ284" s="907"/>
      <c r="BA284" s="907"/>
      <c r="BB284" s="907"/>
      <c r="BC284" s="907"/>
      <c r="BD284" s="907"/>
      <c r="BE284" s="907"/>
      <c r="BF284" s="907"/>
      <c r="BG284" s="907"/>
      <c r="BH284" s="907"/>
      <c r="BI284" s="907"/>
      <c r="BJ284" s="907"/>
      <c r="BK284" s="907"/>
      <c r="BL284" s="907"/>
      <c r="BM284" s="907"/>
      <c r="BN284" s="907"/>
      <c r="BO284" s="907"/>
      <c r="BP284" s="907"/>
      <c r="BQ284" s="907"/>
      <c r="BR284" s="907"/>
      <c r="BS284" s="907"/>
      <c r="BT284" s="907"/>
      <c r="BU284" s="907"/>
      <c r="BV284" s="907"/>
      <c r="BW284" s="907"/>
      <c r="BX284" s="907"/>
      <c r="BY284" s="907"/>
      <c r="BZ284" s="907"/>
      <c r="CA284" s="907"/>
      <c r="CB284" s="907"/>
      <c r="CC284" s="907"/>
      <c r="CD284" s="907"/>
      <c r="CE284" s="907"/>
      <c r="CF284" s="907"/>
      <c r="CG284" s="907"/>
      <c r="CH284" s="907"/>
      <c r="CI284" s="907"/>
      <c r="CJ284" s="907"/>
      <c r="CK284" s="907"/>
      <c r="CL284" s="907"/>
      <c r="CM284" s="907"/>
      <c r="CN284" s="907"/>
      <c r="CO284" s="907"/>
      <c r="CP284" s="907"/>
      <c r="CQ284" s="907"/>
      <c r="CR284" s="907"/>
      <c r="CS284" s="907"/>
      <c r="CT284" s="907"/>
      <c r="CU284" s="907"/>
      <c r="CV284" s="907"/>
      <c r="CW284" s="907"/>
      <c r="CX284" s="907"/>
      <c r="CY284" s="907"/>
      <c r="CZ284" s="907"/>
      <c r="DA284" s="907"/>
      <c r="DB284" s="907"/>
      <c r="DC284" s="907"/>
      <c r="DD284" s="907"/>
      <c r="DE284" s="907"/>
      <c r="DF284" s="907"/>
      <c r="DG284" s="907"/>
      <c r="DH284" s="907"/>
      <c r="DI284" s="907"/>
      <c r="DJ284" s="907"/>
      <c r="DK284" s="907"/>
      <c r="DL284" s="907"/>
      <c r="DM284" s="907"/>
      <c r="DN284" s="907"/>
      <c r="DO284" s="907"/>
      <c r="DP284" s="907"/>
      <c r="DQ284" s="907"/>
      <c r="DR284" s="907"/>
      <c r="DS284" s="907"/>
      <c r="DT284" s="907"/>
      <c r="DU284" s="907"/>
      <c r="DV284" s="907"/>
      <c r="DW284" s="907"/>
      <c r="DX284" s="907"/>
      <c r="DY284" s="907"/>
      <c r="DZ284" s="907"/>
      <c r="EA284" s="907"/>
      <c r="EB284" s="907"/>
      <c r="EC284" s="907"/>
      <c r="ED284" s="907"/>
      <c r="EE284" s="907"/>
      <c r="EF284" s="907"/>
      <c r="EG284" s="907"/>
      <c r="EH284" s="907"/>
      <c r="EI284" s="907"/>
      <c r="EJ284" s="907"/>
      <c r="EK284" s="907"/>
      <c r="EL284" s="907"/>
      <c r="EM284" s="907"/>
      <c r="EN284" s="907"/>
      <c r="EO284" s="907"/>
      <c r="EP284" s="907"/>
      <c r="EQ284" s="907"/>
      <c r="ER284" s="907"/>
      <c r="ES284" s="907"/>
      <c r="ET284" s="907"/>
      <c r="EU284" s="907"/>
      <c r="EV284" s="907"/>
      <c r="EW284" s="907"/>
      <c r="EX284" s="907"/>
      <c r="EY284" s="907"/>
      <c r="EZ284" s="907"/>
      <c r="FA284" s="907"/>
      <c r="FB284" s="907"/>
      <c r="FC284" s="907"/>
      <c r="FD284" s="907"/>
      <c r="FE284" s="907"/>
      <c r="FF284" s="907"/>
      <c r="FG284" s="907"/>
      <c r="FH284" s="907"/>
      <c r="FI284" s="907"/>
      <c r="FJ284" s="907"/>
      <c r="FK284" s="907"/>
      <c r="FL284" s="907"/>
      <c r="FM284" s="907"/>
      <c r="FN284" s="907"/>
      <c r="FO284" s="907"/>
      <c r="FP284" s="907"/>
      <c r="FQ284" s="907"/>
      <c r="FR284" s="907"/>
      <c r="FS284" s="907"/>
      <c r="FT284" s="907"/>
      <c r="FU284" s="907"/>
      <c r="FV284" s="907"/>
      <c r="FW284" s="907"/>
      <c r="FX284" s="907"/>
      <c r="FY284" s="907"/>
      <c r="FZ284" s="907"/>
      <c r="GA284" s="907"/>
      <c r="GB284" s="907"/>
      <c r="GC284" s="907"/>
      <c r="GD284" s="907"/>
      <c r="GE284" s="907"/>
      <c r="GF284" s="907"/>
      <c r="GG284" s="907"/>
      <c r="GH284" s="907"/>
      <c r="GI284" s="907"/>
      <c r="GJ284" s="907"/>
      <c r="GK284" s="907"/>
      <c r="GL284" s="907"/>
      <c r="GM284" s="907"/>
      <c r="GN284" s="907"/>
      <c r="GO284" s="907"/>
      <c r="GP284" s="907"/>
      <c r="GQ284" s="907"/>
      <c r="GR284" s="907"/>
      <c r="GS284" s="907"/>
      <c r="GT284" s="907"/>
      <c r="GU284" s="907"/>
      <c r="GV284" s="907"/>
      <c r="GW284" s="907"/>
      <c r="GX284" s="907"/>
      <c r="GY284" s="907"/>
      <c r="GZ284" s="907"/>
      <c r="HA284" s="907"/>
      <c r="HB284" s="907"/>
      <c r="HC284" s="907"/>
      <c r="HD284" s="907"/>
      <c r="HE284" s="907"/>
      <c r="HF284" s="907"/>
      <c r="HG284" s="907"/>
      <c r="HH284" s="907"/>
      <c r="HI284" s="907"/>
      <c r="HJ284" s="907"/>
      <c r="HK284" s="907"/>
      <c r="HL284" s="907"/>
      <c r="HM284" s="907"/>
      <c r="HN284" s="907"/>
      <c r="HO284" s="907"/>
      <c r="HP284" s="907"/>
      <c r="HQ284" s="907"/>
      <c r="HR284" s="907"/>
      <c r="HS284" s="907"/>
      <c r="HT284" s="907"/>
      <c r="HU284" s="907"/>
      <c r="HV284" s="907"/>
      <c r="HW284" s="907"/>
      <c r="HX284" s="907"/>
      <c r="HY284" s="907"/>
      <c r="HZ284" s="907"/>
      <c r="IA284" s="907"/>
      <c r="IB284" s="907"/>
      <c r="IC284" s="907"/>
      <c r="ID284" s="907"/>
      <c r="IE284" s="907"/>
      <c r="IF284" s="907"/>
      <c r="IG284" s="907"/>
      <c r="IH284" s="907"/>
      <c r="II284" s="907"/>
      <c r="IJ284" s="907"/>
      <c r="IK284" s="907"/>
      <c r="IL284" s="907"/>
      <c r="IM284" s="907"/>
      <c r="IN284" s="907"/>
      <c r="IO284" s="907"/>
      <c r="IP284" s="907"/>
    </row>
    <row r="285" spans="1:250" ht="12">
      <c r="A285" s="941"/>
      <c r="Y285" s="907"/>
      <c r="Z285" s="907"/>
      <c r="AA285" s="907"/>
      <c r="AB285" s="907"/>
      <c r="AC285" s="907"/>
      <c r="AD285" s="907"/>
      <c r="AE285" s="907"/>
      <c r="AF285" s="907"/>
      <c r="AG285" s="907"/>
      <c r="AH285" s="907"/>
      <c r="AI285" s="907"/>
      <c r="AJ285" s="907"/>
      <c r="AK285" s="907"/>
      <c r="AL285" s="907"/>
      <c r="AM285" s="907"/>
      <c r="AN285" s="907"/>
      <c r="AO285" s="907"/>
      <c r="AP285" s="907"/>
      <c r="AQ285" s="907"/>
      <c r="AR285" s="907"/>
      <c r="AS285" s="907"/>
      <c r="AT285" s="907"/>
      <c r="AU285" s="907"/>
      <c r="AV285" s="907"/>
      <c r="AW285" s="907"/>
      <c r="AX285" s="907"/>
      <c r="AY285" s="907"/>
      <c r="AZ285" s="907"/>
      <c r="BA285" s="907"/>
      <c r="BB285" s="907"/>
      <c r="BC285" s="907"/>
      <c r="BD285" s="907"/>
      <c r="BE285" s="907"/>
      <c r="BF285" s="907"/>
      <c r="BG285" s="907"/>
      <c r="BH285" s="907"/>
      <c r="BI285" s="907"/>
      <c r="BJ285" s="907"/>
      <c r="BK285" s="907"/>
      <c r="BL285" s="907"/>
      <c r="BM285" s="907"/>
      <c r="BN285" s="907"/>
      <c r="BO285" s="907"/>
      <c r="BP285" s="907"/>
      <c r="BQ285" s="907"/>
      <c r="BR285" s="907"/>
      <c r="BS285" s="907"/>
      <c r="BT285" s="907"/>
      <c r="BU285" s="907"/>
      <c r="BV285" s="907"/>
      <c r="BW285" s="907"/>
      <c r="BX285" s="907"/>
      <c r="BY285" s="907"/>
      <c r="BZ285" s="907"/>
      <c r="CA285" s="907"/>
      <c r="CB285" s="907"/>
      <c r="CC285" s="907"/>
      <c r="CD285" s="907"/>
      <c r="CE285" s="907"/>
      <c r="CF285" s="907"/>
      <c r="CG285" s="907"/>
      <c r="CH285" s="907"/>
      <c r="CI285" s="907"/>
      <c r="CJ285" s="907"/>
      <c r="CK285" s="907"/>
      <c r="CL285" s="907"/>
      <c r="CM285" s="907"/>
      <c r="CN285" s="907"/>
      <c r="CO285" s="907"/>
      <c r="CP285" s="907"/>
      <c r="CQ285" s="907"/>
      <c r="CR285" s="907"/>
      <c r="CS285" s="907"/>
      <c r="CT285" s="907"/>
      <c r="CU285" s="907"/>
      <c r="CV285" s="907"/>
      <c r="CW285" s="907"/>
      <c r="CX285" s="907"/>
      <c r="CY285" s="907"/>
      <c r="CZ285" s="907"/>
      <c r="DA285" s="907"/>
      <c r="DB285" s="907"/>
      <c r="DC285" s="907"/>
      <c r="DD285" s="907"/>
      <c r="DE285" s="907"/>
      <c r="DF285" s="907"/>
      <c r="DG285" s="907"/>
      <c r="DH285" s="907"/>
      <c r="DI285" s="907"/>
      <c r="DJ285" s="907"/>
      <c r="DK285" s="907"/>
      <c r="DL285" s="907"/>
      <c r="DM285" s="907"/>
      <c r="DN285" s="907"/>
      <c r="DO285" s="907"/>
      <c r="DP285" s="907"/>
      <c r="DQ285" s="907"/>
      <c r="DR285" s="907"/>
      <c r="DS285" s="907"/>
      <c r="DT285" s="907"/>
      <c r="DU285" s="907"/>
      <c r="DV285" s="907"/>
      <c r="DW285" s="907"/>
      <c r="DX285" s="907"/>
      <c r="DY285" s="907"/>
      <c r="DZ285" s="907"/>
      <c r="EA285" s="907"/>
      <c r="EB285" s="907"/>
      <c r="EC285" s="907"/>
      <c r="ED285" s="907"/>
      <c r="EE285" s="907"/>
      <c r="EF285" s="907"/>
      <c r="EG285" s="907"/>
      <c r="EH285" s="907"/>
      <c r="EI285" s="907"/>
      <c r="EJ285" s="907"/>
      <c r="EK285" s="907"/>
      <c r="EL285" s="907"/>
      <c r="EM285" s="907"/>
      <c r="EN285" s="907"/>
      <c r="EO285" s="907"/>
      <c r="EP285" s="907"/>
      <c r="EQ285" s="907"/>
      <c r="ER285" s="907"/>
      <c r="ES285" s="907"/>
      <c r="ET285" s="907"/>
      <c r="EU285" s="907"/>
      <c r="EV285" s="907"/>
      <c r="EW285" s="907"/>
      <c r="EX285" s="907"/>
      <c r="EY285" s="907"/>
      <c r="EZ285" s="907"/>
      <c r="FA285" s="907"/>
      <c r="FB285" s="907"/>
      <c r="FC285" s="907"/>
      <c r="FD285" s="907"/>
      <c r="FE285" s="907"/>
      <c r="FF285" s="907"/>
      <c r="FG285" s="907"/>
      <c r="FH285" s="907"/>
      <c r="FI285" s="907"/>
      <c r="FJ285" s="907"/>
      <c r="FK285" s="907"/>
      <c r="FL285" s="907"/>
      <c r="FM285" s="907"/>
      <c r="FN285" s="907"/>
      <c r="FO285" s="907"/>
      <c r="FP285" s="907"/>
      <c r="FQ285" s="907"/>
      <c r="FR285" s="907"/>
      <c r="FS285" s="907"/>
      <c r="FT285" s="907"/>
      <c r="FU285" s="907"/>
      <c r="FV285" s="907"/>
      <c r="FW285" s="907"/>
      <c r="FX285" s="907"/>
      <c r="FY285" s="907"/>
      <c r="FZ285" s="907"/>
      <c r="GA285" s="907"/>
      <c r="GB285" s="907"/>
      <c r="GC285" s="907"/>
      <c r="GD285" s="907"/>
      <c r="GE285" s="907"/>
      <c r="GF285" s="907"/>
      <c r="GG285" s="907"/>
      <c r="GH285" s="907"/>
      <c r="GI285" s="907"/>
      <c r="GJ285" s="907"/>
      <c r="GK285" s="907"/>
      <c r="GL285" s="907"/>
      <c r="GM285" s="907"/>
      <c r="GN285" s="907"/>
      <c r="GO285" s="907"/>
      <c r="GP285" s="907"/>
      <c r="GQ285" s="907"/>
      <c r="GR285" s="907"/>
      <c r="GS285" s="907"/>
      <c r="GT285" s="907"/>
      <c r="GU285" s="907"/>
      <c r="GV285" s="907"/>
      <c r="GW285" s="907"/>
      <c r="GX285" s="907"/>
      <c r="GY285" s="907"/>
      <c r="GZ285" s="907"/>
      <c r="HA285" s="907"/>
      <c r="HB285" s="907"/>
      <c r="HC285" s="907"/>
      <c r="HD285" s="907"/>
      <c r="HE285" s="907"/>
      <c r="HF285" s="907"/>
      <c r="HG285" s="907"/>
      <c r="HH285" s="907"/>
      <c r="HI285" s="907"/>
      <c r="HJ285" s="907"/>
      <c r="HK285" s="907"/>
      <c r="HL285" s="907"/>
      <c r="HM285" s="907"/>
      <c r="HN285" s="907"/>
      <c r="HO285" s="907"/>
      <c r="HP285" s="907"/>
      <c r="HQ285" s="907"/>
      <c r="HR285" s="907"/>
      <c r="HS285" s="907"/>
      <c r="HT285" s="907"/>
      <c r="HU285" s="907"/>
      <c r="HV285" s="907"/>
      <c r="HW285" s="907"/>
      <c r="HX285" s="907"/>
      <c r="HY285" s="907"/>
      <c r="HZ285" s="907"/>
      <c r="IA285" s="907"/>
      <c r="IB285" s="907"/>
      <c r="IC285" s="907"/>
      <c r="ID285" s="907"/>
      <c r="IE285" s="907"/>
      <c r="IF285" s="907"/>
      <c r="IG285" s="907"/>
      <c r="IH285" s="907"/>
      <c r="II285" s="907"/>
      <c r="IJ285" s="907"/>
      <c r="IK285" s="907"/>
      <c r="IL285" s="907"/>
      <c r="IM285" s="907"/>
      <c r="IN285" s="907"/>
      <c r="IO285" s="907"/>
      <c r="IP285" s="907"/>
    </row>
    <row r="286" spans="1:250" ht="12">
      <c r="A286" s="941"/>
      <c r="Y286" s="907"/>
      <c r="Z286" s="907"/>
      <c r="AA286" s="907"/>
      <c r="AB286" s="907"/>
      <c r="AC286" s="907"/>
      <c r="AD286" s="907"/>
      <c r="AE286" s="907"/>
      <c r="AF286" s="907"/>
      <c r="AG286" s="907"/>
      <c r="AH286" s="907"/>
      <c r="AI286" s="907"/>
      <c r="AJ286" s="907"/>
      <c r="AK286" s="907"/>
      <c r="AL286" s="907"/>
      <c r="AM286" s="907"/>
      <c r="AN286" s="907"/>
      <c r="AO286" s="907"/>
      <c r="AP286" s="907"/>
      <c r="AQ286" s="907"/>
      <c r="AR286" s="907"/>
      <c r="AS286" s="907"/>
      <c r="AT286" s="907"/>
      <c r="AU286" s="907"/>
      <c r="AV286" s="907"/>
      <c r="AW286" s="907"/>
      <c r="AX286" s="907"/>
      <c r="AY286" s="907"/>
      <c r="AZ286" s="907"/>
      <c r="BA286" s="907"/>
      <c r="BB286" s="907"/>
      <c r="BC286" s="907"/>
      <c r="BD286" s="907"/>
      <c r="BE286" s="907"/>
      <c r="BF286" s="907"/>
      <c r="BG286" s="907"/>
      <c r="BH286" s="907"/>
      <c r="BI286" s="907"/>
      <c r="BJ286" s="907"/>
      <c r="BK286" s="907"/>
      <c r="BL286" s="907"/>
      <c r="BM286" s="907"/>
      <c r="BN286" s="907"/>
      <c r="BO286" s="907"/>
      <c r="BP286" s="907"/>
      <c r="BQ286" s="907"/>
      <c r="BR286" s="907"/>
      <c r="BS286" s="907"/>
      <c r="BT286" s="907"/>
      <c r="BU286" s="907"/>
      <c r="BV286" s="907"/>
      <c r="BW286" s="907"/>
      <c r="BX286" s="907"/>
      <c r="BY286" s="907"/>
      <c r="BZ286" s="907"/>
      <c r="CA286" s="907"/>
      <c r="CB286" s="907"/>
      <c r="CC286" s="907"/>
      <c r="CD286" s="907"/>
      <c r="CE286" s="907"/>
      <c r="CF286" s="907"/>
      <c r="CG286" s="907"/>
      <c r="CH286" s="907"/>
      <c r="CI286" s="907"/>
      <c r="CJ286" s="907"/>
      <c r="CK286" s="907"/>
      <c r="CL286" s="907"/>
      <c r="CM286" s="907"/>
      <c r="CN286" s="907"/>
      <c r="CO286" s="907"/>
      <c r="CP286" s="907"/>
      <c r="CQ286" s="907"/>
      <c r="CR286" s="907"/>
      <c r="CS286" s="907"/>
      <c r="CT286" s="907"/>
      <c r="CU286" s="907"/>
      <c r="CV286" s="907"/>
      <c r="CW286" s="907"/>
      <c r="CX286" s="907"/>
      <c r="CY286" s="907"/>
      <c r="CZ286" s="907"/>
      <c r="DA286" s="907"/>
      <c r="DB286" s="907"/>
      <c r="DC286" s="907"/>
      <c r="DD286" s="907"/>
      <c r="DE286" s="907"/>
      <c r="DF286" s="907"/>
      <c r="DG286" s="907"/>
      <c r="DH286" s="907"/>
      <c r="DI286" s="907"/>
      <c r="DJ286" s="907"/>
      <c r="DK286" s="907"/>
      <c r="DL286" s="907"/>
      <c r="DM286" s="907"/>
      <c r="DN286" s="907"/>
      <c r="DO286" s="907"/>
      <c r="DP286" s="907"/>
      <c r="DQ286" s="907"/>
      <c r="DR286" s="907"/>
      <c r="DS286" s="907"/>
      <c r="DT286" s="907"/>
      <c r="DU286" s="907"/>
      <c r="DV286" s="907"/>
      <c r="DW286" s="907"/>
      <c r="DX286" s="907"/>
      <c r="DY286" s="907"/>
      <c r="DZ286" s="907"/>
      <c r="EA286" s="907"/>
      <c r="EB286" s="907"/>
      <c r="EC286" s="907"/>
      <c r="ED286" s="907"/>
      <c r="EE286" s="907"/>
      <c r="EF286" s="907"/>
      <c r="EG286" s="907"/>
      <c r="EH286" s="907"/>
      <c r="EI286" s="907"/>
      <c r="EJ286" s="907"/>
      <c r="EK286" s="907"/>
      <c r="EL286" s="907"/>
      <c r="EM286" s="907"/>
      <c r="EN286" s="907"/>
      <c r="EO286" s="907"/>
      <c r="EP286" s="907"/>
      <c r="EQ286" s="907"/>
      <c r="ER286" s="907"/>
      <c r="ES286" s="907"/>
      <c r="ET286" s="907"/>
      <c r="EU286" s="907"/>
      <c r="EV286" s="907"/>
      <c r="EW286" s="907"/>
      <c r="EX286" s="907"/>
      <c r="EY286" s="907"/>
      <c r="EZ286" s="907"/>
      <c r="FA286" s="907"/>
      <c r="FB286" s="907"/>
      <c r="FC286" s="907"/>
      <c r="FD286" s="907"/>
      <c r="FE286" s="907"/>
      <c r="FF286" s="907"/>
      <c r="FG286" s="907"/>
      <c r="FH286" s="907"/>
      <c r="FI286" s="907"/>
      <c r="FJ286" s="907"/>
      <c r="FK286" s="907"/>
      <c r="FL286" s="907"/>
      <c r="FM286" s="907"/>
      <c r="FN286" s="907"/>
      <c r="FO286" s="907"/>
      <c r="FP286" s="907"/>
      <c r="FQ286" s="907"/>
      <c r="FR286" s="907"/>
      <c r="FS286" s="907"/>
      <c r="FT286" s="907"/>
      <c r="FU286" s="907"/>
      <c r="FV286" s="907"/>
      <c r="FW286" s="907"/>
      <c r="FX286" s="907"/>
      <c r="FY286" s="907"/>
      <c r="FZ286" s="907"/>
      <c r="GA286" s="907"/>
      <c r="GB286" s="907"/>
      <c r="GC286" s="907"/>
      <c r="GD286" s="907"/>
      <c r="GE286" s="907"/>
      <c r="GF286" s="907"/>
      <c r="GG286" s="907"/>
      <c r="GH286" s="907"/>
      <c r="GI286" s="907"/>
      <c r="GJ286" s="907"/>
      <c r="GK286" s="907"/>
      <c r="GL286" s="907"/>
      <c r="GM286" s="907"/>
      <c r="GN286" s="907"/>
      <c r="GO286" s="907"/>
      <c r="GP286" s="907"/>
      <c r="GQ286" s="907"/>
      <c r="GR286" s="907"/>
      <c r="GS286" s="907"/>
      <c r="GT286" s="907"/>
      <c r="GU286" s="907"/>
      <c r="GV286" s="907"/>
      <c r="GW286" s="907"/>
      <c r="GX286" s="907"/>
      <c r="GY286" s="907"/>
      <c r="GZ286" s="907"/>
      <c r="HA286" s="907"/>
      <c r="HB286" s="907"/>
      <c r="HC286" s="907"/>
      <c r="HD286" s="907"/>
      <c r="HE286" s="907"/>
      <c r="HF286" s="907"/>
      <c r="HG286" s="907"/>
      <c r="HH286" s="907"/>
      <c r="HI286" s="907"/>
      <c r="HJ286" s="907"/>
      <c r="HK286" s="907"/>
      <c r="HL286" s="907"/>
      <c r="HM286" s="907"/>
      <c r="HN286" s="907"/>
      <c r="HO286" s="907"/>
      <c r="HP286" s="907"/>
      <c r="HQ286" s="907"/>
      <c r="HR286" s="907"/>
      <c r="HS286" s="907"/>
      <c r="HT286" s="907"/>
      <c r="HU286" s="907"/>
      <c r="HV286" s="907"/>
      <c r="HW286" s="907"/>
      <c r="HX286" s="907"/>
      <c r="HY286" s="907"/>
      <c r="HZ286" s="907"/>
      <c r="IA286" s="907"/>
      <c r="IB286" s="907"/>
      <c r="IC286" s="907"/>
      <c r="ID286" s="907"/>
      <c r="IE286" s="907"/>
      <c r="IF286" s="907"/>
      <c r="IG286" s="907"/>
      <c r="IH286" s="907"/>
      <c r="II286" s="907"/>
      <c r="IJ286" s="907"/>
      <c r="IK286" s="907"/>
      <c r="IL286" s="907"/>
      <c r="IM286" s="907"/>
      <c r="IN286" s="907"/>
      <c r="IO286" s="907"/>
      <c r="IP286" s="907"/>
    </row>
    <row r="287" spans="1:250" ht="12">
      <c r="A287" s="941"/>
      <c r="Y287" s="907"/>
      <c r="Z287" s="907"/>
      <c r="AA287" s="907"/>
      <c r="AB287" s="907"/>
      <c r="AC287" s="907"/>
      <c r="AD287" s="907"/>
      <c r="AE287" s="907"/>
      <c r="AF287" s="907"/>
      <c r="AG287" s="907"/>
      <c r="AH287" s="907"/>
      <c r="AI287" s="907"/>
      <c r="AJ287" s="907"/>
      <c r="AK287" s="907"/>
      <c r="AL287" s="907"/>
      <c r="AM287" s="907"/>
      <c r="AN287" s="907"/>
      <c r="AO287" s="907"/>
      <c r="AP287" s="907"/>
      <c r="AQ287" s="907"/>
      <c r="AR287" s="907"/>
      <c r="AS287" s="907"/>
      <c r="AT287" s="907"/>
      <c r="AU287" s="907"/>
      <c r="AV287" s="907"/>
      <c r="AW287" s="907"/>
      <c r="AX287" s="907"/>
      <c r="AY287" s="907"/>
      <c r="AZ287" s="907"/>
      <c r="BA287" s="907"/>
      <c r="BB287" s="907"/>
      <c r="BC287" s="907"/>
      <c r="BD287" s="907"/>
      <c r="BE287" s="907"/>
      <c r="BF287" s="907"/>
      <c r="BG287" s="907"/>
      <c r="BH287" s="907"/>
      <c r="BI287" s="907"/>
      <c r="BJ287" s="907"/>
      <c r="BK287" s="907"/>
      <c r="BL287" s="907"/>
      <c r="BM287" s="907"/>
      <c r="BN287" s="907"/>
      <c r="BO287" s="907"/>
      <c r="BP287" s="907"/>
      <c r="BQ287" s="907"/>
      <c r="BR287" s="907"/>
      <c r="BS287" s="907"/>
      <c r="BT287" s="907"/>
      <c r="BU287" s="907"/>
      <c r="BV287" s="907"/>
      <c r="BW287" s="907"/>
      <c r="BX287" s="907"/>
      <c r="BY287" s="907"/>
      <c r="BZ287" s="907"/>
      <c r="CA287" s="907"/>
      <c r="CB287" s="907"/>
      <c r="CC287" s="907"/>
      <c r="CD287" s="907"/>
      <c r="CE287" s="907"/>
      <c r="CF287" s="907"/>
      <c r="CG287" s="907"/>
      <c r="CH287" s="907"/>
      <c r="CI287" s="907"/>
      <c r="CJ287" s="907"/>
      <c r="CK287" s="907"/>
      <c r="CL287" s="907"/>
      <c r="CM287" s="907"/>
      <c r="CN287" s="907"/>
      <c r="CO287" s="907"/>
      <c r="CP287" s="907"/>
      <c r="CQ287" s="907"/>
      <c r="CR287" s="907"/>
      <c r="CS287" s="907"/>
      <c r="CT287" s="907"/>
      <c r="CU287" s="907"/>
      <c r="CV287" s="907"/>
      <c r="CW287" s="907"/>
      <c r="CX287" s="907"/>
      <c r="CY287" s="907"/>
      <c r="CZ287" s="907"/>
      <c r="DA287" s="907"/>
      <c r="DB287" s="907"/>
      <c r="DC287" s="907"/>
      <c r="DD287" s="907"/>
      <c r="DE287" s="907"/>
      <c r="DF287" s="907"/>
      <c r="DG287" s="907"/>
      <c r="DH287" s="907"/>
      <c r="DI287" s="907"/>
      <c r="DJ287" s="907"/>
      <c r="DK287" s="907"/>
      <c r="DL287" s="907"/>
      <c r="DM287" s="907"/>
      <c r="DN287" s="907"/>
      <c r="DO287" s="907"/>
      <c r="DP287" s="907"/>
      <c r="DQ287" s="907"/>
      <c r="DR287" s="907"/>
      <c r="DS287" s="907"/>
      <c r="DT287" s="907"/>
      <c r="DU287" s="907"/>
      <c r="DV287" s="907"/>
      <c r="DW287" s="907"/>
      <c r="DX287" s="907"/>
      <c r="DY287" s="907"/>
      <c r="DZ287" s="907"/>
      <c r="EA287" s="907"/>
      <c r="EB287" s="907"/>
      <c r="EC287" s="907"/>
      <c r="ED287" s="907"/>
      <c r="EE287" s="907"/>
      <c r="EF287" s="907"/>
      <c r="EG287" s="907"/>
      <c r="EH287" s="907"/>
      <c r="EI287" s="907"/>
      <c r="EJ287" s="907"/>
      <c r="EK287" s="907"/>
      <c r="EL287" s="907"/>
      <c r="EM287" s="907"/>
      <c r="EN287" s="907"/>
      <c r="EO287" s="907"/>
      <c r="EP287" s="907"/>
      <c r="EQ287" s="907"/>
      <c r="ER287" s="907"/>
      <c r="ES287" s="907"/>
      <c r="ET287" s="907"/>
      <c r="EU287" s="907"/>
      <c r="EV287" s="907"/>
      <c r="EW287" s="907"/>
      <c r="EX287" s="907"/>
      <c r="EY287" s="907"/>
      <c r="EZ287" s="907"/>
      <c r="FA287" s="907"/>
      <c r="FB287" s="907"/>
      <c r="FC287" s="907"/>
      <c r="FD287" s="907"/>
      <c r="FE287" s="907"/>
      <c r="FF287" s="907"/>
      <c r="FG287" s="907"/>
      <c r="FH287" s="907"/>
      <c r="FI287" s="907"/>
      <c r="FJ287" s="907"/>
      <c r="FK287" s="907"/>
      <c r="FL287" s="907"/>
      <c r="FM287" s="907"/>
      <c r="FN287" s="907"/>
      <c r="FO287" s="907"/>
      <c r="FP287" s="907"/>
      <c r="FQ287" s="907"/>
      <c r="FR287" s="907"/>
      <c r="FS287" s="907"/>
      <c r="FT287" s="907"/>
      <c r="FU287" s="907"/>
      <c r="FV287" s="907"/>
      <c r="FW287" s="907"/>
      <c r="FX287" s="907"/>
      <c r="FY287" s="907"/>
      <c r="FZ287" s="907"/>
      <c r="GA287" s="907"/>
      <c r="GB287" s="907"/>
      <c r="GC287" s="907"/>
      <c r="GD287" s="907"/>
      <c r="GE287" s="907"/>
      <c r="GF287" s="907"/>
      <c r="GG287" s="907"/>
      <c r="GH287" s="907"/>
      <c r="GI287" s="907"/>
      <c r="GJ287" s="907"/>
      <c r="GK287" s="907"/>
      <c r="GL287" s="907"/>
      <c r="GM287" s="907"/>
      <c r="GN287" s="907"/>
      <c r="GO287" s="907"/>
      <c r="GP287" s="907"/>
      <c r="GQ287" s="907"/>
      <c r="GR287" s="907"/>
      <c r="GS287" s="907"/>
      <c r="GT287" s="907"/>
      <c r="GU287" s="907"/>
      <c r="GV287" s="907"/>
      <c r="GW287" s="907"/>
      <c r="GX287" s="907"/>
      <c r="GY287" s="907"/>
      <c r="GZ287" s="907"/>
      <c r="HA287" s="907"/>
      <c r="HB287" s="907"/>
      <c r="HC287" s="907"/>
      <c r="HD287" s="907"/>
      <c r="HE287" s="907"/>
      <c r="HF287" s="907"/>
      <c r="HG287" s="907"/>
      <c r="HH287" s="907"/>
      <c r="HI287" s="907"/>
      <c r="HJ287" s="907"/>
      <c r="HK287" s="907"/>
      <c r="HL287" s="907"/>
      <c r="HM287" s="907"/>
      <c r="HN287" s="907"/>
      <c r="HO287" s="907"/>
      <c r="HP287" s="907"/>
      <c r="HQ287" s="907"/>
      <c r="HR287" s="907"/>
      <c r="HS287" s="907"/>
      <c r="HT287" s="907"/>
      <c r="HU287" s="907"/>
      <c r="HV287" s="907"/>
      <c r="HW287" s="907"/>
      <c r="HX287" s="907"/>
      <c r="HY287" s="907"/>
      <c r="HZ287" s="907"/>
      <c r="IA287" s="907"/>
      <c r="IB287" s="907"/>
      <c r="IC287" s="907"/>
      <c r="ID287" s="907"/>
      <c r="IE287" s="907"/>
      <c r="IF287" s="907"/>
      <c r="IG287" s="907"/>
      <c r="IH287" s="907"/>
      <c r="II287" s="907"/>
      <c r="IJ287" s="907"/>
      <c r="IK287" s="907"/>
      <c r="IL287" s="907"/>
      <c r="IM287" s="907"/>
      <c r="IN287" s="907"/>
      <c r="IO287" s="907"/>
      <c r="IP287" s="907"/>
    </row>
    <row r="288" spans="1:250" ht="12">
      <c r="A288" s="941"/>
      <c r="Y288" s="907"/>
      <c r="Z288" s="907"/>
      <c r="AA288" s="907"/>
      <c r="AB288" s="907"/>
      <c r="AC288" s="907"/>
      <c r="AD288" s="907"/>
      <c r="AE288" s="907"/>
      <c r="AF288" s="907"/>
      <c r="AG288" s="907"/>
      <c r="AH288" s="907"/>
      <c r="AI288" s="907"/>
      <c r="AJ288" s="907"/>
      <c r="AK288" s="907"/>
      <c r="AL288" s="907"/>
      <c r="AM288" s="907"/>
      <c r="AN288" s="907"/>
      <c r="AO288" s="907"/>
      <c r="AP288" s="907"/>
      <c r="AQ288" s="907"/>
      <c r="AR288" s="907"/>
      <c r="AS288" s="907"/>
      <c r="AT288" s="907"/>
      <c r="AU288" s="907"/>
      <c r="AV288" s="907"/>
      <c r="AW288" s="907"/>
      <c r="AX288" s="907"/>
      <c r="AY288" s="907"/>
      <c r="AZ288" s="907"/>
      <c r="BA288" s="907"/>
      <c r="BB288" s="907"/>
      <c r="BC288" s="907"/>
      <c r="BD288" s="907"/>
      <c r="BE288" s="907"/>
      <c r="BF288" s="907"/>
      <c r="BG288" s="907"/>
      <c r="BH288" s="907"/>
      <c r="BI288" s="907"/>
      <c r="BJ288" s="907"/>
      <c r="BK288" s="907"/>
      <c r="BL288" s="907"/>
      <c r="BM288" s="907"/>
      <c r="BN288" s="907"/>
      <c r="BO288" s="907"/>
      <c r="BP288" s="907"/>
      <c r="BQ288" s="907"/>
      <c r="BR288" s="907"/>
      <c r="BS288" s="907"/>
      <c r="BT288" s="907"/>
      <c r="BU288" s="907"/>
      <c r="BV288" s="907"/>
      <c r="BW288" s="907"/>
      <c r="BX288" s="907"/>
      <c r="BY288" s="907"/>
      <c r="BZ288" s="907"/>
      <c r="CA288" s="907"/>
      <c r="CB288" s="907"/>
      <c r="CC288" s="907"/>
      <c r="CD288" s="907"/>
      <c r="CE288" s="907"/>
      <c r="CF288" s="907"/>
      <c r="CG288" s="907"/>
      <c r="CH288" s="907"/>
      <c r="CI288" s="907"/>
      <c r="CJ288" s="907"/>
      <c r="CK288" s="907"/>
      <c r="CL288" s="907"/>
      <c r="CM288" s="907"/>
      <c r="CN288" s="907"/>
      <c r="CO288" s="907"/>
      <c r="CP288" s="907"/>
      <c r="CQ288" s="907"/>
      <c r="CR288" s="907"/>
      <c r="CS288" s="907"/>
      <c r="CT288" s="907"/>
      <c r="CU288" s="907"/>
      <c r="CV288" s="907"/>
      <c r="CW288" s="907"/>
      <c r="CX288" s="907"/>
      <c r="CY288" s="907"/>
      <c r="CZ288" s="907"/>
      <c r="DA288" s="907"/>
      <c r="DB288" s="907"/>
      <c r="DC288" s="907"/>
      <c r="DD288" s="907"/>
      <c r="DE288" s="907"/>
      <c r="DF288" s="907"/>
      <c r="DG288" s="907"/>
      <c r="DH288" s="907"/>
      <c r="DI288" s="907"/>
      <c r="DJ288" s="907"/>
      <c r="DK288" s="907"/>
      <c r="DL288" s="907"/>
      <c r="DM288" s="907"/>
      <c r="DN288" s="907"/>
      <c r="DO288" s="907"/>
      <c r="DP288" s="907"/>
      <c r="DQ288" s="907"/>
      <c r="DR288" s="907"/>
      <c r="DS288" s="907"/>
      <c r="DT288" s="907"/>
      <c r="DU288" s="907"/>
      <c r="DV288" s="907"/>
      <c r="DW288" s="907"/>
      <c r="DX288" s="907"/>
      <c r="DY288" s="907"/>
      <c r="DZ288" s="907"/>
      <c r="EA288" s="907"/>
      <c r="EB288" s="907"/>
      <c r="EC288" s="907"/>
      <c r="ED288" s="907"/>
      <c r="EE288" s="907"/>
      <c r="EF288" s="907"/>
      <c r="EG288" s="907"/>
      <c r="EH288" s="907"/>
      <c r="EI288" s="907"/>
      <c r="EJ288" s="907"/>
      <c r="EK288" s="907"/>
      <c r="EL288" s="907"/>
      <c r="EM288" s="907"/>
      <c r="EN288" s="907"/>
      <c r="EO288" s="907"/>
      <c r="EP288" s="907"/>
      <c r="EQ288" s="907"/>
      <c r="ER288" s="907"/>
      <c r="ES288" s="907"/>
      <c r="ET288" s="907"/>
      <c r="EU288" s="907"/>
      <c r="EV288" s="907"/>
      <c r="EW288" s="907"/>
      <c r="EX288" s="907"/>
      <c r="EY288" s="907"/>
      <c r="EZ288" s="907"/>
      <c r="FA288" s="907"/>
      <c r="FB288" s="907"/>
      <c r="FC288" s="907"/>
      <c r="FD288" s="907"/>
      <c r="FE288" s="907"/>
      <c r="FF288" s="907"/>
      <c r="FG288" s="907"/>
      <c r="FH288" s="907"/>
      <c r="FI288" s="907"/>
      <c r="FJ288" s="907"/>
      <c r="FK288" s="907"/>
      <c r="FL288" s="907"/>
      <c r="FM288" s="907"/>
      <c r="FN288" s="907"/>
      <c r="FO288" s="907"/>
      <c r="FP288" s="907"/>
      <c r="FQ288" s="907"/>
      <c r="FR288" s="907"/>
      <c r="FS288" s="907"/>
      <c r="FT288" s="907"/>
      <c r="FU288" s="907"/>
      <c r="FV288" s="907"/>
      <c r="FW288" s="907"/>
      <c r="FX288" s="907"/>
      <c r="FY288" s="907"/>
      <c r="FZ288" s="907"/>
      <c r="GA288" s="907"/>
      <c r="GB288" s="907"/>
      <c r="GC288" s="907"/>
      <c r="GD288" s="907"/>
      <c r="GE288" s="907"/>
      <c r="GF288" s="907"/>
      <c r="GG288" s="907"/>
      <c r="GH288" s="907"/>
      <c r="GI288" s="907"/>
      <c r="GJ288" s="907"/>
      <c r="GK288" s="907"/>
      <c r="GL288" s="907"/>
      <c r="GM288" s="907"/>
      <c r="GN288" s="907"/>
      <c r="GO288" s="907"/>
      <c r="GP288" s="907"/>
      <c r="GQ288" s="907"/>
      <c r="GR288" s="907"/>
      <c r="GS288" s="907"/>
      <c r="GT288" s="907"/>
      <c r="GU288" s="907"/>
      <c r="GV288" s="907"/>
      <c r="GW288" s="907"/>
      <c r="GX288" s="907"/>
      <c r="GY288" s="907"/>
      <c r="GZ288" s="907"/>
      <c r="HA288" s="907"/>
      <c r="HB288" s="907"/>
      <c r="HC288" s="907"/>
      <c r="HD288" s="907"/>
      <c r="HE288" s="907"/>
      <c r="HF288" s="907"/>
      <c r="HG288" s="907"/>
      <c r="HH288" s="907"/>
      <c r="HI288" s="907"/>
      <c r="HJ288" s="907"/>
      <c r="HK288" s="907"/>
      <c r="HL288" s="907"/>
      <c r="HM288" s="907"/>
      <c r="HN288" s="907"/>
      <c r="HO288" s="907"/>
      <c r="HP288" s="907"/>
      <c r="HQ288" s="907"/>
      <c r="HR288" s="907"/>
      <c r="HS288" s="907"/>
      <c r="HT288" s="907"/>
      <c r="HU288" s="907"/>
      <c r="HV288" s="907"/>
      <c r="HW288" s="907"/>
      <c r="HX288" s="907"/>
      <c r="HY288" s="907"/>
      <c r="HZ288" s="907"/>
      <c r="IA288" s="907"/>
      <c r="IB288" s="907"/>
      <c r="IC288" s="907"/>
      <c r="ID288" s="907"/>
      <c r="IE288" s="907"/>
      <c r="IF288" s="907"/>
      <c r="IG288" s="907"/>
      <c r="IH288" s="907"/>
      <c r="II288" s="907"/>
      <c r="IJ288" s="907"/>
      <c r="IK288" s="907"/>
      <c r="IL288" s="907"/>
      <c r="IM288" s="907"/>
      <c r="IN288" s="907"/>
      <c r="IO288" s="907"/>
      <c r="IP288" s="907"/>
    </row>
    <row r="289" spans="1:1" s="907" customFormat="1" ht="12">
      <c r="A289" s="941"/>
    </row>
    <row r="290" spans="1:1" s="907" customFormat="1" ht="12">
      <c r="A290" s="941"/>
    </row>
    <row r="291" spans="1:1" s="907" customFormat="1" ht="12">
      <c r="A291" s="941"/>
    </row>
    <row r="292" spans="1:1" s="907" customFormat="1" ht="12">
      <c r="A292" s="941"/>
    </row>
    <row r="293" spans="1:1" s="907" customFormat="1" ht="12">
      <c r="A293" s="941"/>
    </row>
    <row r="294" spans="1:1" s="907" customFormat="1" ht="12">
      <c r="A294" s="941"/>
    </row>
    <row r="295" spans="1:1" s="907" customFormat="1" ht="12">
      <c r="A295" s="941"/>
    </row>
    <row r="296" spans="1:1" s="907" customFormat="1" ht="12">
      <c r="A296" s="941"/>
    </row>
    <row r="297" spans="1:1" s="907" customFormat="1" ht="12">
      <c r="A297" s="941"/>
    </row>
    <row r="298" spans="1:1" s="907" customFormat="1" ht="12">
      <c r="A298" s="941"/>
    </row>
    <row r="299" spans="1:1" s="907" customFormat="1" ht="12">
      <c r="A299" s="941"/>
    </row>
    <row r="300" spans="1:1" s="907" customFormat="1" ht="12">
      <c r="A300" s="941"/>
    </row>
    <row r="301" spans="1:1" s="907" customFormat="1" ht="12">
      <c r="A301" s="941"/>
    </row>
    <row r="302" spans="1:1" s="907" customFormat="1" ht="12">
      <c r="A302" s="941"/>
    </row>
    <row r="303" spans="1:1" s="907" customFormat="1" ht="12">
      <c r="A303" s="941"/>
    </row>
    <row r="304" spans="1:1" s="907" customFormat="1" ht="12">
      <c r="A304" s="941"/>
    </row>
    <row r="305" spans="1:1" s="907" customFormat="1" ht="12">
      <c r="A305" s="941"/>
    </row>
    <row r="306" spans="1:1" s="907" customFormat="1" ht="12">
      <c r="A306" s="941"/>
    </row>
    <row r="307" spans="1:1" s="907" customFormat="1" ht="12">
      <c r="A307" s="941"/>
    </row>
    <row r="308" spans="1:1" s="907" customFormat="1" ht="12">
      <c r="A308" s="941"/>
    </row>
    <row r="309" spans="1:1" s="907" customFormat="1" ht="12">
      <c r="A309" s="941"/>
    </row>
    <row r="310" spans="1:1" s="907" customFormat="1" ht="12">
      <c r="A310" s="941"/>
    </row>
    <row r="311" spans="1:1" s="907" customFormat="1" ht="12">
      <c r="A311" s="941"/>
    </row>
    <row r="312" spans="1:1" s="907" customFormat="1" ht="12">
      <c r="A312" s="941"/>
    </row>
    <row r="313" spans="1:1" s="907" customFormat="1" ht="12">
      <c r="A313" s="941"/>
    </row>
    <row r="314" spans="1:1" s="907" customFormat="1" ht="12">
      <c r="A314" s="941"/>
    </row>
    <row r="315" spans="1:1" s="907" customFormat="1" ht="12">
      <c r="A315" s="941"/>
    </row>
    <row r="316" spans="1:1" s="907" customFormat="1" ht="12">
      <c r="A316" s="941"/>
    </row>
    <row r="317" spans="1:1" s="907" customFormat="1" ht="12">
      <c r="A317" s="941"/>
    </row>
    <row r="318" spans="1:1" s="907" customFormat="1" ht="12">
      <c r="A318" s="941"/>
    </row>
    <row r="319" spans="1:1" s="907" customFormat="1" ht="12">
      <c r="A319" s="941"/>
    </row>
    <row r="320" spans="1:1" s="907" customFormat="1" ht="12">
      <c r="A320" s="941"/>
    </row>
    <row r="321" spans="1:1" s="907" customFormat="1" ht="12">
      <c r="A321" s="941"/>
    </row>
    <row r="322" spans="1:1" s="907" customFormat="1" ht="12">
      <c r="A322" s="941"/>
    </row>
    <row r="323" spans="1:1" s="907" customFormat="1" ht="12">
      <c r="A323" s="941"/>
    </row>
    <row r="324" spans="1:1" s="907" customFormat="1" ht="12">
      <c r="A324" s="941"/>
    </row>
    <row r="325" spans="1:1" s="907" customFormat="1" ht="12">
      <c r="A325" s="941"/>
    </row>
    <row r="326" spans="1:1" s="907" customFormat="1" ht="12">
      <c r="A326" s="941"/>
    </row>
    <row r="327" spans="1:1" s="907" customFormat="1" ht="12">
      <c r="A327" s="941"/>
    </row>
    <row r="328" spans="1:1" s="907" customFormat="1" ht="12">
      <c r="A328" s="941"/>
    </row>
    <row r="329" spans="1:1" s="907" customFormat="1" ht="12">
      <c r="A329" s="941"/>
    </row>
    <row r="330" spans="1:1" s="907" customFormat="1" ht="12">
      <c r="A330" s="941"/>
    </row>
    <row r="331" spans="1:1" s="907" customFormat="1" ht="12">
      <c r="A331" s="941"/>
    </row>
    <row r="332" spans="1:1" s="907" customFormat="1" ht="12">
      <c r="A332" s="941"/>
    </row>
    <row r="333" spans="1:1" s="907" customFormat="1" ht="12">
      <c r="A333" s="941"/>
    </row>
    <row r="334" spans="1:1" s="907" customFormat="1" ht="12">
      <c r="A334" s="941"/>
    </row>
    <row r="335" spans="1:1" s="907" customFormat="1" ht="12">
      <c r="A335" s="941"/>
    </row>
    <row r="336" spans="1:1" s="907" customFormat="1" ht="12">
      <c r="A336" s="941"/>
    </row>
  </sheetData>
  <mergeCells count="1">
    <mergeCell ref="F4:L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P371"/>
  <sheetViews>
    <sheetView workbookViewId="0"/>
  </sheetViews>
  <sheetFormatPr defaultColWidth="10.7109375" defaultRowHeight="12"/>
  <cols>
    <col min="1" max="1" width="6.42578125" style="861" customWidth="1"/>
    <col min="2" max="2" width="37.7109375" style="861" customWidth="1"/>
    <col min="3" max="3" width="1.7109375" style="861" customWidth="1"/>
    <col min="4" max="4" width="12.28515625" style="861" customWidth="1"/>
    <col min="5" max="18" width="11.28515625" style="861" customWidth="1"/>
    <col min="19" max="16384" width="10.7109375" style="861"/>
  </cols>
  <sheetData>
    <row r="1" spans="1:19" ht="11.25" customHeight="1">
      <c r="A1" s="860" t="s">
        <v>355</v>
      </c>
      <c r="B1" s="860"/>
      <c r="C1" s="860"/>
      <c r="D1" s="860"/>
      <c r="E1" s="860"/>
      <c r="F1" s="860"/>
      <c r="G1" s="860"/>
      <c r="H1" s="860"/>
      <c r="I1" s="860"/>
      <c r="J1" s="860"/>
      <c r="K1" s="860"/>
      <c r="L1" s="860"/>
      <c r="P1" s="860"/>
      <c r="Q1" s="860"/>
      <c r="R1" s="862" t="s">
        <v>84</v>
      </c>
    </row>
    <row r="2" spans="1:19" ht="11.25" customHeight="1">
      <c r="A2" s="860" t="s">
        <v>114</v>
      </c>
      <c r="B2" s="860"/>
      <c r="C2" s="860"/>
      <c r="D2" s="860"/>
      <c r="E2" s="860"/>
      <c r="F2" s="863"/>
      <c r="G2" s="864"/>
      <c r="H2" s="864"/>
      <c r="I2" s="864"/>
      <c r="J2" s="864"/>
      <c r="K2" s="860"/>
      <c r="L2" s="860"/>
      <c r="O2" s="860"/>
      <c r="P2" s="860"/>
      <c r="Q2" s="860"/>
      <c r="R2" s="862"/>
    </row>
    <row r="3" spans="1:19" ht="11.25" customHeight="1">
      <c r="A3" s="860"/>
      <c r="B3" s="860"/>
      <c r="C3" s="860"/>
      <c r="D3" s="860"/>
      <c r="E3" s="860"/>
      <c r="F3" s="860"/>
      <c r="G3" s="860"/>
      <c r="H3" s="860"/>
      <c r="I3" s="860"/>
      <c r="J3" s="860"/>
      <c r="K3" s="860"/>
      <c r="L3" s="860"/>
      <c r="O3" s="860"/>
      <c r="R3" s="865" t="s">
        <v>412</v>
      </c>
    </row>
    <row r="4" spans="1:19" ht="11.25" customHeight="1">
      <c r="A4" s="860" t="s">
        <v>565</v>
      </c>
      <c r="B4" s="860"/>
      <c r="D4" s="866"/>
      <c r="E4" s="866"/>
      <c r="F4" s="1011" t="s">
        <v>99</v>
      </c>
      <c r="G4" s="1011"/>
      <c r="H4" s="1011"/>
      <c r="I4" s="1011"/>
      <c r="J4" s="1011"/>
      <c r="K4" s="1011"/>
      <c r="L4" s="1011"/>
      <c r="O4" s="867"/>
      <c r="R4" s="865" t="s">
        <v>411</v>
      </c>
    </row>
    <row r="5" spans="1:19" ht="11.25" customHeight="1">
      <c r="A5" s="860" t="s">
        <v>705</v>
      </c>
      <c r="B5" s="860"/>
      <c r="C5" s="866"/>
      <c r="D5" s="866"/>
      <c r="E5" s="866"/>
      <c r="F5" s="1011"/>
      <c r="G5" s="1011"/>
      <c r="H5" s="1011"/>
      <c r="I5" s="1011"/>
      <c r="J5" s="1011"/>
      <c r="K5" s="1011"/>
      <c r="L5" s="1011"/>
      <c r="O5" s="867"/>
      <c r="R5" s="862" t="s">
        <v>558</v>
      </c>
    </row>
    <row r="6" spans="1:19" ht="11.25" customHeight="1">
      <c r="A6" s="860" t="s">
        <v>566</v>
      </c>
      <c r="B6" s="860"/>
      <c r="C6" s="866"/>
      <c r="D6" s="866"/>
      <c r="E6" s="866"/>
      <c r="F6" s="1011"/>
      <c r="G6" s="1011"/>
      <c r="H6" s="1011"/>
      <c r="I6" s="1011"/>
      <c r="J6" s="1011"/>
      <c r="K6" s="1011"/>
      <c r="L6" s="1011"/>
      <c r="O6" s="867"/>
      <c r="R6" s="862"/>
    </row>
    <row r="7" spans="1:19" ht="11.25" customHeight="1">
      <c r="A7" s="868" t="s">
        <v>248</v>
      </c>
      <c r="B7" s="869"/>
      <c r="C7" s="866"/>
      <c r="D7" s="866"/>
      <c r="E7" s="866"/>
      <c r="F7" s="1011"/>
      <c r="G7" s="1011"/>
      <c r="H7" s="1011"/>
      <c r="I7" s="1011"/>
      <c r="J7" s="1011"/>
      <c r="K7" s="1011"/>
      <c r="L7" s="1011"/>
      <c r="O7" s="867"/>
      <c r="R7" s="862" t="s">
        <v>356</v>
      </c>
    </row>
    <row r="8" spans="1:19" ht="8.25" customHeight="1" thickBot="1">
      <c r="A8" s="870"/>
      <c r="B8" s="870"/>
      <c r="C8" s="870"/>
      <c r="D8" s="870"/>
      <c r="E8" s="870"/>
      <c r="F8" s="870"/>
      <c r="G8" s="870"/>
      <c r="H8" s="870"/>
      <c r="I8" s="870"/>
      <c r="J8" s="870"/>
      <c r="K8" s="870"/>
      <c r="L8" s="870"/>
      <c r="M8" s="870"/>
      <c r="N8" s="870"/>
      <c r="O8" s="870"/>
      <c r="P8" s="870"/>
      <c r="Q8" s="870"/>
      <c r="R8" s="870"/>
    </row>
    <row r="9" spans="1:19">
      <c r="A9" s="860"/>
      <c r="B9" s="871" t="s">
        <v>202</v>
      </c>
      <c r="C9" s="871"/>
      <c r="D9" s="872" t="s">
        <v>203</v>
      </c>
      <c r="E9" s="871" t="s">
        <v>204</v>
      </c>
      <c r="F9" s="873" t="s">
        <v>205</v>
      </c>
      <c r="G9" s="873" t="s">
        <v>429</v>
      </c>
      <c r="H9" s="873" t="s">
        <v>435</v>
      </c>
      <c r="I9" s="873" t="s">
        <v>10</v>
      </c>
      <c r="J9" s="873" t="s">
        <v>88</v>
      </c>
      <c r="K9" s="873" t="s">
        <v>89</v>
      </c>
      <c r="L9" s="873" t="s">
        <v>90</v>
      </c>
      <c r="M9" s="873" t="s">
        <v>91</v>
      </c>
      <c r="N9" s="873" t="s">
        <v>92</v>
      </c>
      <c r="O9" s="873" t="s">
        <v>424</v>
      </c>
      <c r="P9" s="873" t="s">
        <v>425</v>
      </c>
      <c r="Q9" s="873"/>
      <c r="R9" s="873" t="s">
        <v>325</v>
      </c>
    </row>
    <row r="10" spans="1:19">
      <c r="A10" s="871" t="s">
        <v>289</v>
      </c>
      <c r="B10" s="871"/>
      <c r="C10" s="871"/>
      <c r="D10" s="874" t="s">
        <v>80</v>
      </c>
      <c r="E10" s="875"/>
      <c r="F10" s="875"/>
      <c r="G10" s="875"/>
      <c r="H10" s="875"/>
      <c r="I10" s="875"/>
      <c r="J10" s="875"/>
      <c r="K10" s="875"/>
      <c r="L10" s="875"/>
      <c r="M10" s="875"/>
      <c r="N10" s="875"/>
      <c r="O10" s="875"/>
      <c r="P10" s="875"/>
      <c r="Q10" s="875"/>
      <c r="R10" s="873" t="s">
        <v>174</v>
      </c>
    </row>
    <row r="11" spans="1:19" ht="12.75" thickBot="1">
      <c r="A11" s="163" t="s">
        <v>351</v>
      </c>
      <c r="B11" s="876" t="s">
        <v>94</v>
      </c>
      <c r="C11" s="163"/>
      <c r="D11" s="160">
        <v>43448</v>
      </c>
      <c r="E11" s="877">
        <v>43466</v>
      </c>
      <c r="F11" s="877">
        <v>43497</v>
      </c>
      <c r="G11" s="877">
        <v>43525</v>
      </c>
      <c r="H11" s="877">
        <v>43556</v>
      </c>
      <c r="I11" s="877">
        <v>43586</v>
      </c>
      <c r="J11" s="877">
        <v>43617</v>
      </c>
      <c r="K11" s="877">
        <v>43647</v>
      </c>
      <c r="L11" s="877">
        <v>43678</v>
      </c>
      <c r="M11" s="877">
        <v>43709</v>
      </c>
      <c r="N11" s="877">
        <v>43739</v>
      </c>
      <c r="O11" s="877">
        <v>43770</v>
      </c>
      <c r="P11" s="877">
        <v>43800</v>
      </c>
      <c r="Q11" s="877"/>
      <c r="R11" s="163" t="s">
        <v>339</v>
      </c>
    </row>
    <row r="12" spans="1:19" ht="11.25" customHeight="1">
      <c r="A12" s="878">
        <v>1</v>
      </c>
      <c r="B12" s="860" t="s">
        <v>98</v>
      </c>
      <c r="C12" s="875"/>
      <c r="R12" s="879"/>
    </row>
    <row r="13" spans="1:19" ht="11.25" customHeight="1">
      <c r="A13" s="878">
        <f t="shared" ref="A13:A18" si="0">A12+1</f>
        <v>2</v>
      </c>
      <c r="B13" s="861" t="s">
        <v>357</v>
      </c>
      <c r="D13" s="861">
        <v>141958</v>
      </c>
      <c r="E13" s="861">
        <v>141958</v>
      </c>
      <c r="F13" s="861">
        <v>141958</v>
      </c>
      <c r="G13" s="861">
        <v>141958</v>
      </c>
      <c r="H13" s="861">
        <v>141958</v>
      </c>
      <c r="I13" s="861">
        <v>141958</v>
      </c>
      <c r="J13" s="861">
        <v>141958</v>
      </c>
      <c r="K13" s="861">
        <v>141958</v>
      </c>
      <c r="L13" s="861">
        <v>141958</v>
      </c>
      <c r="M13" s="861">
        <v>141958</v>
      </c>
      <c r="N13" s="861">
        <v>141958</v>
      </c>
      <c r="O13" s="861">
        <v>141958</v>
      </c>
      <c r="P13" s="861">
        <v>141958</v>
      </c>
      <c r="R13" s="155">
        <f>ROUND(SUM(D13:P13)/13,0)</f>
        <v>141958</v>
      </c>
      <c r="S13" s="861">
        <f>+R13-D13</f>
        <v>0</v>
      </c>
    </row>
    <row r="14" spans="1:19" ht="11.25" customHeight="1">
      <c r="A14" s="878">
        <f t="shared" si="0"/>
        <v>3</v>
      </c>
      <c r="B14" s="861" t="s">
        <v>358</v>
      </c>
      <c r="D14" s="861">
        <v>20798</v>
      </c>
      <c r="E14" s="861">
        <v>20798</v>
      </c>
      <c r="F14" s="861">
        <v>20798</v>
      </c>
      <c r="G14" s="861">
        <v>20798</v>
      </c>
      <c r="H14" s="861">
        <v>20798</v>
      </c>
      <c r="I14" s="861">
        <v>20798</v>
      </c>
      <c r="J14" s="861">
        <v>20798</v>
      </c>
      <c r="K14" s="861">
        <v>20798</v>
      </c>
      <c r="L14" s="861">
        <v>20798</v>
      </c>
      <c r="M14" s="861">
        <v>20798</v>
      </c>
      <c r="N14" s="861">
        <v>20798</v>
      </c>
      <c r="O14" s="861">
        <v>20798</v>
      </c>
      <c r="P14" s="861">
        <v>20798</v>
      </c>
      <c r="R14" s="155">
        <f>ROUND(SUM(D14:P14)/13,0)</f>
        <v>20798</v>
      </c>
      <c r="S14" s="861">
        <f>+R14-D14</f>
        <v>0</v>
      </c>
    </row>
    <row r="15" spans="1:19" ht="11.25" customHeight="1">
      <c r="A15" s="878">
        <f t="shared" si="0"/>
        <v>4</v>
      </c>
      <c r="B15" s="861" t="s">
        <v>359</v>
      </c>
      <c r="D15" s="861">
        <v>0</v>
      </c>
      <c r="E15" s="861">
        <v>0</v>
      </c>
      <c r="F15" s="861">
        <v>0</v>
      </c>
      <c r="G15" s="861">
        <v>0</v>
      </c>
      <c r="H15" s="861">
        <v>0</v>
      </c>
      <c r="I15" s="861">
        <v>0</v>
      </c>
      <c r="J15" s="861">
        <v>0</v>
      </c>
      <c r="K15" s="861">
        <v>0</v>
      </c>
      <c r="L15" s="861">
        <v>0</v>
      </c>
      <c r="M15" s="861">
        <v>0</v>
      </c>
      <c r="N15" s="861">
        <v>0</v>
      </c>
      <c r="O15" s="861">
        <v>0</v>
      </c>
      <c r="P15" s="861">
        <v>0</v>
      </c>
      <c r="R15" s="155">
        <f>ROUND(SUM(D15:P15)/13,0)</f>
        <v>0</v>
      </c>
    </row>
    <row r="16" spans="1:19" ht="11.25" customHeight="1">
      <c r="A16" s="878">
        <f t="shared" si="0"/>
        <v>5</v>
      </c>
      <c r="B16" s="860" t="s">
        <v>360</v>
      </c>
      <c r="R16" s="155"/>
    </row>
    <row r="17" spans="1:19" ht="11.25" customHeight="1">
      <c r="A17" s="878">
        <f t="shared" si="0"/>
        <v>6</v>
      </c>
      <c r="B17" s="861" t="s">
        <v>361</v>
      </c>
      <c r="D17" s="861">
        <v>21085</v>
      </c>
      <c r="E17" s="861">
        <v>21085</v>
      </c>
      <c r="F17" s="861">
        <v>21085</v>
      </c>
      <c r="G17" s="861">
        <v>21085</v>
      </c>
      <c r="H17" s="861">
        <v>21085</v>
      </c>
      <c r="I17" s="861">
        <v>21085</v>
      </c>
      <c r="J17" s="861">
        <v>21085</v>
      </c>
      <c r="K17" s="861">
        <v>21085</v>
      </c>
      <c r="L17" s="861">
        <v>21085</v>
      </c>
      <c r="M17" s="861">
        <v>21085</v>
      </c>
      <c r="N17" s="861">
        <v>21085</v>
      </c>
      <c r="O17" s="861">
        <v>21085</v>
      </c>
      <c r="P17" s="861">
        <v>21085</v>
      </c>
      <c r="R17" s="155">
        <f>ROUND(SUM(D17:P17)/13,0)</f>
        <v>21085</v>
      </c>
      <c r="S17" s="861">
        <f>+R17-D17</f>
        <v>0</v>
      </c>
    </row>
    <row r="18" spans="1:19" ht="11.25" customHeight="1">
      <c r="A18" s="878">
        <f t="shared" si="0"/>
        <v>7</v>
      </c>
      <c r="B18" s="861" t="s">
        <v>362</v>
      </c>
      <c r="D18" s="861">
        <v>466377</v>
      </c>
      <c r="E18" s="861">
        <v>469579</v>
      </c>
      <c r="F18" s="861">
        <v>473561</v>
      </c>
      <c r="G18" s="861">
        <v>470468</v>
      </c>
      <c r="H18" s="861">
        <v>528828</v>
      </c>
      <c r="I18" s="861">
        <v>529705</v>
      </c>
      <c r="J18" s="861">
        <v>530609</v>
      </c>
      <c r="K18" s="861">
        <v>532687</v>
      </c>
      <c r="L18" s="861">
        <v>534223</v>
      </c>
      <c r="M18" s="861">
        <v>535850</v>
      </c>
      <c r="N18" s="861">
        <v>537657</v>
      </c>
      <c r="O18" s="861">
        <v>539193</v>
      </c>
      <c r="P18" s="861">
        <v>541452</v>
      </c>
      <c r="R18" s="155">
        <f>ROUND(SUM(D18:P18)/13,0)</f>
        <v>514630</v>
      </c>
    </row>
    <row r="19" spans="1:19" ht="11.25" customHeight="1">
      <c r="A19" s="878"/>
      <c r="B19" s="880" t="s">
        <v>866</v>
      </c>
      <c r="C19" s="880"/>
      <c r="E19" s="861">
        <f t="shared" ref="E19:P19" si="1">+E18-D18</f>
        <v>3202</v>
      </c>
      <c r="F19" s="861">
        <f t="shared" si="1"/>
        <v>3982</v>
      </c>
      <c r="G19" s="861">
        <f t="shared" si="1"/>
        <v>-3093</v>
      </c>
      <c r="H19" s="861">
        <f t="shared" si="1"/>
        <v>58360</v>
      </c>
      <c r="I19" s="861">
        <f t="shared" si="1"/>
        <v>877</v>
      </c>
      <c r="J19" s="861">
        <f t="shared" si="1"/>
        <v>904</v>
      </c>
      <c r="K19" s="861">
        <f t="shared" si="1"/>
        <v>2078</v>
      </c>
      <c r="L19" s="861">
        <f t="shared" si="1"/>
        <v>1536</v>
      </c>
      <c r="M19" s="861">
        <f t="shared" si="1"/>
        <v>1627</v>
      </c>
      <c r="N19" s="861">
        <f t="shared" si="1"/>
        <v>1807</v>
      </c>
      <c r="O19" s="861">
        <f t="shared" si="1"/>
        <v>1536</v>
      </c>
      <c r="P19" s="861">
        <f t="shared" si="1"/>
        <v>2259</v>
      </c>
      <c r="R19" s="155"/>
    </row>
    <row r="20" spans="1:19" ht="11.25" customHeight="1">
      <c r="A20" s="878"/>
      <c r="B20" s="880" t="s">
        <v>865</v>
      </c>
      <c r="C20" s="880"/>
      <c r="E20" s="861">
        <v>1</v>
      </c>
      <c r="F20" s="861">
        <v>2</v>
      </c>
      <c r="G20" s="861">
        <v>3</v>
      </c>
      <c r="H20" s="861">
        <v>4</v>
      </c>
      <c r="I20" s="861">
        <v>5</v>
      </c>
      <c r="J20" s="861">
        <v>6</v>
      </c>
      <c r="K20" s="861">
        <v>7</v>
      </c>
      <c r="L20" s="861">
        <v>8</v>
      </c>
      <c r="M20" s="861">
        <v>9</v>
      </c>
      <c r="N20" s="861">
        <v>10</v>
      </c>
      <c r="O20" s="861">
        <v>11</v>
      </c>
      <c r="P20" s="861">
        <v>12</v>
      </c>
      <c r="R20" s="155"/>
    </row>
    <row r="21" spans="1:19" ht="11.25" customHeight="1">
      <c r="A21" s="878"/>
      <c r="B21" s="881">
        <v>3.1300000000000001E-2</v>
      </c>
      <c r="C21" s="880"/>
      <c r="E21" s="861">
        <f t="shared" ref="E21:P21" si="2">+E19*($B21/12)*E20</f>
        <v>8.3518833333333333</v>
      </c>
      <c r="F21" s="861">
        <f t="shared" si="2"/>
        <v>20.772766666666669</v>
      </c>
      <c r="G21" s="861">
        <f t="shared" si="2"/>
        <v>-24.202725000000004</v>
      </c>
      <c r="H21" s="861">
        <f t="shared" si="2"/>
        <v>608.88933333333341</v>
      </c>
      <c r="I21" s="861">
        <f t="shared" si="2"/>
        <v>11.437541666666668</v>
      </c>
      <c r="J21" s="861">
        <f t="shared" si="2"/>
        <v>14.147600000000001</v>
      </c>
      <c r="K21" s="861">
        <f t="shared" si="2"/>
        <v>37.94081666666667</v>
      </c>
      <c r="L21" s="861">
        <f t="shared" si="2"/>
        <v>32.051200000000001</v>
      </c>
      <c r="M21" s="861">
        <f t="shared" si="2"/>
        <v>38.193825000000004</v>
      </c>
      <c r="N21" s="861">
        <f t="shared" si="2"/>
        <v>47.132583333333343</v>
      </c>
      <c r="O21" s="861">
        <f t="shared" si="2"/>
        <v>44.070399999999999</v>
      </c>
      <c r="P21" s="861">
        <f t="shared" si="2"/>
        <v>70.706700000000012</v>
      </c>
      <c r="Q21" s="861">
        <f>SUM(E21:P21)</f>
        <v>909.49192500000004</v>
      </c>
      <c r="R21" s="155"/>
    </row>
    <row r="22" spans="1:19" ht="11.25" customHeight="1">
      <c r="A22" s="878">
        <f>A18+1</f>
        <v>8</v>
      </c>
      <c r="B22" s="882" t="s">
        <v>208</v>
      </c>
      <c r="D22" s="861">
        <v>1745803</v>
      </c>
      <c r="E22" s="861">
        <v>1745803</v>
      </c>
      <c r="F22" s="861">
        <v>1745803</v>
      </c>
      <c r="G22" s="861">
        <v>1745358</v>
      </c>
      <c r="H22" s="861">
        <v>1745358</v>
      </c>
      <c r="I22" s="861">
        <v>1745358</v>
      </c>
      <c r="J22" s="861">
        <v>1745358</v>
      </c>
      <c r="K22" s="861">
        <v>1745358</v>
      </c>
      <c r="L22" s="861">
        <v>1745358</v>
      </c>
      <c r="M22" s="861">
        <v>1745358</v>
      </c>
      <c r="N22" s="861">
        <v>1745358</v>
      </c>
      <c r="O22" s="861">
        <v>1745358</v>
      </c>
      <c r="P22" s="861">
        <v>1745358</v>
      </c>
      <c r="R22" s="155">
        <f>ROUND(SUM(D22:P22)/13,0)</f>
        <v>1745461</v>
      </c>
      <c r="S22" s="861">
        <f>+R22-D22</f>
        <v>-342</v>
      </c>
    </row>
    <row r="23" spans="1:19" ht="11.25" customHeight="1">
      <c r="A23" s="878"/>
      <c r="B23" s="880" t="s">
        <v>866</v>
      </c>
      <c r="C23" s="880"/>
      <c r="E23" s="861">
        <f t="shared" ref="E23:P23" si="3">+E22-D22</f>
        <v>0</v>
      </c>
      <c r="F23" s="861">
        <f t="shared" si="3"/>
        <v>0</v>
      </c>
      <c r="G23" s="861">
        <f t="shared" si="3"/>
        <v>-445</v>
      </c>
      <c r="H23" s="861">
        <f t="shared" si="3"/>
        <v>0</v>
      </c>
      <c r="I23" s="861">
        <f t="shared" si="3"/>
        <v>0</v>
      </c>
      <c r="J23" s="861">
        <f t="shared" si="3"/>
        <v>0</v>
      </c>
      <c r="K23" s="861">
        <f t="shared" si="3"/>
        <v>0</v>
      </c>
      <c r="L23" s="861">
        <f t="shared" si="3"/>
        <v>0</v>
      </c>
      <c r="M23" s="861">
        <f t="shared" si="3"/>
        <v>0</v>
      </c>
      <c r="N23" s="861">
        <f t="shared" si="3"/>
        <v>0</v>
      </c>
      <c r="O23" s="861">
        <f t="shared" si="3"/>
        <v>0</v>
      </c>
      <c r="P23" s="861">
        <f t="shared" si="3"/>
        <v>0</v>
      </c>
      <c r="R23" s="155"/>
    </row>
    <row r="24" spans="1:19" ht="11.25" customHeight="1">
      <c r="A24" s="878"/>
      <c r="B24" s="880" t="s">
        <v>865</v>
      </c>
      <c r="C24" s="880"/>
      <c r="E24" s="861">
        <v>1</v>
      </c>
      <c r="F24" s="861">
        <v>2</v>
      </c>
      <c r="G24" s="861">
        <v>3</v>
      </c>
      <c r="H24" s="861">
        <v>4</v>
      </c>
      <c r="I24" s="861">
        <v>5</v>
      </c>
      <c r="J24" s="861">
        <v>6</v>
      </c>
      <c r="K24" s="861">
        <v>7</v>
      </c>
      <c r="L24" s="861">
        <v>8</v>
      </c>
      <c r="M24" s="861">
        <v>9</v>
      </c>
      <c r="N24" s="861">
        <v>10</v>
      </c>
      <c r="O24" s="861">
        <v>11</v>
      </c>
      <c r="P24" s="861">
        <v>12</v>
      </c>
      <c r="R24" s="155"/>
    </row>
    <row r="25" spans="1:19" ht="11.25" customHeight="1">
      <c r="A25" s="878"/>
      <c r="B25" s="881">
        <v>0.05</v>
      </c>
      <c r="C25" s="880"/>
      <c r="E25" s="861">
        <f t="shared" ref="E25:P25" si="4">+E23*($B25/12)*E24</f>
        <v>0</v>
      </c>
      <c r="F25" s="861">
        <f t="shared" si="4"/>
        <v>0</v>
      </c>
      <c r="G25" s="861">
        <f t="shared" si="4"/>
        <v>-5.5625</v>
      </c>
      <c r="H25" s="861">
        <f t="shared" si="4"/>
        <v>0</v>
      </c>
      <c r="I25" s="861">
        <f t="shared" si="4"/>
        <v>0</v>
      </c>
      <c r="J25" s="861">
        <f t="shared" si="4"/>
        <v>0</v>
      </c>
      <c r="K25" s="861">
        <f t="shared" si="4"/>
        <v>0</v>
      </c>
      <c r="L25" s="861">
        <f t="shared" si="4"/>
        <v>0</v>
      </c>
      <c r="M25" s="861">
        <f t="shared" si="4"/>
        <v>0</v>
      </c>
      <c r="N25" s="861">
        <f t="shared" si="4"/>
        <v>0</v>
      </c>
      <c r="O25" s="861">
        <f t="shared" si="4"/>
        <v>0</v>
      </c>
      <c r="P25" s="861">
        <f t="shared" si="4"/>
        <v>0</v>
      </c>
      <c r="Q25" s="861">
        <f>SUM(E25:P25)</f>
        <v>-5.5625</v>
      </c>
      <c r="R25" s="155"/>
    </row>
    <row r="26" spans="1:19" ht="11.25" customHeight="1">
      <c r="A26" s="878">
        <f>A22+1</f>
        <v>9</v>
      </c>
      <c r="B26" s="861" t="s">
        <v>363</v>
      </c>
      <c r="D26" s="861">
        <v>8531621</v>
      </c>
      <c r="E26" s="861">
        <v>8531664</v>
      </c>
      <c r="F26" s="861">
        <v>8531617</v>
      </c>
      <c r="G26" s="861">
        <v>8533545</v>
      </c>
      <c r="H26" s="861">
        <v>8608628</v>
      </c>
      <c r="I26" s="861">
        <v>8619722</v>
      </c>
      <c r="J26" s="861">
        <v>8602687</v>
      </c>
      <c r="K26" s="861">
        <v>8611890</v>
      </c>
      <c r="L26" s="861">
        <v>8625162</v>
      </c>
      <c r="M26" s="861">
        <v>8629396</v>
      </c>
      <c r="N26" s="861">
        <v>8645022</v>
      </c>
      <c r="O26" s="861">
        <v>8646784</v>
      </c>
      <c r="P26" s="861">
        <v>8652414</v>
      </c>
      <c r="R26" s="155">
        <f>ROUND(SUM(D26:P26)/13,0)</f>
        <v>8597704</v>
      </c>
    </row>
    <row r="27" spans="1:19" ht="11.25" customHeight="1">
      <c r="A27" s="878"/>
      <c r="B27" s="880" t="s">
        <v>866</v>
      </c>
      <c r="C27" s="880"/>
      <c r="E27" s="861">
        <f t="shared" ref="E27:P27" si="5">+E26-D26</f>
        <v>43</v>
      </c>
      <c r="F27" s="861">
        <f t="shared" si="5"/>
        <v>-47</v>
      </c>
      <c r="G27" s="861">
        <f t="shared" si="5"/>
        <v>1928</v>
      </c>
      <c r="H27" s="861">
        <f t="shared" si="5"/>
        <v>75083</v>
      </c>
      <c r="I27" s="861">
        <f t="shared" si="5"/>
        <v>11094</v>
      </c>
      <c r="J27" s="861">
        <f t="shared" si="5"/>
        <v>-17035</v>
      </c>
      <c r="K27" s="861">
        <f t="shared" si="5"/>
        <v>9203</v>
      </c>
      <c r="L27" s="861">
        <f t="shared" si="5"/>
        <v>13272</v>
      </c>
      <c r="M27" s="861">
        <f t="shared" si="5"/>
        <v>4234</v>
      </c>
      <c r="N27" s="861">
        <f t="shared" si="5"/>
        <v>15626</v>
      </c>
      <c r="O27" s="861">
        <f t="shared" si="5"/>
        <v>1762</v>
      </c>
      <c r="P27" s="861">
        <f t="shared" si="5"/>
        <v>5630</v>
      </c>
      <c r="R27" s="155"/>
    </row>
    <row r="28" spans="1:19" ht="11.25" customHeight="1">
      <c r="A28" s="878"/>
      <c r="B28" s="880" t="s">
        <v>865</v>
      </c>
      <c r="C28" s="880"/>
      <c r="E28" s="861">
        <v>1</v>
      </c>
      <c r="F28" s="861">
        <v>2</v>
      </c>
      <c r="G28" s="861">
        <v>3</v>
      </c>
      <c r="H28" s="861">
        <v>4</v>
      </c>
      <c r="I28" s="861">
        <v>5</v>
      </c>
      <c r="J28" s="861">
        <v>6</v>
      </c>
      <c r="K28" s="861">
        <v>7</v>
      </c>
      <c r="L28" s="861">
        <v>8</v>
      </c>
      <c r="M28" s="861">
        <v>9</v>
      </c>
      <c r="N28" s="861">
        <v>10</v>
      </c>
      <c r="O28" s="861">
        <v>11</v>
      </c>
      <c r="P28" s="861">
        <v>12</v>
      </c>
      <c r="R28" s="155"/>
    </row>
    <row r="29" spans="1:19" ht="11.25" customHeight="1">
      <c r="A29" s="878"/>
      <c r="B29" s="881">
        <v>3.3333333333333333E-2</v>
      </c>
      <c r="C29" s="880"/>
      <c r="E29" s="861">
        <f t="shared" ref="E29:P29" si="6">+E27*($B29/12)*E28</f>
        <v>0.11944444444444445</v>
      </c>
      <c r="F29" s="861">
        <f t="shared" si="6"/>
        <v>-0.26111111111111113</v>
      </c>
      <c r="G29" s="861">
        <f t="shared" si="6"/>
        <v>16.06666666666667</v>
      </c>
      <c r="H29" s="861">
        <f t="shared" si="6"/>
        <v>834.25555555555559</v>
      </c>
      <c r="I29" s="861">
        <f t="shared" si="6"/>
        <v>154.08333333333334</v>
      </c>
      <c r="J29" s="861">
        <f t="shared" si="6"/>
        <v>-283.91666666666663</v>
      </c>
      <c r="K29" s="861">
        <f t="shared" si="6"/>
        <v>178.94722222222222</v>
      </c>
      <c r="L29" s="861">
        <f t="shared" si="6"/>
        <v>294.93333333333334</v>
      </c>
      <c r="M29" s="861">
        <f t="shared" si="6"/>
        <v>105.85</v>
      </c>
      <c r="N29" s="861">
        <f t="shared" si="6"/>
        <v>434.0555555555556</v>
      </c>
      <c r="O29" s="861">
        <f t="shared" si="6"/>
        <v>53.838888888888896</v>
      </c>
      <c r="P29" s="861">
        <f t="shared" si="6"/>
        <v>187.66666666666669</v>
      </c>
      <c r="Q29" s="861">
        <f>SUM(E29:P29)</f>
        <v>1975.6388888888891</v>
      </c>
      <c r="R29" s="155"/>
    </row>
    <row r="30" spans="1:19" ht="11.25" customHeight="1">
      <c r="A30" s="878">
        <f>A26+1</f>
        <v>10</v>
      </c>
      <c r="B30" s="861" t="s">
        <v>364</v>
      </c>
      <c r="D30" s="861">
        <v>28816326</v>
      </c>
      <c r="E30" s="861">
        <v>28825399</v>
      </c>
      <c r="F30" s="861">
        <v>28884641</v>
      </c>
      <c r="G30" s="861">
        <v>29047020</v>
      </c>
      <c r="H30" s="861">
        <v>29488983</v>
      </c>
      <c r="I30" s="861">
        <v>29902245</v>
      </c>
      <c r="J30" s="861">
        <v>29999708</v>
      </c>
      <c r="K30" s="861">
        <v>30144308</v>
      </c>
      <c r="L30" s="861">
        <v>30161362</v>
      </c>
      <c r="M30" s="861">
        <v>30157278</v>
      </c>
      <c r="N30" s="861">
        <v>30225713</v>
      </c>
      <c r="O30" s="861">
        <v>30343324</v>
      </c>
      <c r="P30" s="861">
        <v>30419580</v>
      </c>
      <c r="R30" s="155">
        <f>ROUND(SUM(D30:P30)/13,0)</f>
        <v>29724299</v>
      </c>
    </row>
    <row r="31" spans="1:19" ht="11.25" customHeight="1">
      <c r="A31" s="878"/>
      <c r="B31" s="880" t="s">
        <v>866</v>
      </c>
      <c r="C31" s="880"/>
      <c r="E31" s="861">
        <f t="shared" ref="E31:P31" si="7">+E30-D30</f>
        <v>9073</v>
      </c>
      <c r="F31" s="861">
        <f t="shared" si="7"/>
        <v>59242</v>
      </c>
      <c r="G31" s="861">
        <f t="shared" si="7"/>
        <v>162379</v>
      </c>
      <c r="H31" s="861">
        <f t="shared" si="7"/>
        <v>441963</v>
      </c>
      <c r="I31" s="861">
        <f t="shared" si="7"/>
        <v>413262</v>
      </c>
      <c r="J31" s="861">
        <f t="shared" si="7"/>
        <v>97463</v>
      </c>
      <c r="K31" s="861">
        <f t="shared" si="7"/>
        <v>144600</v>
      </c>
      <c r="L31" s="861">
        <f t="shared" si="7"/>
        <v>17054</v>
      </c>
      <c r="M31" s="861">
        <f t="shared" si="7"/>
        <v>-4084</v>
      </c>
      <c r="N31" s="861">
        <f t="shared" si="7"/>
        <v>68435</v>
      </c>
      <c r="O31" s="861">
        <f t="shared" si="7"/>
        <v>117611</v>
      </c>
      <c r="P31" s="861">
        <f t="shared" si="7"/>
        <v>76256</v>
      </c>
      <c r="R31" s="155"/>
    </row>
    <row r="32" spans="1:19" ht="11.25" customHeight="1">
      <c r="A32" s="878"/>
      <c r="B32" s="880" t="s">
        <v>865</v>
      </c>
      <c r="C32" s="880"/>
      <c r="E32" s="861">
        <v>1</v>
      </c>
      <c r="F32" s="861">
        <v>2</v>
      </c>
      <c r="G32" s="861">
        <v>3</v>
      </c>
      <c r="H32" s="861">
        <v>4</v>
      </c>
      <c r="I32" s="861">
        <v>5</v>
      </c>
      <c r="J32" s="861">
        <v>6</v>
      </c>
      <c r="K32" s="861">
        <v>7</v>
      </c>
      <c r="L32" s="861">
        <v>8</v>
      </c>
      <c r="M32" s="861">
        <v>9</v>
      </c>
      <c r="N32" s="861">
        <v>10</v>
      </c>
      <c r="O32" s="861">
        <v>11</v>
      </c>
      <c r="P32" s="861">
        <v>12</v>
      </c>
      <c r="R32" s="155"/>
    </row>
    <row r="33" spans="1:19" ht="11.25" customHeight="1">
      <c r="A33" s="878"/>
      <c r="B33" s="881">
        <v>2.2222222222222223E-2</v>
      </c>
      <c r="C33" s="880"/>
      <c r="E33" s="861">
        <f t="shared" ref="E33:P33" si="8">+E31*($B33/12)*E32</f>
        <v>16.801851851851854</v>
      </c>
      <c r="F33" s="861">
        <f t="shared" si="8"/>
        <v>219.41481481481483</v>
      </c>
      <c r="G33" s="861">
        <f t="shared" si="8"/>
        <v>902.10555555555561</v>
      </c>
      <c r="H33" s="861">
        <f t="shared" si="8"/>
        <v>3273.8</v>
      </c>
      <c r="I33" s="861">
        <f t="shared" si="8"/>
        <v>3826.5000000000005</v>
      </c>
      <c r="J33" s="861">
        <f t="shared" si="8"/>
        <v>1082.9222222222224</v>
      </c>
      <c r="K33" s="861">
        <f t="shared" si="8"/>
        <v>1874.4444444444443</v>
      </c>
      <c r="L33" s="861">
        <f t="shared" si="8"/>
        <v>252.65185185185186</v>
      </c>
      <c r="M33" s="861">
        <f t="shared" si="8"/>
        <v>-68.066666666666663</v>
      </c>
      <c r="N33" s="861">
        <f t="shared" si="8"/>
        <v>1267.3148148148148</v>
      </c>
      <c r="O33" s="861">
        <f t="shared" si="8"/>
        <v>2395.7796296296297</v>
      </c>
      <c r="P33" s="861">
        <f t="shared" si="8"/>
        <v>1694.5777777777778</v>
      </c>
      <c r="Q33" s="861">
        <f>SUM(E33:P33)</f>
        <v>16738.246296296293</v>
      </c>
      <c r="R33" s="155"/>
    </row>
    <row r="34" spans="1:19" ht="11.25" customHeight="1">
      <c r="A34" s="878">
        <f>A30+1</f>
        <v>11</v>
      </c>
      <c r="B34" s="861" t="s">
        <v>365</v>
      </c>
      <c r="D34" s="861">
        <v>8350</v>
      </c>
      <c r="E34" s="861">
        <v>8350</v>
      </c>
      <c r="F34" s="861">
        <v>8350</v>
      </c>
      <c r="G34" s="861">
        <v>8350</v>
      </c>
      <c r="H34" s="861">
        <v>8350</v>
      </c>
      <c r="I34" s="861">
        <v>8350</v>
      </c>
      <c r="J34" s="861">
        <v>8350</v>
      </c>
      <c r="K34" s="861">
        <v>8350</v>
      </c>
      <c r="L34" s="861">
        <v>8350</v>
      </c>
      <c r="M34" s="861">
        <v>8350</v>
      </c>
      <c r="N34" s="861">
        <v>8350</v>
      </c>
      <c r="O34" s="861">
        <v>8350</v>
      </c>
      <c r="P34" s="861">
        <v>8350</v>
      </c>
      <c r="R34" s="155">
        <f>ROUND(SUM(D34:P34)/13,0)</f>
        <v>8350</v>
      </c>
      <c r="S34" s="861">
        <f>+R34-D34</f>
        <v>0</v>
      </c>
    </row>
    <row r="35" spans="1:19" ht="11.25" customHeight="1">
      <c r="A35" s="878">
        <f>A34+1</f>
        <v>12</v>
      </c>
      <c r="B35" s="861" t="s">
        <v>366</v>
      </c>
      <c r="D35" s="861">
        <v>1993291</v>
      </c>
      <c r="E35" s="861">
        <v>1993551</v>
      </c>
      <c r="F35" s="861">
        <v>1993986</v>
      </c>
      <c r="G35" s="861">
        <v>2055448</v>
      </c>
      <c r="H35" s="861">
        <v>2089231</v>
      </c>
      <c r="I35" s="861">
        <v>2206745</v>
      </c>
      <c r="J35" s="861">
        <v>2210756</v>
      </c>
      <c r="K35" s="861">
        <v>2250388</v>
      </c>
      <c r="L35" s="861">
        <v>2250388</v>
      </c>
      <c r="M35" s="861">
        <v>2329071</v>
      </c>
      <c r="N35" s="861">
        <v>2332040</v>
      </c>
      <c r="O35" s="861">
        <v>2332266</v>
      </c>
      <c r="P35" s="861">
        <v>2332266</v>
      </c>
      <c r="R35" s="155">
        <f>ROUND(SUM(D35:P35)/13,0)</f>
        <v>2182264</v>
      </c>
    </row>
    <row r="36" spans="1:19" ht="11.25" customHeight="1">
      <c r="A36" s="878"/>
      <c r="B36" s="880" t="s">
        <v>866</v>
      </c>
      <c r="C36" s="880"/>
      <c r="E36" s="861">
        <f t="shared" ref="E36:P36" si="9">+E35-D35</f>
        <v>260</v>
      </c>
      <c r="F36" s="861">
        <f t="shared" si="9"/>
        <v>435</v>
      </c>
      <c r="G36" s="861">
        <f t="shared" si="9"/>
        <v>61462</v>
      </c>
      <c r="H36" s="861">
        <f t="shared" si="9"/>
        <v>33783</v>
      </c>
      <c r="I36" s="861">
        <f t="shared" si="9"/>
        <v>117514</v>
      </c>
      <c r="J36" s="861">
        <f t="shared" si="9"/>
        <v>4011</v>
      </c>
      <c r="K36" s="861">
        <f t="shared" si="9"/>
        <v>39632</v>
      </c>
      <c r="L36" s="861">
        <f t="shared" si="9"/>
        <v>0</v>
      </c>
      <c r="M36" s="861">
        <f t="shared" si="9"/>
        <v>78683</v>
      </c>
      <c r="N36" s="861">
        <f t="shared" si="9"/>
        <v>2969</v>
      </c>
      <c r="O36" s="861">
        <f t="shared" si="9"/>
        <v>226</v>
      </c>
      <c r="P36" s="861">
        <f t="shared" si="9"/>
        <v>0</v>
      </c>
      <c r="R36" s="155"/>
    </row>
    <row r="37" spans="1:19" ht="11.25" customHeight="1">
      <c r="A37" s="878"/>
      <c r="B37" s="880" t="s">
        <v>865</v>
      </c>
      <c r="C37" s="880"/>
      <c r="E37" s="861">
        <v>1</v>
      </c>
      <c r="F37" s="861">
        <v>2</v>
      </c>
      <c r="G37" s="861">
        <v>3</v>
      </c>
      <c r="H37" s="861">
        <v>4</v>
      </c>
      <c r="I37" s="861">
        <v>5</v>
      </c>
      <c r="J37" s="861">
        <v>6</v>
      </c>
      <c r="K37" s="861">
        <v>7</v>
      </c>
      <c r="L37" s="861">
        <v>8</v>
      </c>
      <c r="M37" s="861">
        <v>9</v>
      </c>
      <c r="N37" s="861">
        <v>10</v>
      </c>
      <c r="O37" s="861">
        <v>11</v>
      </c>
      <c r="P37" s="861">
        <v>12</v>
      </c>
      <c r="R37" s="155"/>
    </row>
    <row r="38" spans="1:19" ht="11.25" customHeight="1">
      <c r="A38" s="878"/>
      <c r="B38" s="881">
        <v>2.6315789473684209E-2</v>
      </c>
      <c r="C38" s="880"/>
      <c r="E38" s="861">
        <f t="shared" ref="E38:P38" si="10">+E36*($B38/12)*E37</f>
        <v>0.57017543859649122</v>
      </c>
      <c r="F38" s="861">
        <f t="shared" si="10"/>
        <v>1.9078947368421051</v>
      </c>
      <c r="G38" s="861">
        <f t="shared" si="10"/>
        <v>404.35526315789474</v>
      </c>
      <c r="H38" s="861">
        <f t="shared" si="10"/>
        <v>296.34210526315786</v>
      </c>
      <c r="I38" s="861">
        <f t="shared" si="10"/>
        <v>1288.530701754386</v>
      </c>
      <c r="J38" s="861">
        <f t="shared" si="10"/>
        <v>52.776315789473685</v>
      </c>
      <c r="K38" s="861">
        <f t="shared" si="10"/>
        <v>608.38596491228066</v>
      </c>
      <c r="L38" s="861">
        <f t="shared" si="10"/>
        <v>0</v>
      </c>
      <c r="M38" s="861">
        <f t="shared" si="10"/>
        <v>1552.9539473684208</v>
      </c>
      <c r="N38" s="861">
        <f t="shared" si="10"/>
        <v>65.109649122807014</v>
      </c>
      <c r="O38" s="861">
        <f t="shared" si="10"/>
        <v>5.4517543859649118</v>
      </c>
      <c r="P38" s="861">
        <f t="shared" si="10"/>
        <v>0</v>
      </c>
      <c r="Q38" s="861">
        <f>SUM(E38:P38)</f>
        <v>4276.3837719298244</v>
      </c>
      <c r="R38" s="155"/>
    </row>
    <row r="39" spans="1:19" ht="11.25" customHeight="1">
      <c r="A39" s="878">
        <f>A35+1</f>
        <v>13</v>
      </c>
      <c r="B39" s="861" t="s">
        <v>367</v>
      </c>
      <c r="D39" s="861">
        <v>722699</v>
      </c>
      <c r="E39" s="861">
        <v>722808</v>
      </c>
      <c r="F39" s="861">
        <v>723067</v>
      </c>
      <c r="G39" s="861">
        <v>720755</v>
      </c>
      <c r="H39" s="861">
        <v>721188</v>
      </c>
      <c r="I39" s="861">
        <v>721290</v>
      </c>
      <c r="J39" s="861">
        <v>723082</v>
      </c>
      <c r="K39" s="861">
        <v>723489</v>
      </c>
      <c r="L39" s="861">
        <v>724523</v>
      </c>
      <c r="M39" s="861">
        <v>723860</v>
      </c>
      <c r="N39" s="861">
        <v>726482</v>
      </c>
      <c r="O39" s="861">
        <v>727233</v>
      </c>
      <c r="P39" s="861">
        <v>728081</v>
      </c>
      <c r="R39" s="155">
        <f>ROUND(SUM(D39:P39)/13,0)</f>
        <v>723735</v>
      </c>
    </row>
    <row r="40" spans="1:19" ht="11.25" customHeight="1">
      <c r="A40" s="878"/>
      <c r="B40" s="880" t="s">
        <v>866</v>
      </c>
      <c r="C40" s="880"/>
      <c r="E40" s="861">
        <f t="shared" ref="E40:P40" si="11">+E39-D39</f>
        <v>109</v>
      </c>
      <c r="F40" s="861">
        <f t="shared" si="11"/>
        <v>259</v>
      </c>
      <c r="G40" s="861">
        <f t="shared" si="11"/>
        <v>-2312</v>
      </c>
      <c r="H40" s="861">
        <f t="shared" si="11"/>
        <v>433</v>
      </c>
      <c r="I40" s="861">
        <f t="shared" si="11"/>
        <v>102</v>
      </c>
      <c r="J40" s="861">
        <f t="shared" si="11"/>
        <v>1792</v>
      </c>
      <c r="K40" s="861">
        <f t="shared" si="11"/>
        <v>407</v>
      </c>
      <c r="L40" s="861">
        <f t="shared" si="11"/>
        <v>1034</v>
      </c>
      <c r="M40" s="861">
        <f t="shared" si="11"/>
        <v>-663</v>
      </c>
      <c r="N40" s="861">
        <f t="shared" si="11"/>
        <v>2622</v>
      </c>
      <c r="O40" s="861">
        <f t="shared" si="11"/>
        <v>751</v>
      </c>
      <c r="P40" s="861">
        <f t="shared" si="11"/>
        <v>848</v>
      </c>
      <c r="R40" s="155"/>
    </row>
    <row r="41" spans="1:19" ht="11.25" customHeight="1">
      <c r="A41" s="878"/>
      <c r="B41" s="880" t="s">
        <v>865</v>
      </c>
      <c r="C41" s="880"/>
      <c r="E41" s="861">
        <v>1</v>
      </c>
      <c r="F41" s="861">
        <v>2</v>
      </c>
      <c r="G41" s="861">
        <v>3</v>
      </c>
      <c r="H41" s="861">
        <v>4</v>
      </c>
      <c r="I41" s="861">
        <v>5</v>
      </c>
      <c r="J41" s="861">
        <v>6</v>
      </c>
      <c r="K41" s="861">
        <v>7</v>
      </c>
      <c r="L41" s="861">
        <v>8</v>
      </c>
      <c r="M41" s="861">
        <v>9</v>
      </c>
      <c r="N41" s="861">
        <v>10</v>
      </c>
      <c r="O41" s="861">
        <v>11</v>
      </c>
      <c r="P41" s="861">
        <v>12</v>
      </c>
      <c r="R41" s="155"/>
    </row>
    <row r="42" spans="1:19" ht="11.25" customHeight="1">
      <c r="A42" s="878"/>
      <c r="B42" s="881">
        <v>0.2</v>
      </c>
      <c r="C42" s="880"/>
      <c r="E42" s="861">
        <f t="shared" ref="E42:P42" si="12">+E40*($B42/12)*E41</f>
        <v>1.8166666666666667</v>
      </c>
      <c r="F42" s="861">
        <f t="shared" si="12"/>
        <v>8.6333333333333329</v>
      </c>
      <c r="G42" s="861">
        <f t="shared" si="12"/>
        <v>-115.6</v>
      </c>
      <c r="H42" s="861">
        <f t="shared" si="12"/>
        <v>28.866666666666667</v>
      </c>
      <c r="I42" s="861">
        <f t="shared" si="12"/>
        <v>8.5</v>
      </c>
      <c r="J42" s="861">
        <f t="shared" si="12"/>
        <v>179.2</v>
      </c>
      <c r="K42" s="861">
        <f t="shared" si="12"/>
        <v>47.483333333333334</v>
      </c>
      <c r="L42" s="861">
        <f t="shared" si="12"/>
        <v>137.86666666666667</v>
      </c>
      <c r="M42" s="861">
        <f t="shared" si="12"/>
        <v>-99.45</v>
      </c>
      <c r="N42" s="861">
        <f t="shared" si="12"/>
        <v>437</v>
      </c>
      <c r="O42" s="861">
        <f t="shared" si="12"/>
        <v>137.68333333333334</v>
      </c>
      <c r="P42" s="861">
        <f t="shared" si="12"/>
        <v>169.6</v>
      </c>
      <c r="Q42" s="861">
        <f>SUM(E42:P42)</f>
        <v>941.6</v>
      </c>
      <c r="R42" s="155"/>
    </row>
    <row r="43" spans="1:19" ht="11.25" customHeight="1">
      <c r="A43" s="878">
        <f>A39+1</f>
        <v>14</v>
      </c>
      <c r="B43" s="861" t="s">
        <v>368</v>
      </c>
      <c r="D43" s="861">
        <v>497</v>
      </c>
      <c r="E43" s="861">
        <v>497</v>
      </c>
      <c r="F43" s="861">
        <v>497</v>
      </c>
      <c r="G43" s="861">
        <v>497</v>
      </c>
      <c r="H43" s="861">
        <v>497</v>
      </c>
      <c r="I43" s="861">
        <v>497</v>
      </c>
      <c r="J43" s="861">
        <v>497</v>
      </c>
      <c r="K43" s="861">
        <v>497</v>
      </c>
      <c r="L43" s="861">
        <v>497</v>
      </c>
      <c r="M43" s="861">
        <v>497</v>
      </c>
      <c r="N43" s="861">
        <v>497</v>
      </c>
      <c r="O43" s="861">
        <v>497</v>
      </c>
      <c r="P43" s="861">
        <v>497</v>
      </c>
      <c r="R43" s="155">
        <f>ROUND(SUM(D43:P43)/13,0)</f>
        <v>497</v>
      </c>
      <c r="S43" s="861">
        <f>+R43-D43</f>
        <v>0</v>
      </c>
    </row>
    <row r="44" spans="1:19" ht="11.25" customHeight="1">
      <c r="A44" s="878">
        <f>A43+1</f>
        <v>15</v>
      </c>
      <c r="B44" s="861" t="s">
        <v>369</v>
      </c>
      <c r="D44" s="883">
        <v>7442</v>
      </c>
      <c r="E44" s="861">
        <v>7442</v>
      </c>
      <c r="F44" s="861">
        <v>7442</v>
      </c>
      <c r="G44" s="861">
        <v>7442</v>
      </c>
      <c r="H44" s="861">
        <v>50482</v>
      </c>
      <c r="I44" s="861">
        <v>50843</v>
      </c>
      <c r="J44" s="861">
        <v>50843</v>
      </c>
      <c r="K44" s="861">
        <v>50843</v>
      </c>
      <c r="L44" s="861">
        <v>50843</v>
      </c>
      <c r="M44" s="861">
        <v>50843</v>
      </c>
      <c r="N44" s="861">
        <v>50843</v>
      </c>
      <c r="O44" s="861">
        <v>50843</v>
      </c>
      <c r="P44" s="861">
        <v>50843</v>
      </c>
      <c r="R44" s="155">
        <f>ROUND(SUM(D44:P44)/13,0)</f>
        <v>37461</v>
      </c>
    </row>
    <row r="45" spans="1:19" ht="11.25" customHeight="1">
      <c r="A45" s="878"/>
      <c r="B45" s="880" t="s">
        <v>866</v>
      </c>
      <c r="C45" s="880"/>
      <c r="E45" s="861">
        <f t="shared" ref="E45:P45" si="13">+E44-D44</f>
        <v>0</v>
      </c>
      <c r="F45" s="861">
        <f t="shared" si="13"/>
        <v>0</v>
      </c>
      <c r="G45" s="861">
        <f t="shared" si="13"/>
        <v>0</v>
      </c>
      <c r="H45" s="861">
        <f t="shared" si="13"/>
        <v>43040</v>
      </c>
      <c r="I45" s="861">
        <f t="shared" si="13"/>
        <v>361</v>
      </c>
      <c r="J45" s="861">
        <f t="shared" si="13"/>
        <v>0</v>
      </c>
      <c r="K45" s="861">
        <f t="shared" si="13"/>
        <v>0</v>
      </c>
      <c r="L45" s="861">
        <f t="shared" si="13"/>
        <v>0</v>
      </c>
      <c r="M45" s="861">
        <f t="shared" si="13"/>
        <v>0</v>
      </c>
      <c r="N45" s="861">
        <f t="shared" si="13"/>
        <v>0</v>
      </c>
      <c r="O45" s="861">
        <f t="shared" si="13"/>
        <v>0</v>
      </c>
      <c r="P45" s="861">
        <f t="shared" si="13"/>
        <v>0</v>
      </c>
      <c r="R45" s="155"/>
    </row>
    <row r="46" spans="1:19" ht="11.25" customHeight="1">
      <c r="A46" s="878"/>
      <c r="B46" s="880" t="s">
        <v>865</v>
      </c>
      <c r="C46" s="880"/>
      <c r="E46" s="861">
        <v>1</v>
      </c>
      <c r="F46" s="861">
        <v>2</v>
      </c>
      <c r="G46" s="861">
        <v>3</v>
      </c>
      <c r="H46" s="861">
        <v>4</v>
      </c>
      <c r="I46" s="861">
        <v>5</v>
      </c>
      <c r="J46" s="861">
        <v>6</v>
      </c>
      <c r="K46" s="861">
        <v>7</v>
      </c>
      <c r="L46" s="861">
        <v>8</v>
      </c>
      <c r="M46" s="861">
        <v>9</v>
      </c>
      <c r="N46" s="861">
        <v>10</v>
      </c>
      <c r="O46" s="861">
        <v>11</v>
      </c>
      <c r="P46" s="861">
        <v>12</v>
      </c>
      <c r="R46" s="155"/>
    </row>
    <row r="47" spans="1:19" ht="11.25" customHeight="1">
      <c r="A47" s="878"/>
      <c r="B47" s="881">
        <v>0.1</v>
      </c>
      <c r="C47" s="880"/>
      <c r="E47" s="861">
        <f t="shared" ref="E47:P47" si="14">+E45*($B47/12)*E46</f>
        <v>0</v>
      </c>
      <c r="F47" s="861">
        <f t="shared" si="14"/>
        <v>0</v>
      </c>
      <c r="G47" s="861">
        <f t="shared" si="14"/>
        <v>0</v>
      </c>
      <c r="H47" s="861">
        <f t="shared" si="14"/>
        <v>1434.6666666666667</v>
      </c>
      <c r="I47" s="861">
        <f t="shared" si="14"/>
        <v>15.041666666666666</v>
      </c>
      <c r="J47" s="861">
        <f t="shared" si="14"/>
        <v>0</v>
      </c>
      <c r="K47" s="861">
        <f t="shared" si="14"/>
        <v>0</v>
      </c>
      <c r="L47" s="861">
        <f t="shared" si="14"/>
        <v>0</v>
      </c>
      <c r="M47" s="861">
        <f t="shared" si="14"/>
        <v>0</v>
      </c>
      <c r="N47" s="861">
        <f t="shared" si="14"/>
        <v>0</v>
      </c>
      <c r="O47" s="861">
        <f t="shared" si="14"/>
        <v>0</v>
      </c>
      <c r="P47" s="861">
        <f t="shared" si="14"/>
        <v>0</v>
      </c>
      <c r="Q47" s="861">
        <f>SUM(E47:P47)</f>
        <v>1449.7083333333335</v>
      </c>
      <c r="R47" s="155"/>
    </row>
    <row r="48" spans="1:19" ht="11.25" customHeight="1">
      <c r="A48" s="878">
        <f>A44+1</f>
        <v>16</v>
      </c>
      <c r="B48" s="860" t="s">
        <v>370</v>
      </c>
      <c r="R48" s="155"/>
    </row>
    <row r="49" spans="1:19" ht="11.25" customHeight="1">
      <c r="A49" s="878">
        <f>A48+1</f>
        <v>17</v>
      </c>
      <c r="B49" s="861" t="s">
        <v>371</v>
      </c>
      <c r="D49" s="861">
        <v>0</v>
      </c>
      <c r="E49" s="861">
        <v>0</v>
      </c>
      <c r="F49" s="861">
        <v>0</v>
      </c>
      <c r="G49" s="861">
        <v>0</v>
      </c>
      <c r="H49" s="861">
        <v>0</v>
      </c>
      <c r="I49" s="861">
        <v>0</v>
      </c>
      <c r="J49" s="861">
        <v>0</v>
      </c>
      <c r="K49" s="861">
        <v>0</v>
      </c>
      <c r="L49" s="861">
        <v>0</v>
      </c>
      <c r="M49" s="861">
        <v>0</v>
      </c>
      <c r="N49" s="861">
        <v>0</v>
      </c>
      <c r="O49" s="861">
        <v>0</v>
      </c>
      <c r="P49" s="861">
        <v>0</v>
      </c>
      <c r="R49" s="155">
        <f>ROUND(SUM(D49:P49)/13,0)</f>
        <v>0</v>
      </c>
    </row>
    <row r="50" spans="1:19" ht="11.25" customHeight="1">
      <c r="A50" s="878">
        <f>A49+1</f>
        <v>18</v>
      </c>
      <c r="B50" s="861" t="s">
        <v>372</v>
      </c>
      <c r="D50" s="861">
        <v>11595706</v>
      </c>
      <c r="E50" s="861">
        <v>11617790</v>
      </c>
      <c r="F50" s="861">
        <v>11651553</v>
      </c>
      <c r="G50" s="861">
        <v>11675958</v>
      </c>
      <c r="H50" s="861">
        <v>11683009</v>
      </c>
      <c r="I50" s="861">
        <v>11701767</v>
      </c>
      <c r="J50" s="861">
        <v>11716382</v>
      </c>
      <c r="K50" s="861">
        <v>11727515</v>
      </c>
      <c r="L50" s="861">
        <v>11737967</v>
      </c>
      <c r="M50" s="861">
        <v>11843009</v>
      </c>
      <c r="N50" s="861">
        <v>11845441</v>
      </c>
      <c r="O50" s="861">
        <v>11858205</v>
      </c>
      <c r="P50" s="861">
        <v>12093835</v>
      </c>
      <c r="R50" s="155">
        <f>ROUND(SUM(D50:P50)/13,0)</f>
        <v>11749857</v>
      </c>
    </row>
    <row r="51" spans="1:19" ht="11.25" customHeight="1">
      <c r="A51" s="878"/>
      <c r="B51" s="880" t="s">
        <v>866</v>
      </c>
      <c r="C51" s="880"/>
      <c r="E51" s="861">
        <f t="shared" ref="E51:P51" si="15">+E50-D50</f>
        <v>22084</v>
      </c>
      <c r="F51" s="861">
        <f t="shared" si="15"/>
        <v>33763</v>
      </c>
      <c r="G51" s="861">
        <f t="shared" si="15"/>
        <v>24405</v>
      </c>
      <c r="H51" s="861">
        <f t="shared" si="15"/>
        <v>7051</v>
      </c>
      <c r="I51" s="861">
        <f t="shared" si="15"/>
        <v>18758</v>
      </c>
      <c r="J51" s="861">
        <f t="shared" si="15"/>
        <v>14615</v>
      </c>
      <c r="K51" s="861">
        <f t="shared" si="15"/>
        <v>11133</v>
      </c>
      <c r="L51" s="861">
        <f t="shared" si="15"/>
        <v>10452</v>
      </c>
      <c r="M51" s="861">
        <f t="shared" si="15"/>
        <v>105042</v>
      </c>
      <c r="N51" s="861">
        <f t="shared" si="15"/>
        <v>2432</v>
      </c>
      <c r="O51" s="861">
        <f t="shared" si="15"/>
        <v>12764</v>
      </c>
      <c r="P51" s="861">
        <f t="shared" si="15"/>
        <v>235630</v>
      </c>
      <c r="R51" s="155"/>
    </row>
    <row r="52" spans="1:19" ht="11.25" customHeight="1">
      <c r="A52" s="878"/>
      <c r="B52" s="880" t="s">
        <v>865</v>
      </c>
      <c r="C52" s="880"/>
      <c r="E52" s="861">
        <v>1</v>
      </c>
      <c r="F52" s="861">
        <v>2</v>
      </c>
      <c r="G52" s="861">
        <v>3</v>
      </c>
      <c r="H52" s="861">
        <v>4</v>
      </c>
      <c r="I52" s="861">
        <v>5</v>
      </c>
      <c r="J52" s="861">
        <v>6</v>
      </c>
      <c r="K52" s="861">
        <v>7</v>
      </c>
      <c r="L52" s="861">
        <v>8</v>
      </c>
      <c r="M52" s="861">
        <v>9</v>
      </c>
      <c r="N52" s="861">
        <v>10</v>
      </c>
      <c r="O52" s="861">
        <v>11</v>
      </c>
      <c r="P52" s="861">
        <v>12</v>
      </c>
      <c r="R52" s="155"/>
    </row>
    <row r="53" spans="1:19" ht="11.25" customHeight="1">
      <c r="A53" s="878"/>
      <c r="B53" s="881">
        <v>3.1300000000000001E-2</v>
      </c>
      <c r="C53" s="880"/>
      <c r="E53" s="861">
        <f t="shared" ref="E53:P53" si="16">+E51*($B53/12)*E52</f>
        <v>57.602433333333337</v>
      </c>
      <c r="F53" s="861">
        <f t="shared" si="16"/>
        <v>176.13031666666669</v>
      </c>
      <c r="G53" s="861">
        <f t="shared" si="16"/>
        <v>190.96912500000002</v>
      </c>
      <c r="H53" s="861">
        <f t="shared" si="16"/>
        <v>73.565433333333345</v>
      </c>
      <c r="I53" s="861">
        <f t="shared" si="16"/>
        <v>244.63558333333336</v>
      </c>
      <c r="J53" s="861">
        <f t="shared" si="16"/>
        <v>228.72475000000003</v>
      </c>
      <c r="K53" s="861">
        <f t="shared" si="16"/>
        <v>203.270025</v>
      </c>
      <c r="L53" s="861">
        <f t="shared" si="16"/>
        <v>218.09840000000003</v>
      </c>
      <c r="M53" s="861">
        <f t="shared" si="16"/>
        <v>2465.8609500000002</v>
      </c>
      <c r="N53" s="861">
        <f t="shared" si="16"/>
        <v>63.434666666666672</v>
      </c>
      <c r="O53" s="861">
        <f t="shared" si="16"/>
        <v>366.2204333333334</v>
      </c>
      <c r="P53" s="861">
        <f t="shared" si="16"/>
        <v>7375.219000000001</v>
      </c>
      <c r="Q53" s="861">
        <f>SUM(E53:P53)</f>
        <v>11663.731116666668</v>
      </c>
      <c r="R53" s="155"/>
    </row>
    <row r="54" spans="1:19" ht="11.25" customHeight="1">
      <c r="A54" s="878">
        <f>A50+1</f>
        <v>19</v>
      </c>
      <c r="B54" s="882" t="s">
        <v>209</v>
      </c>
      <c r="D54" s="861">
        <v>210169</v>
      </c>
      <c r="E54" s="861">
        <v>210169</v>
      </c>
      <c r="F54" s="861">
        <v>210169</v>
      </c>
      <c r="G54" s="861">
        <v>210169</v>
      </c>
      <c r="H54" s="861">
        <v>210169</v>
      </c>
      <c r="I54" s="861">
        <v>210169</v>
      </c>
      <c r="J54" s="861">
        <v>210169</v>
      </c>
      <c r="K54" s="861">
        <v>210169</v>
      </c>
      <c r="L54" s="861">
        <v>210169</v>
      </c>
      <c r="M54" s="861">
        <v>454764</v>
      </c>
      <c r="N54" s="861">
        <v>454764</v>
      </c>
      <c r="O54" s="861">
        <v>454764</v>
      </c>
      <c r="P54" s="861">
        <v>454764</v>
      </c>
      <c r="R54" s="155">
        <f>ROUND(SUM(D54:P54)/13,0)</f>
        <v>285429</v>
      </c>
    </row>
    <row r="55" spans="1:19" ht="11.25" customHeight="1">
      <c r="A55" s="878"/>
      <c r="B55" s="880" t="s">
        <v>866</v>
      </c>
      <c r="C55" s="880"/>
      <c r="E55" s="861">
        <f t="shared" ref="E55:P55" si="17">+E54-D54</f>
        <v>0</v>
      </c>
      <c r="F55" s="861">
        <f t="shared" si="17"/>
        <v>0</v>
      </c>
      <c r="G55" s="861">
        <f t="shared" si="17"/>
        <v>0</v>
      </c>
      <c r="H55" s="861">
        <f t="shared" si="17"/>
        <v>0</v>
      </c>
      <c r="I55" s="861">
        <f t="shared" si="17"/>
        <v>0</v>
      </c>
      <c r="J55" s="861">
        <f t="shared" si="17"/>
        <v>0</v>
      </c>
      <c r="K55" s="861">
        <f t="shared" si="17"/>
        <v>0</v>
      </c>
      <c r="L55" s="861">
        <f t="shared" si="17"/>
        <v>0</v>
      </c>
      <c r="M55" s="861">
        <f t="shared" si="17"/>
        <v>244595</v>
      </c>
      <c r="N55" s="861">
        <f t="shared" si="17"/>
        <v>0</v>
      </c>
      <c r="O55" s="861">
        <f t="shared" si="17"/>
        <v>0</v>
      </c>
      <c r="P55" s="861">
        <f t="shared" si="17"/>
        <v>0</v>
      </c>
      <c r="R55" s="155"/>
    </row>
    <row r="56" spans="1:19" ht="11.25" customHeight="1">
      <c r="A56" s="878"/>
      <c r="B56" s="880" t="s">
        <v>865</v>
      </c>
      <c r="C56" s="880"/>
      <c r="E56" s="861">
        <v>1</v>
      </c>
      <c r="F56" s="861">
        <v>2</v>
      </c>
      <c r="G56" s="861">
        <v>3</v>
      </c>
      <c r="H56" s="861">
        <v>4</v>
      </c>
      <c r="I56" s="861">
        <v>5</v>
      </c>
      <c r="J56" s="861">
        <v>6</v>
      </c>
      <c r="K56" s="861">
        <v>7</v>
      </c>
      <c r="L56" s="861">
        <v>8</v>
      </c>
      <c r="M56" s="861">
        <v>9</v>
      </c>
      <c r="N56" s="861">
        <v>10</v>
      </c>
      <c r="O56" s="861">
        <v>11</v>
      </c>
      <c r="P56" s="861">
        <v>12</v>
      </c>
      <c r="R56" s="155"/>
    </row>
    <row r="57" spans="1:19" ht="11.25" customHeight="1">
      <c r="A57" s="878"/>
      <c r="B57" s="881">
        <v>0.05</v>
      </c>
      <c r="C57" s="880"/>
      <c r="E57" s="861">
        <f t="shared" ref="E57:P57" si="18">+E55*($B57/12)*E56</f>
        <v>0</v>
      </c>
      <c r="F57" s="861">
        <f t="shared" si="18"/>
        <v>0</v>
      </c>
      <c r="G57" s="861">
        <f t="shared" si="18"/>
        <v>0</v>
      </c>
      <c r="H57" s="861">
        <f t="shared" si="18"/>
        <v>0</v>
      </c>
      <c r="I57" s="861">
        <f t="shared" si="18"/>
        <v>0</v>
      </c>
      <c r="J57" s="861">
        <f t="shared" si="18"/>
        <v>0</v>
      </c>
      <c r="K57" s="861">
        <f t="shared" si="18"/>
        <v>0</v>
      </c>
      <c r="L57" s="861">
        <f t="shared" si="18"/>
        <v>0</v>
      </c>
      <c r="M57" s="861">
        <f t="shared" si="18"/>
        <v>9172.3125</v>
      </c>
      <c r="N57" s="861">
        <f t="shared" si="18"/>
        <v>0</v>
      </c>
      <c r="O57" s="861">
        <f t="shared" si="18"/>
        <v>0</v>
      </c>
      <c r="P57" s="861">
        <f t="shared" si="18"/>
        <v>0</v>
      </c>
      <c r="Q57" s="861">
        <f>SUM(E57:P57)</f>
        <v>9172.3125</v>
      </c>
      <c r="R57" s="155"/>
    </row>
    <row r="58" spans="1:19" ht="11.25" customHeight="1">
      <c r="A58" s="878">
        <f>A54+1</f>
        <v>20</v>
      </c>
      <c r="B58" s="861" t="s">
        <v>373</v>
      </c>
      <c r="D58" s="861">
        <v>608827</v>
      </c>
      <c r="E58" s="861">
        <v>608827</v>
      </c>
      <c r="F58" s="861">
        <v>608827</v>
      </c>
      <c r="G58" s="861">
        <v>608827</v>
      </c>
      <c r="H58" s="861">
        <v>608827</v>
      </c>
      <c r="I58" s="861">
        <v>608827</v>
      </c>
      <c r="J58" s="861">
        <v>608827</v>
      </c>
      <c r="K58" s="861">
        <v>608827</v>
      </c>
      <c r="L58" s="861">
        <v>608827</v>
      </c>
      <c r="M58" s="861">
        <v>610577</v>
      </c>
      <c r="N58" s="861">
        <v>610577</v>
      </c>
      <c r="O58" s="861">
        <v>610577</v>
      </c>
      <c r="P58" s="861">
        <v>610577</v>
      </c>
      <c r="R58" s="155">
        <f>ROUND(SUM(D58:P58)/13,0)</f>
        <v>609365</v>
      </c>
      <c r="S58" s="861">
        <f>+R58-D58</f>
        <v>538</v>
      </c>
    </row>
    <row r="59" spans="1:19" s="52" customFormat="1" ht="11.25" customHeight="1">
      <c r="A59" s="884"/>
      <c r="B59" s="885" t="s">
        <v>866</v>
      </c>
      <c r="C59" s="885"/>
      <c r="E59" s="52">
        <f t="shared" ref="E59:L59" si="19">+E57-D57</f>
        <v>0</v>
      </c>
      <c r="F59" s="52">
        <f t="shared" si="19"/>
        <v>0</v>
      </c>
      <c r="G59" s="52">
        <f t="shared" si="19"/>
        <v>0</v>
      </c>
      <c r="H59" s="52">
        <f t="shared" si="19"/>
        <v>0</v>
      </c>
      <c r="I59" s="52">
        <f t="shared" si="19"/>
        <v>0</v>
      </c>
      <c r="J59" s="52">
        <f t="shared" si="19"/>
        <v>0</v>
      </c>
      <c r="K59" s="52">
        <f t="shared" si="19"/>
        <v>0</v>
      </c>
      <c r="L59" s="52">
        <f t="shared" si="19"/>
        <v>0</v>
      </c>
      <c r="M59" s="861">
        <f>+M58-L58</f>
        <v>1750</v>
      </c>
      <c r="N59" s="861">
        <f>+N58-M58</f>
        <v>0</v>
      </c>
      <c r="O59" s="52">
        <f>+O57-N57</f>
        <v>0</v>
      </c>
      <c r="P59" s="52">
        <f>+P57-O57</f>
        <v>0</v>
      </c>
      <c r="R59" s="190"/>
    </row>
    <row r="60" spans="1:19" s="52" customFormat="1" ht="11.25" customHeight="1">
      <c r="A60" s="884"/>
      <c r="B60" s="885" t="s">
        <v>865</v>
      </c>
      <c r="C60" s="885"/>
      <c r="E60" s="52">
        <v>1</v>
      </c>
      <c r="F60" s="52">
        <v>2</v>
      </c>
      <c r="G60" s="52">
        <v>3</v>
      </c>
      <c r="H60" s="52">
        <v>4</v>
      </c>
      <c r="I60" s="52">
        <v>5</v>
      </c>
      <c r="J60" s="52">
        <v>6</v>
      </c>
      <c r="K60" s="52">
        <v>7</v>
      </c>
      <c r="L60" s="52">
        <v>8</v>
      </c>
      <c r="M60" s="52">
        <v>9</v>
      </c>
      <c r="N60" s="52">
        <v>10</v>
      </c>
      <c r="O60" s="52">
        <v>11</v>
      </c>
      <c r="P60" s="52">
        <v>12</v>
      </c>
      <c r="R60" s="190"/>
    </row>
    <row r="61" spans="1:19" s="52" customFormat="1" ht="11.25" customHeight="1">
      <c r="A61" s="884"/>
      <c r="B61" s="886">
        <v>3.3333333333333333E-2</v>
      </c>
      <c r="C61" s="885"/>
      <c r="E61" s="52">
        <f t="shared" ref="E61:P61" si="20">+E59*($B61/12)*E60</f>
        <v>0</v>
      </c>
      <c r="F61" s="52">
        <f t="shared" si="20"/>
        <v>0</v>
      </c>
      <c r="G61" s="52">
        <f t="shared" si="20"/>
        <v>0</v>
      </c>
      <c r="H61" s="52">
        <f t="shared" si="20"/>
        <v>0</v>
      </c>
      <c r="I61" s="52">
        <f t="shared" si="20"/>
        <v>0</v>
      </c>
      <c r="J61" s="52">
        <f t="shared" si="20"/>
        <v>0</v>
      </c>
      <c r="K61" s="52">
        <f t="shared" si="20"/>
        <v>0</v>
      </c>
      <c r="L61" s="52">
        <f t="shared" si="20"/>
        <v>0</v>
      </c>
      <c r="M61" s="52">
        <f t="shared" si="20"/>
        <v>43.750000000000007</v>
      </c>
      <c r="N61" s="52">
        <f t="shared" si="20"/>
        <v>0</v>
      </c>
      <c r="O61" s="52">
        <f t="shared" si="20"/>
        <v>0</v>
      </c>
      <c r="P61" s="52">
        <f t="shared" si="20"/>
        <v>0</v>
      </c>
      <c r="Q61" s="52">
        <f>SUM(E61:P61)</f>
        <v>43.750000000000007</v>
      </c>
      <c r="R61" s="190"/>
    </row>
    <row r="62" spans="1:19" ht="11.25" customHeight="1">
      <c r="A62" s="878">
        <f>A58+1</f>
        <v>21</v>
      </c>
      <c r="B62" s="861" t="s">
        <v>374</v>
      </c>
      <c r="D62" s="861">
        <v>2653808</v>
      </c>
      <c r="E62" s="861">
        <v>2672632</v>
      </c>
      <c r="F62" s="861">
        <v>2684416</v>
      </c>
      <c r="G62" s="861">
        <v>2718830</v>
      </c>
      <c r="H62" s="861">
        <v>2747926</v>
      </c>
      <c r="I62" s="861">
        <v>2761355</v>
      </c>
      <c r="J62" s="861">
        <v>2815832</v>
      </c>
      <c r="K62" s="861">
        <v>2874988</v>
      </c>
      <c r="L62" s="861">
        <v>2918514</v>
      </c>
      <c r="M62" s="861">
        <v>2938273</v>
      </c>
      <c r="N62" s="861">
        <v>3031804</v>
      </c>
      <c r="O62" s="861">
        <v>3026430</v>
      </c>
      <c r="P62" s="861">
        <v>3094943</v>
      </c>
      <c r="R62" s="155">
        <f>ROUND(SUM(D62:P62)/13,0)</f>
        <v>2841519</v>
      </c>
    </row>
    <row r="63" spans="1:19" ht="11.25" customHeight="1">
      <c r="A63" s="878"/>
      <c r="B63" s="880" t="s">
        <v>866</v>
      </c>
      <c r="C63" s="880"/>
      <c r="E63" s="861">
        <f t="shared" ref="E63:P63" si="21">+E62-D62</f>
        <v>18824</v>
      </c>
      <c r="F63" s="861">
        <f t="shared" si="21"/>
        <v>11784</v>
      </c>
      <c r="G63" s="861">
        <f t="shared" si="21"/>
        <v>34414</v>
      </c>
      <c r="H63" s="861">
        <f t="shared" si="21"/>
        <v>29096</v>
      </c>
      <c r="I63" s="861">
        <f t="shared" si="21"/>
        <v>13429</v>
      </c>
      <c r="J63" s="861">
        <f t="shared" si="21"/>
        <v>54477</v>
      </c>
      <c r="K63" s="861">
        <f t="shared" si="21"/>
        <v>59156</v>
      </c>
      <c r="L63" s="861">
        <f t="shared" si="21"/>
        <v>43526</v>
      </c>
      <c r="M63" s="861">
        <f t="shared" si="21"/>
        <v>19759</v>
      </c>
      <c r="N63" s="861">
        <f t="shared" si="21"/>
        <v>93531</v>
      </c>
      <c r="O63" s="861">
        <f t="shared" si="21"/>
        <v>-5374</v>
      </c>
      <c r="P63" s="861">
        <f t="shared" si="21"/>
        <v>68513</v>
      </c>
      <c r="R63" s="155"/>
    </row>
    <row r="64" spans="1:19" ht="11.25" customHeight="1">
      <c r="A64" s="878"/>
      <c r="B64" s="880" t="s">
        <v>865</v>
      </c>
      <c r="C64" s="880"/>
      <c r="E64" s="861">
        <v>1</v>
      </c>
      <c r="F64" s="861">
        <v>2</v>
      </c>
      <c r="G64" s="861">
        <v>3</v>
      </c>
      <c r="H64" s="861">
        <v>4</v>
      </c>
      <c r="I64" s="861">
        <v>5</v>
      </c>
      <c r="J64" s="861">
        <v>6</v>
      </c>
      <c r="K64" s="861">
        <v>7</v>
      </c>
      <c r="L64" s="861">
        <v>8</v>
      </c>
      <c r="M64" s="861">
        <v>9</v>
      </c>
      <c r="N64" s="861">
        <v>10</v>
      </c>
      <c r="O64" s="861">
        <v>11</v>
      </c>
      <c r="P64" s="861">
        <v>12</v>
      </c>
      <c r="R64" s="155"/>
    </row>
    <row r="65" spans="1:19" ht="11.25" customHeight="1">
      <c r="A65" s="878"/>
      <c r="B65" s="881">
        <v>5.5555555555555552E-2</v>
      </c>
      <c r="C65" s="880"/>
      <c r="E65" s="861">
        <f t="shared" ref="E65:P65" si="22">+E63*($B65/12)*E64</f>
        <v>87.148148148148138</v>
      </c>
      <c r="F65" s="861">
        <f t="shared" si="22"/>
        <v>109.1111111111111</v>
      </c>
      <c r="G65" s="861">
        <f t="shared" si="22"/>
        <v>477.97222222222223</v>
      </c>
      <c r="H65" s="861">
        <f t="shared" si="22"/>
        <v>538.81481481481478</v>
      </c>
      <c r="I65" s="861">
        <f t="shared" si="22"/>
        <v>310.85648148148147</v>
      </c>
      <c r="J65" s="861">
        <f t="shared" si="22"/>
        <v>1513.25</v>
      </c>
      <c r="K65" s="861">
        <f t="shared" si="22"/>
        <v>1917.0925925925926</v>
      </c>
      <c r="L65" s="861">
        <f t="shared" si="22"/>
        <v>1612.0740740740739</v>
      </c>
      <c r="M65" s="861">
        <f t="shared" si="22"/>
        <v>823.29166666666663</v>
      </c>
      <c r="N65" s="861">
        <f t="shared" si="22"/>
        <v>4330.1388888888887</v>
      </c>
      <c r="O65" s="861">
        <f t="shared" si="22"/>
        <v>-273.67592592592592</v>
      </c>
      <c r="P65" s="861">
        <f t="shared" si="22"/>
        <v>3806.2777777777774</v>
      </c>
      <c r="Q65" s="861">
        <f>SUM(E65:P65)</f>
        <v>15252.351851851852</v>
      </c>
      <c r="R65" s="155"/>
    </row>
    <row r="66" spans="1:19" ht="11.25" customHeight="1">
      <c r="A66" s="878">
        <f>A62+1</f>
        <v>22</v>
      </c>
      <c r="B66" s="861" t="s">
        <v>375</v>
      </c>
      <c r="D66" s="883">
        <v>57154</v>
      </c>
      <c r="E66" s="861">
        <v>57154</v>
      </c>
      <c r="F66" s="861">
        <v>57154</v>
      </c>
      <c r="G66" s="861">
        <v>55123</v>
      </c>
      <c r="H66" s="861">
        <v>55123</v>
      </c>
      <c r="I66" s="861">
        <v>55123</v>
      </c>
      <c r="J66" s="861">
        <v>55123</v>
      </c>
      <c r="K66" s="861">
        <v>55371</v>
      </c>
      <c r="L66" s="861">
        <v>55371</v>
      </c>
      <c r="M66" s="861">
        <v>55371</v>
      </c>
      <c r="N66" s="861">
        <v>55733</v>
      </c>
      <c r="O66" s="861">
        <v>55733</v>
      </c>
      <c r="P66" s="861">
        <v>55868</v>
      </c>
      <c r="R66" s="155">
        <f>ROUND(SUM(D66:P66)/13,0)</f>
        <v>55800</v>
      </c>
    </row>
    <row r="67" spans="1:19" ht="11.25" customHeight="1">
      <c r="A67" s="878">
        <f>A66+1</f>
        <v>23</v>
      </c>
      <c r="B67" s="860" t="s">
        <v>449</v>
      </c>
      <c r="R67" s="155"/>
    </row>
    <row r="68" spans="1:19" ht="11.25" customHeight="1">
      <c r="A68" s="878">
        <f>A67+1</f>
        <v>24</v>
      </c>
      <c r="B68" s="861" t="s">
        <v>103</v>
      </c>
      <c r="D68" s="861">
        <v>276248</v>
      </c>
      <c r="E68" s="861">
        <v>276248</v>
      </c>
      <c r="F68" s="861">
        <v>276248</v>
      </c>
      <c r="G68" s="861">
        <v>276248</v>
      </c>
      <c r="H68" s="861">
        <v>276248</v>
      </c>
      <c r="I68" s="861">
        <v>276248</v>
      </c>
      <c r="J68" s="861">
        <v>276248</v>
      </c>
      <c r="K68" s="861">
        <v>276248</v>
      </c>
      <c r="L68" s="861">
        <v>276248</v>
      </c>
      <c r="M68" s="861">
        <v>276248</v>
      </c>
      <c r="N68" s="861">
        <v>276248</v>
      </c>
      <c r="O68" s="861">
        <v>276248</v>
      </c>
      <c r="P68" s="861">
        <v>276248</v>
      </c>
      <c r="R68" s="155">
        <f>ROUND(SUM(D68:P68)/13,0)</f>
        <v>276248</v>
      </c>
      <c r="S68" s="861">
        <f>+R68-D68</f>
        <v>0</v>
      </c>
    </row>
    <row r="69" spans="1:19" ht="11.25" customHeight="1">
      <c r="A69" s="878">
        <f>A68+1</f>
        <v>25</v>
      </c>
      <c r="B69" s="861" t="s">
        <v>104</v>
      </c>
      <c r="D69" s="861">
        <v>18279600</v>
      </c>
      <c r="E69" s="861">
        <v>18284709</v>
      </c>
      <c r="F69" s="861">
        <v>18288990</v>
      </c>
      <c r="G69" s="861">
        <v>16991154</v>
      </c>
      <c r="H69" s="861">
        <v>16995142</v>
      </c>
      <c r="I69" s="861">
        <v>17229573</v>
      </c>
      <c r="J69" s="861">
        <v>17262443</v>
      </c>
      <c r="K69" s="861">
        <v>17305484</v>
      </c>
      <c r="L69" s="861">
        <v>17324734</v>
      </c>
      <c r="M69" s="861">
        <v>17327372</v>
      </c>
      <c r="N69" s="861">
        <v>17333334</v>
      </c>
      <c r="O69" s="861">
        <v>17567512</v>
      </c>
      <c r="P69" s="861">
        <v>17604036</v>
      </c>
      <c r="R69" s="155">
        <f>ROUND(SUM(D69:P69)/13,0)</f>
        <v>17522622</v>
      </c>
    </row>
    <row r="70" spans="1:19" ht="11.25" customHeight="1">
      <c r="A70" s="878"/>
      <c r="B70" s="880" t="s">
        <v>866</v>
      </c>
      <c r="C70" s="880"/>
      <c r="E70" s="861">
        <f t="shared" ref="E70:P70" si="23">+E69-D69</f>
        <v>5109</v>
      </c>
      <c r="F70" s="861">
        <f t="shared" si="23"/>
        <v>4281</v>
      </c>
      <c r="G70" s="861">
        <f t="shared" si="23"/>
        <v>-1297836</v>
      </c>
      <c r="H70" s="861">
        <f t="shared" si="23"/>
        <v>3988</v>
      </c>
      <c r="I70" s="861">
        <f t="shared" si="23"/>
        <v>234431</v>
      </c>
      <c r="J70" s="861">
        <f t="shared" si="23"/>
        <v>32870</v>
      </c>
      <c r="K70" s="861">
        <f t="shared" si="23"/>
        <v>43041</v>
      </c>
      <c r="L70" s="861">
        <f t="shared" si="23"/>
        <v>19250</v>
      </c>
      <c r="M70" s="861">
        <f t="shared" si="23"/>
        <v>2638</v>
      </c>
      <c r="N70" s="861">
        <f t="shared" si="23"/>
        <v>5962</v>
      </c>
      <c r="O70" s="861">
        <f t="shared" si="23"/>
        <v>234178</v>
      </c>
      <c r="P70" s="861">
        <f t="shared" si="23"/>
        <v>36524</v>
      </c>
      <c r="R70" s="155"/>
    </row>
    <row r="71" spans="1:19" ht="11.25" customHeight="1">
      <c r="A71" s="878"/>
      <c r="B71" s="880" t="s">
        <v>865</v>
      </c>
      <c r="C71" s="880"/>
      <c r="E71" s="861">
        <v>1</v>
      </c>
      <c r="F71" s="861">
        <v>2</v>
      </c>
      <c r="G71" s="861">
        <v>3</v>
      </c>
      <c r="H71" s="861">
        <v>4</v>
      </c>
      <c r="I71" s="861">
        <v>5</v>
      </c>
      <c r="J71" s="861">
        <v>6</v>
      </c>
      <c r="K71" s="861">
        <v>7</v>
      </c>
      <c r="L71" s="861">
        <v>8</v>
      </c>
      <c r="M71" s="861">
        <v>9</v>
      </c>
      <c r="N71" s="861">
        <v>10</v>
      </c>
      <c r="O71" s="861">
        <v>11</v>
      </c>
      <c r="P71" s="861">
        <v>12</v>
      </c>
      <c r="R71" s="155"/>
    </row>
    <row r="72" spans="1:19" ht="11.25" customHeight="1">
      <c r="A72" s="878"/>
      <c r="B72" s="881">
        <v>3.1300000000000001E-2</v>
      </c>
      <c r="C72" s="880"/>
      <c r="E72" s="861">
        <f t="shared" ref="E72:P72" si="24">+E70*($B72/12)*E71</f>
        <v>13.325975000000001</v>
      </c>
      <c r="F72" s="861">
        <f t="shared" si="24"/>
        <v>22.332550000000001</v>
      </c>
      <c r="G72" s="861">
        <f t="shared" si="24"/>
        <v>-10155.566700000001</v>
      </c>
      <c r="H72" s="861">
        <f t="shared" si="24"/>
        <v>41.608133333333335</v>
      </c>
      <c r="I72" s="861">
        <f t="shared" si="24"/>
        <v>3057.3709583333334</v>
      </c>
      <c r="J72" s="861">
        <f t="shared" si="24"/>
        <v>514.41550000000007</v>
      </c>
      <c r="K72" s="861">
        <f t="shared" si="24"/>
        <v>785.85692500000016</v>
      </c>
      <c r="L72" s="861">
        <f t="shared" si="24"/>
        <v>401.68333333333339</v>
      </c>
      <c r="M72" s="861">
        <f t="shared" si="24"/>
        <v>61.927050000000008</v>
      </c>
      <c r="N72" s="861">
        <f t="shared" si="24"/>
        <v>155.50883333333334</v>
      </c>
      <c r="O72" s="861">
        <f t="shared" si="24"/>
        <v>6718.9571166666674</v>
      </c>
      <c r="P72" s="861">
        <f t="shared" si="24"/>
        <v>1143.2012000000002</v>
      </c>
      <c r="Q72" s="861">
        <f>SUM(E72:P72)</f>
        <v>2760.6208750000005</v>
      </c>
      <c r="R72" s="155"/>
    </row>
    <row r="73" spans="1:19" ht="11.25" customHeight="1">
      <c r="A73" s="878">
        <f>A69+1</f>
        <v>26</v>
      </c>
      <c r="B73" s="882" t="s">
        <v>210</v>
      </c>
      <c r="D73" s="861">
        <v>111696</v>
      </c>
      <c r="E73" s="861">
        <v>111696</v>
      </c>
      <c r="F73" s="861">
        <v>111696</v>
      </c>
      <c r="G73" s="861">
        <v>112215</v>
      </c>
      <c r="H73" s="861">
        <v>112215</v>
      </c>
      <c r="I73" s="861">
        <v>112215</v>
      </c>
      <c r="J73" s="861">
        <v>112215</v>
      </c>
      <c r="K73" s="861">
        <v>113246</v>
      </c>
      <c r="L73" s="861">
        <v>113246</v>
      </c>
      <c r="M73" s="861">
        <v>113246</v>
      </c>
      <c r="N73" s="861">
        <v>113246</v>
      </c>
      <c r="O73" s="861">
        <v>113246</v>
      </c>
      <c r="P73" s="861">
        <v>113246</v>
      </c>
      <c r="R73" s="155">
        <f>ROUND(SUM(D73:P73)/13,0)</f>
        <v>112571</v>
      </c>
    </row>
    <row r="74" spans="1:19" ht="11.25" customHeight="1">
      <c r="A74" s="878"/>
      <c r="B74" s="880" t="s">
        <v>866</v>
      </c>
      <c r="C74" s="880"/>
      <c r="E74" s="861">
        <f t="shared" ref="E74:P74" si="25">+E73-D73</f>
        <v>0</v>
      </c>
      <c r="F74" s="861">
        <f t="shared" si="25"/>
        <v>0</v>
      </c>
      <c r="G74" s="861">
        <f t="shared" si="25"/>
        <v>519</v>
      </c>
      <c r="H74" s="861">
        <f t="shared" si="25"/>
        <v>0</v>
      </c>
      <c r="I74" s="861">
        <f t="shared" si="25"/>
        <v>0</v>
      </c>
      <c r="J74" s="861">
        <f t="shared" si="25"/>
        <v>0</v>
      </c>
      <c r="K74" s="861">
        <f t="shared" si="25"/>
        <v>1031</v>
      </c>
      <c r="L74" s="861">
        <f t="shared" si="25"/>
        <v>0</v>
      </c>
      <c r="M74" s="861">
        <f t="shared" si="25"/>
        <v>0</v>
      </c>
      <c r="N74" s="861">
        <f t="shared" si="25"/>
        <v>0</v>
      </c>
      <c r="O74" s="861">
        <f t="shared" si="25"/>
        <v>0</v>
      </c>
      <c r="P74" s="861">
        <f t="shared" si="25"/>
        <v>0</v>
      </c>
      <c r="R74" s="155"/>
    </row>
    <row r="75" spans="1:19" ht="11.25" customHeight="1">
      <c r="A75" s="878"/>
      <c r="B75" s="880" t="s">
        <v>865</v>
      </c>
      <c r="C75" s="880"/>
      <c r="E75" s="861">
        <v>1</v>
      </c>
      <c r="F75" s="861">
        <v>2</v>
      </c>
      <c r="G75" s="861">
        <v>3</v>
      </c>
      <c r="H75" s="861">
        <v>4</v>
      </c>
      <c r="I75" s="861">
        <v>5</v>
      </c>
      <c r="J75" s="861">
        <v>6</v>
      </c>
      <c r="K75" s="861">
        <v>7</v>
      </c>
      <c r="L75" s="861">
        <v>8</v>
      </c>
      <c r="M75" s="861">
        <v>9</v>
      </c>
      <c r="N75" s="861">
        <v>10</v>
      </c>
      <c r="O75" s="861">
        <v>11</v>
      </c>
      <c r="P75" s="861">
        <v>12</v>
      </c>
      <c r="R75" s="155"/>
    </row>
    <row r="76" spans="1:19" ht="11.25" customHeight="1">
      <c r="A76" s="878"/>
      <c r="B76" s="881">
        <v>0.05</v>
      </c>
      <c r="C76" s="880"/>
      <c r="E76" s="861">
        <f t="shared" ref="E76:P76" si="26">+E74*($B76/12)*E75</f>
        <v>0</v>
      </c>
      <c r="F76" s="861">
        <f t="shared" si="26"/>
        <v>0</v>
      </c>
      <c r="G76" s="861">
        <f t="shared" si="26"/>
        <v>6.4875000000000007</v>
      </c>
      <c r="H76" s="861">
        <f t="shared" si="26"/>
        <v>0</v>
      </c>
      <c r="I76" s="861">
        <f t="shared" si="26"/>
        <v>0</v>
      </c>
      <c r="J76" s="861">
        <f t="shared" si="26"/>
        <v>0</v>
      </c>
      <c r="K76" s="861">
        <f t="shared" si="26"/>
        <v>30.070833333333333</v>
      </c>
      <c r="L76" s="861">
        <f t="shared" si="26"/>
        <v>0</v>
      </c>
      <c r="M76" s="861">
        <f t="shared" si="26"/>
        <v>0</v>
      </c>
      <c r="N76" s="861">
        <f t="shared" si="26"/>
        <v>0</v>
      </c>
      <c r="O76" s="861">
        <f t="shared" si="26"/>
        <v>0</v>
      </c>
      <c r="P76" s="861">
        <f t="shared" si="26"/>
        <v>0</v>
      </c>
      <c r="Q76" s="861">
        <f>SUM(E76:P76)</f>
        <v>36.558333333333337</v>
      </c>
      <c r="R76" s="155"/>
    </row>
    <row r="77" spans="1:19" ht="11.25" customHeight="1">
      <c r="A77" s="878">
        <f>A73+1</f>
        <v>27</v>
      </c>
      <c r="B77" s="861" t="s">
        <v>105</v>
      </c>
      <c r="D77" s="861">
        <v>12374953</v>
      </c>
      <c r="E77" s="861">
        <v>12377943</v>
      </c>
      <c r="F77" s="861">
        <v>12396930</v>
      </c>
      <c r="G77" s="861">
        <v>11953373</v>
      </c>
      <c r="H77" s="861">
        <v>12195520</v>
      </c>
      <c r="I77" s="861">
        <v>12209383</v>
      </c>
      <c r="J77" s="861">
        <v>12230987</v>
      </c>
      <c r="K77" s="861">
        <v>12246721</v>
      </c>
      <c r="L77" s="861">
        <v>12272276</v>
      </c>
      <c r="M77" s="861">
        <v>12276607</v>
      </c>
      <c r="N77" s="861">
        <v>12283821</v>
      </c>
      <c r="O77" s="861">
        <v>12283733</v>
      </c>
      <c r="P77" s="861">
        <v>12578001</v>
      </c>
      <c r="R77" s="155">
        <f>ROUND(SUM(D77:P77)/13,0)</f>
        <v>12283096</v>
      </c>
    </row>
    <row r="78" spans="1:19" ht="11.25" customHeight="1">
      <c r="A78" s="878"/>
      <c r="B78" s="880" t="s">
        <v>866</v>
      </c>
      <c r="C78" s="880"/>
      <c r="E78" s="861">
        <f t="shared" ref="E78:P78" si="27">+E77-D77</f>
        <v>2990</v>
      </c>
      <c r="F78" s="861">
        <f t="shared" si="27"/>
        <v>18987</v>
      </c>
      <c r="G78" s="861">
        <f t="shared" si="27"/>
        <v>-443557</v>
      </c>
      <c r="H78" s="861">
        <f t="shared" si="27"/>
        <v>242147</v>
      </c>
      <c r="I78" s="861">
        <f t="shared" si="27"/>
        <v>13863</v>
      </c>
      <c r="J78" s="861">
        <f t="shared" si="27"/>
        <v>21604</v>
      </c>
      <c r="K78" s="861">
        <f t="shared" si="27"/>
        <v>15734</v>
      </c>
      <c r="L78" s="861">
        <f t="shared" si="27"/>
        <v>25555</v>
      </c>
      <c r="M78" s="861">
        <f t="shared" si="27"/>
        <v>4331</v>
      </c>
      <c r="N78" s="861">
        <f t="shared" si="27"/>
        <v>7214</v>
      </c>
      <c r="O78" s="861">
        <f t="shared" si="27"/>
        <v>-88</v>
      </c>
      <c r="P78" s="861">
        <f t="shared" si="27"/>
        <v>294268</v>
      </c>
      <c r="R78" s="155"/>
    </row>
    <row r="79" spans="1:19" ht="11.25" customHeight="1">
      <c r="A79" s="878"/>
      <c r="B79" s="880" t="s">
        <v>865</v>
      </c>
      <c r="C79" s="880"/>
      <c r="E79" s="861">
        <v>1</v>
      </c>
      <c r="F79" s="861">
        <v>2</v>
      </c>
      <c r="G79" s="861">
        <v>3</v>
      </c>
      <c r="H79" s="861">
        <v>4</v>
      </c>
      <c r="I79" s="861">
        <v>5</v>
      </c>
      <c r="J79" s="861">
        <v>6</v>
      </c>
      <c r="K79" s="861">
        <v>7</v>
      </c>
      <c r="L79" s="861">
        <v>8</v>
      </c>
      <c r="M79" s="861">
        <v>9</v>
      </c>
      <c r="N79" s="861">
        <v>10</v>
      </c>
      <c r="O79" s="861">
        <v>11</v>
      </c>
      <c r="P79" s="861">
        <v>12</v>
      </c>
      <c r="R79" s="155"/>
    </row>
    <row r="80" spans="1:19" ht="11.25" customHeight="1">
      <c r="A80" s="878"/>
      <c r="B80" s="881">
        <v>5.5555555555555552E-2</v>
      </c>
      <c r="C80" s="880"/>
      <c r="E80" s="861">
        <f t="shared" ref="E80:P80" si="28">+E78*($B80/12)*E79</f>
        <v>13.842592592592592</v>
      </c>
      <c r="F80" s="861">
        <f t="shared" si="28"/>
        <v>175.80555555555554</v>
      </c>
      <c r="G80" s="861">
        <f t="shared" si="28"/>
        <v>-6160.5138888888887</v>
      </c>
      <c r="H80" s="861">
        <f t="shared" si="28"/>
        <v>4484.2037037037035</v>
      </c>
      <c r="I80" s="861">
        <f t="shared" si="28"/>
        <v>320.90277777777777</v>
      </c>
      <c r="J80" s="861">
        <f t="shared" si="28"/>
        <v>600.11111111111109</v>
      </c>
      <c r="K80" s="861">
        <f t="shared" si="28"/>
        <v>509.89814814814815</v>
      </c>
      <c r="L80" s="861">
        <f t="shared" si="28"/>
        <v>946.48148148148141</v>
      </c>
      <c r="M80" s="861">
        <f t="shared" si="28"/>
        <v>180.45833333333331</v>
      </c>
      <c r="N80" s="861">
        <f t="shared" si="28"/>
        <v>333.98148148148147</v>
      </c>
      <c r="O80" s="861">
        <f t="shared" si="28"/>
        <v>-4.481481481481481</v>
      </c>
      <c r="P80" s="861">
        <f t="shared" si="28"/>
        <v>16348.222222222221</v>
      </c>
      <c r="Q80" s="861">
        <f>SUM(E80:P80)</f>
        <v>17748.912037037036</v>
      </c>
      <c r="R80" s="155"/>
    </row>
    <row r="81" spans="1:19" ht="11.25" customHeight="1">
      <c r="A81" s="878">
        <f>A77+1</f>
        <v>28</v>
      </c>
      <c r="B81" s="861" t="s">
        <v>106</v>
      </c>
      <c r="D81" s="861">
        <v>3413265</v>
      </c>
      <c r="E81" s="861">
        <v>3413265</v>
      </c>
      <c r="F81" s="861">
        <v>3420309</v>
      </c>
      <c r="G81" s="861">
        <v>3393586</v>
      </c>
      <c r="H81" s="861">
        <v>3403956</v>
      </c>
      <c r="I81" s="861">
        <v>3408041</v>
      </c>
      <c r="J81" s="861">
        <v>3412101</v>
      </c>
      <c r="K81" s="861">
        <v>3408396</v>
      </c>
      <c r="L81" s="861">
        <v>3410528</v>
      </c>
      <c r="M81" s="861">
        <v>3415490</v>
      </c>
      <c r="N81" s="861">
        <v>3432230</v>
      </c>
      <c r="O81" s="861">
        <v>3433687</v>
      </c>
      <c r="P81" s="861">
        <v>3435590</v>
      </c>
      <c r="R81" s="155">
        <f>ROUND(SUM(D81:P81)/13,0)</f>
        <v>3415419</v>
      </c>
    </row>
    <row r="82" spans="1:19" ht="11.25" customHeight="1">
      <c r="A82" s="878"/>
      <c r="B82" s="880" t="s">
        <v>866</v>
      </c>
      <c r="C82" s="880"/>
      <c r="E82" s="861">
        <f t="shared" ref="E82:P82" si="29">+E81-D81</f>
        <v>0</v>
      </c>
      <c r="F82" s="861">
        <f t="shared" si="29"/>
        <v>7044</v>
      </c>
      <c r="G82" s="861">
        <f t="shared" si="29"/>
        <v>-26723</v>
      </c>
      <c r="H82" s="861">
        <f t="shared" si="29"/>
        <v>10370</v>
      </c>
      <c r="I82" s="861">
        <f t="shared" si="29"/>
        <v>4085</v>
      </c>
      <c r="J82" s="861">
        <f t="shared" si="29"/>
        <v>4060</v>
      </c>
      <c r="K82" s="861">
        <f t="shared" si="29"/>
        <v>-3705</v>
      </c>
      <c r="L82" s="861">
        <f t="shared" si="29"/>
        <v>2132</v>
      </c>
      <c r="M82" s="861">
        <f t="shared" si="29"/>
        <v>4962</v>
      </c>
      <c r="N82" s="861">
        <f t="shared" si="29"/>
        <v>16740</v>
      </c>
      <c r="O82" s="861">
        <f t="shared" si="29"/>
        <v>1457</v>
      </c>
      <c r="P82" s="861">
        <f t="shared" si="29"/>
        <v>1903</v>
      </c>
      <c r="R82" s="155"/>
    </row>
    <row r="83" spans="1:19" ht="11.25" customHeight="1">
      <c r="A83" s="878"/>
      <c r="B83" s="880" t="s">
        <v>865</v>
      </c>
      <c r="C83" s="880"/>
      <c r="E83" s="861">
        <v>1</v>
      </c>
      <c r="F83" s="861">
        <v>2</v>
      </c>
      <c r="G83" s="861">
        <v>3</v>
      </c>
      <c r="H83" s="861">
        <v>4</v>
      </c>
      <c r="I83" s="861">
        <v>5</v>
      </c>
      <c r="J83" s="861">
        <v>6</v>
      </c>
      <c r="K83" s="861">
        <v>7</v>
      </c>
      <c r="L83" s="861">
        <v>8</v>
      </c>
      <c r="M83" s="861">
        <v>9</v>
      </c>
      <c r="N83" s="861">
        <v>10</v>
      </c>
      <c r="O83" s="861">
        <v>11</v>
      </c>
      <c r="P83" s="861">
        <v>12</v>
      </c>
      <c r="R83" s="155"/>
    </row>
    <row r="84" spans="1:19" ht="11.25" customHeight="1">
      <c r="A84" s="878"/>
      <c r="B84" s="881">
        <v>2.8571428571428571E-2</v>
      </c>
      <c r="C84" s="880"/>
      <c r="E84" s="861">
        <f t="shared" ref="E84:P84" si="30">+E82*($B84/12)*E83</f>
        <v>0</v>
      </c>
      <c r="F84" s="861">
        <f t="shared" si="30"/>
        <v>33.542857142857137</v>
      </c>
      <c r="G84" s="861">
        <f t="shared" si="30"/>
        <v>-190.87857142857143</v>
      </c>
      <c r="H84" s="861">
        <f t="shared" si="30"/>
        <v>98.761904761904759</v>
      </c>
      <c r="I84" s="861">
        <f t="shared" si="30"/>
        <v>48.630952380952372</v>
      </c>
      <c r="J84" s="861">
        <f t="shared" si="30"/>
        <v>58</v>
      </c>
      <c r="K84" s="861">
        <f t="shared" si="30"/>
        <v>-61.75</v>
      </c>
      <c r="L84" s="861">
        <f t="shared" si="30"/>
        <v>40.609523809523807</v>
      </c>
      <c r="M84" s="861">
        <f t="shared" si="30"/>
        <v>106.32857142857142</v>
      </c>
      <c r="N84" s="861">
        <f t="shared" si="30"/>
        <v>398.57142857142856</v>
      </c>
      <c r="O84" s="861">
        <f t="shared" si="30"/>
        <v>38.159523809523805</v>
      </c>
      <c r="P84" s="861">
        <f t="shared" si="30"/>
        <v>54.371428571428567</v>
      </c>
      <c r="Q84" s="861">
        <f>SUM(E84:P84)</f>
        <v>624.34761904761899</v>
      </c>
      <c r="R84" s="155"/>
    </row>
    <row r="85" spans="1:19" ht="11.25" customHeight="1">
      <c r="A85" s="878">
        <f>A81+1</f>
        <v>29</v>
      </c>
      <c r="B85" s="861" t="s">
        <v>107</v>
      </c>
      <c r="D85" s="861">
        <v>714067</v>
      </c>
      <c r="E85" s="861">
        <v>714067</v>
      </c>
      <c r="F85" s="861">
        <v>714067</v>
      </c>
      <c r="G85" s="861">
        <v>713483</v>
      </c>
      <c r="H85" s="861">
        <v>713483</v>
      </c>
      <c r="I85" s="861">
        <v>713483</v>
      </c>
      <c r="J85" s="861">
        <v>715308</v>
      </c>
      <c r="K85" s="861">
        <v>715308</v>
      </c>
      <c r="L85" s="861">
        <v>715308</v>
      </c>
      <c r="M85" s="861">
        <v>715308</v>
      </c>
      <c r="N85" s="861">
        <v>715308</v>
      </c>
      <c r="O85" s="861">
        <v>715004</v>
      </c>
      <c r="P85" s="861">
        <v>715004</v>
      </c>
      <c r="R85" s="155">
        <f>ROUND(SUM(D85:P85)/13,0)</f>
        <v>714554</v>
      </c>
    </row>
    <row r="86" spans="1:19" ht="11.25" customHeight="1">
      <c r="A86" s="878"/>
      <c r="B86" s="880" t="s">
        <v>866</v>
      </c>
      <c r="C86" s="880"/>
      <c r="E86" s="861">
        <f t="shared" ref="E86:P86" si="31">+E85-D85</f>
        <v>0</v>
      </c>
      <c r="F86" s="861">
        <f t="shared" si="31"/>
        <v>0</v>
      </c>
      <c r="G86" s="861">
        <f t="shared" si="31"/>
        <v>-584</v>
      </c>
      <c r="H86" s="861">
        <f t="shared" si="31"/>
        <v>0</v>
      </c>
      <c r="I86" s="861">
        <f t="shared" si="31"/>
        <v>0</v>
      </c>
      <c r="J86" s="861">
        <f t="shared" si="31"/>
        <v>1825</v>
      </c>
      <c r="K86" s="861">
        <f t="shared" si="31"/>
        <v>0</v>
      </c>
      <c r="L86" s="861">
        <f t="shared" si="31"/>
        <v>0</v>
      </c>
      <c r="M86" s="861">
        <f t="shared" si="31"/>
        <v>0</v>
      </c>
      <c r="N86" s="861">
        <f t="shared" si="31"/>
        <v>0</v>
      </c>
      <c r="O86" s="861">
        <f t="shared" si="31"/>
        <v>-304</v>
      </c>
      <c r="P86" s="861">
        <f t="shared" si="31"/>
        <v>0</v>
      </c>
      <c r="R86" s="155"/>
    </row>
    <row r="87" spans="1:19" ht="11.25" customHeight="1">
      <c r="A87" s="878"/>
      <c r="B87" s="880" t="s">
        <v>865</v>
      </c>
      <c r="C87" s="880"/>
      <c r="E87" s="861">
        <v>1</v>
      </c>
      <c r="F87" s="861">
        <v>2</v>
      </c>
      <c r="G87" s="861">
        <v>3</v>
      </c>
      <c r="H87" s="861">
        <v>4</v>
      </c>
      <c r="I87" s="861">
        <v>5</v>
      </c>
      <c r="J87" s="861">
        <v>6</v>
      </c>
      <c r="K87" s="861">
        <v>7</v>
      </c>
      <c r="L87" s="861">
        <v>8</v>
      </c>
      <c r="M87" s="861">
        <v>9</v>
      </c>
      <c r="N87" s="861">
        <v>10</v>
      </c>
      <c r="O87" s="861">
        <v>11</v>
      </c>
      <c r="P87" s="861">
        <v>12</v>
      </c>
      <c r="R87" s="155"/>
    </row>
    <row r="88" spans="1:19" ht="11.25" customHeight="1">
      <c r="A88" s="878"/>
      <c r="B88" s="881">
        <v>3.3333333333333333E-2</v>
      </c>
      <c r="C88" s="880"/>
      <c r="E88" s="861">
        <f t="shared" ref="E88:P88" si="32">+E86*($B88/12)*E87</f>
        <v>0</v>
      </c>
      <c r="F88" s="861">
        <f t="shared" si="32"/>
        <v>0</v>
      </c>
      <c r="G88" s="861">
        <f t="shared" si="32"/>
        <v>-4.8666666666666671</v>
      </c>
      <c r="H88" s="861">
        <f t="shared" si="32"/>
        <v>0</v>
      </c>
      <c r="I88" s="861">
        <f t="shared" si="32"/>
        <v>0</v>
      </c>
      <c r="J88" s="861">
        <f t="shared" si="32"/>
        <v>30.416666666666668</v>
      </c>
      <c r="K88" s="861">
        <f t="shared" si="32"/>
        <v>0</v>
      </c>
      <c r="L88" s="861">
        <f t="shared" si="32"/>
        <v>0</v>
      </c>
      <c r="M88" s="861">
        <f t="shared" si="32"/>
        <v>0</v>
      </c>
      <c r="N88" s="861">
        <f t="shared" si="32"/>
        <v>0</v>
      </c>
      <c r="O88" s="861">
        <f t="shared" si="32"/>
        <v>-9.2888888888888896</v>
      </c>
      <c r="P88" s="861">
        <f t="shared" si="32"/>
        <v>0</v>
      </c>
      <c r="Q88" s="861">
        <f>SUM(E88:P88)</f>
        <v>16.261111111111113</v>
      </c>
      <c r="R88" s="155"/>
    </row>
    <row r="89" spans="1:19" ht="11.25" customHeight="1">
      <c r="A89" s="878">
        <f>A85+1</f>
        <v>30</v>
      </c>
      <c r="B89" s="861" t="s">
        <v>108</v>
      </c>
      <c r="D89" s="861">
        <v>99124</v>
      </c>
      <c r="E89" s="861">
        <v>99124</v>
      </c>
      <c r="F89" s="861">
        <v>99124</v>
      </c>
      <c r="G89" s="861">
        <v>90216</v>
      </c>
      <c r="H89" s="861">
        <v>90216</v>
      </c>
      <c r="I89" s="861">
        <v>90216</v>
      </c>
      <c r="J89" s="861">
        <v>90216</v>
      </c>
      <c r="K89" s="861">
        <v>90216</v>
      </c>
      <c r="L89" s="861">
        <v>90216</v>
      </c>
      <c r="M89" s="861">
        <v>90216</v>
      </c>
      <c r="N89" s="861">
        <v>90216</v>
      </c>
      <c r="O89" s="861">
        <v>90216</v>
      </c>
      <c r="P89" s="861">
        <v>90216</v>
      </c>
      <c r="R89" s="155">
        <f>ROUND(SUM(D89:P89)/13,0)</f>
        <v>92272</v>
      </c>
    </row>
    <row r="90" spans="1:19" ht="11.25" customHeight="1">
      <c r="A90" s="878"/>
      <c r="B90" s="880" t="s">
        <v>866</v>
      </c>
      <c r="C90" s="880"/>
      <c r="E90" s="861">
        <f t="shared" ref="E90:P90" si="33">+E89-D89</f>
        <v>0</v>
      </c>
      <c r="F90" s="861">
        <f t="shared" si="33"/>
        <v>0</v>
      </c>
      <c r="G90" s="861">
        <f t="shared" si="33"/>
        <v>-8908</v>
      </c>
      <c r="H90" s="861">
        <f t="shared" si="33"/>
        <v>0</v>
      </c>
      <c r="I90" s="861">
        <f t="shared" si="33"/>
        <v>0</v>
      </c>
      <c r="J90" s="861">
        <f t="shared" si="33"/>
        <v>0</v>
      </c>
      <c r="K90" s="861">
        <f t="shared" si="33"/>
        <v>0</v>
      </c>
      <c r="L90" s="861">
        <f t="shared" si="33"/>
        <v>0</v>
      </c>
      <c r="M90" s="861">
        <f t="shared" si="33"/>
        <v>0</v>
      </c>
      <c r="N90" s="861">
        <f t="shared" si="33"/>
        <v>0</v>
      </c>
      <c r="O90" s="861">
        <f t="shared" si="33"/>
        <v>0</v>
      </c>
      <c r="P90" s="861">
        <f t="shared" si="33"/>
        <v>0</v>
      </c>
      <c r="R90" s="155"/>
    </row>
    <row r="91" spans="1:19" ht="11.25" customHeight="1">
      <c r="A91" s="878"/>
      <c r="B91" s="880" t="s">
        <v>865</v>
      </c>
      <c r="C91" s="880"/>
      <c r="E91" s="861">
        <v>1</v>
      </c>
      <c r="F91" s="861">
        <v>2</v>
      </c>
      <c r="G91" s="861">
        <v>3</v>
      </c>
      <c r="H91" s="861">
        <v>4</v>
      </c>
      <c r="I91" s="861">
        <v>5</v>
      </c>
      <c r="J91" s="861">
        <v>6</v>
      </c>
      <c r="K91" s="861">
        <v>7</v>
      </c>
      <c r="L91" s="861">
        <v>8</v>
      </c>
      <c r="M91" s="861">
        <v>9</v>
      </c>
      <c r="N91" s="861">
        <v>10</v>
      </c>
      <c r="O91" s="861">
        <v>11</v>
      </c>
      <c r="P91" s="861">
        <v>12</v>
      </c>
      <c r="R91" s="155"/>
    </row>
    <row r="92" spans="1:19" ht="11.25" customHeight="1">
      <c r="A92" s="878"/>
      <c r="B92" s="881">
        <v>0.1</v>
      </c>
      <c r="C92" s="880"/>
      <c r="E92" s="861">
        <f t="shared" ref="E92:P92" si="34">+E90*($B92/12)*E91</f>
        <v>0</v>
      </c>
      <c r="F92" s="861">
        <f t="shared" si="34"/>
        <v>0</v>
      </c>
      <c r="G92" s="861">
        <f t="shared" si="34"/>
        <v>-222.7</v>
      </c>
      <c r="H92" s="861">
        <f t="shared" si="34"/>
        <v>0</v>
      </c>
      <c r="I92" s="861">
        <f t="shared" si="34"/>
        <v>0</v>
      </c>
      <c r="J92" s="861">
        <f t="shared" si="34"/>
        <v>0</v>
      </c>
      <c r="K92" s="861">
        <f t="shared" si="34"/>
        <v>0</v>
      </c>
      <c r="L92" s="861">
        <f t="shared" si="34"/>
        <v>0</v>
      </c>
      <c r="M92" s="861">
        <f t="shared" si="34"/>
        <v>0</v>
      </c>
      <c r="N92" s="861">
        <f t="shared" si="34"/>
        <v>0</v>
      </c>
      <c r="O92" s="861">
        <f t="shared" si="34"/>
        <v>0</v>
      </c>
      <c r="P92" s="861">
        <f t="shared" si="34"/>
        <v>0</v>
      </c>
      <c r="Q92" s="861">
        <f>SUM(E92:P92)</f>
        <v>-222.7</v>
      </c>
      <c r="R92" s="155"/>
    </row>
    <row r="93" spans="1:19" ht="11.25" customHeight="1">
      <c r="A93" s="878">
        <f>A89+1</f>
        <v>31</v>
      </c>
      <c r="B93" s="860" t="s">
        <v>12</v>
      </c>
      <c r="R93" s="155"/>
    </row>
    <row r="94" spans="1:19" ht="11.25" customHeight="1">
      <c r="A94" s="878">
        <f>A93+1</f>
        <v>32</v>
      </c>
      <c r="B94" s="861" t="s">
        <v>13</v>
      </c>
      <c r="D94" s="861">
        <v>215470</v>
      </c>
      <c r="E94" s="861">
        <v>215470</v>
      </c>
      <c r="F94" s="861">
        <v>215470</v>
      </c>
      <c r="G94" s="861">
        <v>215470</v>
      </c>
      <c r="H94" s="861">
        <v>215470</v>
      </c>
      <c r="I94" s="861">
        <v>215470</v>
      </c>
      <c r="J94" s="861">
        <v>215470</v>
      </c>
      <c r="K94" s="861">
        <v>215470</v>
      </c>
      <c r="L94" s="861">
        <v>215470</v>
      </c>
      <c r="M94" s="861">
        <v>215470</v>
      </c>
      <c r="N94" s="861">
        <v>215470</v>
      </c>
      <c r="O94" s="861">
        <v>215470</v>
      </c>
      <c r="P94" s="861">
        <v>215470</v>
      </c>
      <c r="R94" s="155">
        <f>ROUND(SUM(D94:P94)/13,0)</f>
        <v>215470</v>
      </c>
      <c r="S94" s="861">
        <f>+R94-D94</f>
        <v>0</v>
      </c>
    </row>
    <row r="95" spans="1:19" ht="11.25" customHeight="1">
      <c r="A95" s="878">
        <f>A94+1</f>
        <v>33</v>
      </c>
      <c r="B95" s="861" t="s">
        <v>14</v>
      </c>
      <c r="D95" s="861">
        <v>27206</v>
      </c>
      <c r="E95" s="861">
        <v>27206</v>
      </c>
      <c r="F95" s="861">
        <v>27206</v>
      </c>
      <c r="G95" s="861">
        <v>27206</v>
      </c>
      <c r="H95" s="861">
        <v>27206</v>
      </c>
      <c r="I95" s="861">
        <v>27206</v>
      </c>
      <c r="J95" s="861">
        <v>27206</v>
      </c>
      <c r="K95" s="861">
        <v>27206</v>
      </c>
      <c r="L95" s="861">
        <v>27206</v>
      </c>
      <c r="M95" s="861">
        <v>27206</v>
      </c>
      <c r="N95" s="861">
        <v>27206</v>
      </c>
      <c r="O95" s="861">
        <v>27206</v>
      </c>
      <c r="P95" s="861">
        <v>27206</v>
      </c>
      <c r="R95" s="155">
        <f>ROUND(SUM(D95:P95)/13,0)</f>
        <v>27206</v>
      </c>
      <c r="S95" s="861">
        <f>+R95-D95</f>
        <v>0</v>
      </c>
    </row>
    <row r="96" spans="1:19" ht="11.25" customHeight="1">
      <c r="A96" s="878">
        <f>A95+1</f>
        <v>34</v>
      </c>
      <c r="B96" s="861" t="s">
        <v>15</v>
      </c>
      <c r="D96" s="861">
        <v>0</v>
      </c>
      <c r="E96" s="861">
        <v>0</v>
      </c>
      <c r="F96" s="861">
        <v>0</v>
      </c>
      <c r="G96" s="861">
        <v>0</v>
      </c>
      <c r="H96" s="861">
        <v>0</v>
      </c>
      <c r="I96" s="861">
        <v>0</v>
      </c>
      <c r="J96" s="861">
        <v>0</v>
      </c>
      <c r="K96" s="861">
        <v>0</v>
      </c>
      <c r="L96" s="861">
        <v>0</v>
      </c>
      <c r="M96" s="861">
        <v>0</v>
      </c>
      <c r="N96" s="861">
        <v>0</v>
      </c>
      <c r="O96" s="861">
        <v>0</v>
      </c>
      <c r="P96" s="861">
        <v>0</v>
      </c>
      <c r="R96" s="155">
        <f>ROUND(SUM(D96:P96)/13,0)</f>
        <v>0</v>
      </c>
    </row>
    <row r="97" spans="1:19" ht="11.25" customHeight="1">
      <c r="A97" s="878">
        <f>A96+1</f>
        <v>35</v>
      </c>
      <c r="B97" s="861" t="s">
        <v>16</v>
      </c>
      <c r="D97" s="861">
        <v>79822</v>
      </c>
      <c r="E97" s="861">
        <v>79822</v>
      </c>
      <c r="F97" s="861">
        <v>79822</v>
      </c>
      <c r="G97" s="861">
        <v>79822</v>
      </c>
      <c r="H97" s="861">
        <v>79822</v>
      </c>
      <c r="I97" s="861">
        <v>79822</v>
      </c>
      <c r="J97" s="861">
        <v>80073</v>
      </c>
      <c r="K97" s="861">
        <v>80073</v>
      </c>
      <c r="L97" s="861">
        <v>80073</v>
      </c>
      <c r="M97" s="861">
        <v>79822</v>
      </c>
      <c r="N97" s="861">
        <v>87872</v>
      </c>
      <c r="O97" s="861">
        <v>83671</v>
      </c>
      <c r="P97" s="861">
        <v>84661</v>
      </c>
      <c r="R97" s="155">
        <f>ROUND(SUM(D97:P97)/13,0)</f>
        <v>81167</v>
      </c>
    </row>
    <row r="98" spans="1:19" ht="11.25" customHeight="1">
      <c r="A98" s="878"/>
      <c r="B98" s="880" t="s">
        <v>866</v>
      </c>
      <c r="C98" s="880"/>
      <c r="E98" s="861">
        <f t="shared" ref="E98:P98" si="35">+E97-D97</f>
        <v>0</v>
      </c>
      <c r="F98" s="861">
        <f t="shared" si="35"/>
        <v>0</v>
      </c>
      <c r="G98" s="861">
        <f t="shared" si="35"/>
        <v>0</v>
      </c>
      <c r="H98" s="861">
        <f t="shared" si="35"/>
        <v>0</v>
      </c>
      <c r="I98" s="861">
        <f t="shared" si="35"/>
        <v>0</v>
      </c>
      <c r="J98" s="861">
        <f t="shared" si="35"/>
        <v>251</v>
      </c>
      <c r="K98" s="861">
        <f t="shared" si="35"/>
        <v>0</v>
      </c>
      <c r="L98" s="861">
        <f t="shared" si="35"/>
        <v>0</v>
      </c>
      <c r="M98" s="861">
        <f t="shared" si="35"/>
        <v>-251</v>
      </c>
      <c r="N98" s="861">
        <f t="shared" si="35"/>
        <v>8050</v>
      </c>
      <c r="O98" s="861">
        <f t="shared" si="35"/>
        <v>-4201</v>
      </c>
      <c r="P98" s="861">
        <f t="shared" si="35"/>
        <v>990</v>
      </c>
      <c r="R98" s="155"/>
    </row>
    <row r="99" spans="1:19" ht="11.25" customHeight="1">
      <c r="A99" s="878"/>
      <c r="B99" s="880" t="s">
        <v>865</v>
      </c>
      <c r="C99" s="880"/>
      <c r="E99" s="861">
        <v>1</v>
      </c>
      <c r="F99" s="861">
        <v>2</v>
      </c>
      <c r="G99" s="861">
        <v>3</v>
      </c>
      <c r="H99" s="861">
        <v>4</v>
      </c>
      <c r="I99" s="861">
        <v>5</v>
      </c>
      <c r="J99" s="861">
        <v>6</v>
      </c>
      <c r="K99" s="861">
        <v>7</v>
      </c>
      <c r="L99" s="861">
        <v>8</v>
      </c>
      <c r="M99" s="861">
        <v>9</v>
      </c>
      <c r="N99" s="861">
        <v>10</v>
      </c>
      <c r="O99" s="861">
        <v>11</v>
      </c>
      <c r="P99" s="861">
        <v>12</v>
      </c>
      <c r="R99" s="155"/>
    </row>
    <row r="100" spans="1:19" ht="11.25" customHeight="1">
      <c r="A100" s="878"/>
      <c r="B100" s="881">
        <v>5.5555555555555552E-2</v>
      </c>
      <c r="C100" s="880"/>
      <c r="E100" s="861">
        <f t="shared" ref="E100:P100" si="36">+E98*($B100/12)*E99</f>
        <v>0</v>
      </c>
      <c r="F100" s="861">
        <f t="shared" si="36"/>
        <v>0</v>
      </c>
      <c r="G100" s="861">
        <f t="shared" si="36"/>
        <v>0</v>
      </c>
      <c r="H100" s="861">
        <f t="shared" si="36"/>
        <v>0</v>
      </c>
      <c r="I100" s="861">
        <f t="shared" si="36"/>
        <v>0</v>
      </c>
      <c r="J100" s="861">
        <f t="shared" si="36"/>
        <v>6.9722222222222214</v>
      </c>
      <c r="K100" s="861">
        <f t="shared" si="36"/>
        <v>0</v>
      </c>
      <c r="L100" s="861">
        <f t="shared" si="36"/>
        <v>0</v>
      </c>
      <c r="M100" s="861">
        <f t="shared" si="36"/>
        <v>-10.458333333333332</v>
      </c>
      <c r="N100" s="861">
        <f t="shared" si="36"/>
        <v>372.68518518518522</v>
      </c>
      <c r="O100" s="861">
        <f t="shared" si="36"/>
        <v>-213.93981481481481</v>
      </c>
      <c r="P100" s="861">
        <f t="shared" si="36"/>
        <v>55</v>
      </c>
      <c r="Q100" s="861">
        <f>SUM(E100:P100)</f>
        <v>210.25925925925932</v>
      </c>
      <c r="R100" s="155"/>
    </row>
    <row r="101" spans="1:19" ht="11.25" customHeight="1">
      <c r="A101" s="878">
        <f>A97+1</f>
        <v>36</v>
      </c>
      <c r="B101" s="882" t="s">
        <v>507</v>
      </c>
      <c r="D101" s="861">
        <v>75518</v>
      </c>
      <c r="E101" s="861">
        <v>75528</v>
      </c>
      <c r="F101" s="861">
        <v>75528</v>
      </c>
      <c r="G101" s="861">
        <v>64195</v>
      </c>
      <c r="H101" s="861">
        <v>64195</v>
      </c>
      <c r="I101" s="861">
        <v>64206</v>
      </c>
      <c r="J101" s="861">
        <v>64206</v>
      </c>
      <c r="K101" s="861">
        <v>64206</v>
      </c>
      <c r="L101" s="861">
        <v>64206</v>
      </c>
      <c r="M101" s="861">
        <v>64206</v>
      </c>
      <c r="N101" s="861">
        <v>64206</v>
      </c>
      <c r="O101" s="861">
        <v>64206</v>
      </c>
      <c r="P101" s="861">
        <v>64206</v>
      </c>
      <c r="R101" s="155">
        <f>ROUND(SUM(D101:P101)/13,0)</f>
        <v>66816</v>
      </c>
    </row>
    <row r="102" spans="1:19" ht="11.25" customHeight="1">
      <c r="A102" s="878"/>
      <c r="B102" s="880" t="s">
        <v>866</v>
      </c>
      <c r="C102" s="880"/>
      <c r="E102" s="861">
        <f t="shared" ref="E102:P102" si="37">+E101-D101</f>
        <v>10</v>
      </c>
      <c r="F102" s="861">
        <f t="shared" si="37"/>
        <v>0</v>
      </c>
      <c r="G102" s="861">
        <f t="shared" si="37"/>
        <v>-11333</v>
      </c>
      <c r="H102" s="861">
        <f t="shared" si="37"/>
        <v>0</v>
      </c>
      <c r="I102" s="861">
        <f t="shared" si="37"/>
        <v>11</v>
      </c>
      <c r="J102" s="861">
        <f t="shared" si="37"/>
        <v>0</v>
      </c>
      <c r="K102" s="861">
        <f t="shared" si="37"/>
        <v>0</v>
      </c>
      <c r="L102" s="861">
        <f t="shared" si="37"/>
        <v>0</v>
      </c>
      <c r="M102" s="861">
        <f t="shared" si="37"/>
        <v>0</v>
      </c>
      <c r="N102" s="861">
        <f t="shared" si="37"/>
        <v>0</v>
      </c>
      <c r="O102" s="861">
        <f t="shared" si="37"/>
        <v>0</v>
      </c>
      <c r="P102" s="861">
        <f t="shared" si="37"/>
        <v>0</v>
      </c>
      <c r="R102" s="155"/>
    </row>
    <row r="103" spans="1:19" ht="11.25" customHeight="1">
      <c r="A103" s="878"/>
      <c r="B103" s="880" t="s">
        <v>865</v>
      </c>
      <c r="C103" s="880"/>
      <c r="E103" s="861">
        <v>1</v>
      </c>
      <c r="F103" s="861">
        <v>2</v>
      </c>
      <c r="G103" s="861">
        <v>3</v>
      </c>
      <c r="H103" s="861">
        <v>4</v>
      </c>
      <c r="I103" s="861">
        <v>5</v>
      </c>
      <c r="J103" s="861">
        <v>6</v>
      </c>
      <c r="K103" s="861">
        <v>7</v>
      </c>
      <c r="L103" s="861">
        <v>8</v>
      </c>
      <c r="M103" s="861">
        <v>9</v>
      </c>
      <c r="N103" s="861">
        <v>10</v>
      </c>
      <c r="O103" s="861">
        <v>11</v>
      </c>
      <c r="P103" s="861">
        <v>12</v>
      </c>
      <c r="R103" s="155"/>
    </row>
    <row r="104" spans="1:19" ht="11.25" customHeight="1">
      <c r="A104" s="878"/>
      <c r="B104" s="881">
        <v>2.7027027027027029E-2</v>
      </c>
      <c r="C104" s="880"/>
      <c r="E104" s="861">
        <f t="shared" ref="E104:P104" si="38">+E102*($B104/12)*E103</f>
        <v>2.2522522522522521E-2</v>
      </c>
      <c r="F104" s="861">
        <f t="shared" si="38"/>
        <v>0</v>
      </c>
      <c r="G104" s="861">
        <f t="shared" si="38"/>
        <v>-76.574324324324323</v>
      </c>
      <c r="H104" s="861">
        <f t="shared" si="38"/>
        <v>0</v>
      </c>
      <c r="I104" s="861">
        <f t="shared" si="38"/>
        <v>0.12387387387387387</v>
      </c>
      <c r="J104" s="861">
        <f t="shared" si="38"/>
        <v>0</v>
      </c>
      <c r="K104" s="861">
        <f t="shared" si="38"/>
        <v>0</v>
      </c>
      <c r="L104" s="861">
        <f t="shared" si="38"/>
        <v>0</v>
      </c>
      <c r="M104" s="861">
        <f t="shared" si="38"/>
        <v>0</v>
      </c>
      <c r="N104" s="861">
        <f t="shared" si="38"/>
        <v>0</v>
      </c>
      <c r="O104" s="861">
        <f t="shared" si="38"/>
        <v>0</v>
      </c>
      <c r="P104" s="861">
        <f t="shared" si="38"/>
        <v>0</v>
      </c>
      <c r="Q104" s="861">
        <f>SUM(E104:P104)</f>
        <v>-76.427927927927925</v>
      </c>
      <c r="R104" s="155"/>
    </row>
    <row r="105" spans="1:19" ht="11.25" customHeight="1">
      <c r="A105" s="878">
        <f>A101+1</f>
        <v>37</v>
      </c>
      <c r="B105" s="861" t="s">
        <v>17</v>
      </c>
      <c r="D105" s="861">
        <v>5097920</v>
      </c>
      <c r="E105" s="861">
        <v>5097920</v>
      </c>
      <c r="F105" s="861">
        <v>5097920</v>
      </c>
      <c r="G105" s="861">
        <v>5097920</v>
      </c>
      <c r="H105" s="861">
        <v>5098852</v>
      </c>
      <c r="I105" s="861">
        <v>5098197</v>
      </c>
      <c r="J105" s="861">
        <v>5098197</v>
      </c>
      <c r="K105" s="861">
        <v>5098197</v>
      </c>
      <c r="L105" s="861">
        <v>5098197</v>
      </c>
      <c r="M105" s="861">
        <v>5098197</v>
      </c>
      <c r="N105" s="861">
        <v>5098197</v>
      </c>
      <c r="O105" s="861">
        <v>5098197</v>
      </c>
      <c r="P105" s="861">
        <v>5098197</v>
      </c>
      <c r="R105" s="155">
        <f>ROUND(SUM(D105:P105)/13,0)</f>
        <v>5098162</v>
      </c>
    </row>
    <row r="106" spans="1:19" ht="11.25" customHeight="1">
      <c r="A106" s="878"/>
      <c r="B106" s="880" t="s">
        <v>866</v>
      </c>
      <c r="C106" s="880"/>
      <c r="E106" s="861">
        <f t="shared" ref="E106:P106" si="39">+E105-D105</f>
        <v>0</v>
      </c>
      <c r="F106" s="861">
        <f t="shared" si="39"/>
        <v>0</v>
      </c>
      <c r="G106" s="861">
        <f t="shared" si="39"/>
        <v>0</v>
      </c>
      <c r="H106" s="861">
        <f t="shared" si="39"/>
        <v>932</v>
      </c>
      <c r="I106" s="861">
        <f t="shared" si="39"/>
        <v>-655</v>
      </c>
      <c r="J106" s="861">
        <f t="shared" si="39"/>
        <v>0</v>
      </c>
      <c r="K106" s="861">
        <f t="shared" si="39"/>
        <v>0</v>
      </c>
      <c r="L106" s="861">
        <f t="shared" si="39"/>
        <v>0</v>
      </c>
      <c r="M106" s="861">
        <f t="shared" si="39"/>
        <v>0</v>
      </c>
      <c r="N106" s="861">
        <f t="shared" si="39"/>
        <v>0</v>
      </c>
      <c r="O106" s="861">
        <f t="shared" si="39"/>
        <v>0</v>
      </c>
      <c r="P106" s="861">
        <f t="shared" si="39"/>
        <v>0</v>
      </c>
      <c r="R106" s="155"/>
    </row>
    <row r="107" spans="1:19" ht="11.25" customHeight="1">
      <c r="A107" s="878"/>
      <c r="B107" s="880" t="s">
        <v>865</v>
      </c>
      <c r="C107" s="880"/>
      <c r="E107" s="861">
        <v>1</v>
      </c>
      <c r="F107" s="861">
        <v>2</v>
      </c>
      <c r="G107" s="861">
        <v>3</v>
      </c>
      <c r="H107" s="861">
        <v>4</v>
      </c>
      <c r="I107" s="861">
        <v>5</v>
      </c>
      <c r="J107" s="861">
        <v>6</v>
      </c>
      <c r="K107" s="861">
        <v>7</v>
      </c>
      <c r="L107" s="861">
        <v>8</v>
      </c>
      <c r="M107" s="861">
        <v>9</v>
      </c>
      <c r="N107" s="861">
        <v>10</v>
      </c>
      <c r="O107" s="861">
        <v>11</v>
      </c>
      <c r="P107" s="861">
        <v>12</v>
      </c>
      <c r="R107" s="155"/>
    </row>
    <row r="108" spans="1:19" ht="11.25" customHeight="1">
      <c r="A108" s="878"/>
      <c r="B108" s="881">
        <v>5.5555555555555552E-2</v>
      </c>
      <c r="C108" s="880"/>
      <c r="E108" s="861">
        <f t="shared" ref="E108:P108" si="40">+E106*($B108/12)*E107</f>
        <v>0</v>
      </c>
      <c r="F108" s="861">
        <f t="shared" si="40"/>
        <v>0</v>
      </c>
      <c r="G108" s="861">
        <f t="shared" si="40"/>
        <v>0</v>
      </c>
      <c r="H108" s="861">
        <f t="shared" si="40"/>
        <v>17.25925925925926</v>
      </c>
      <c r="I108" s="861">
        <f t="shared" si="40"/>
        <v>-15.162037037037038</v>
      </c>
      <c r="J108" s="861">
        <f t="shared" si="40"/>
        <v>0</v>
      </c>
      <c r="K108" s="861">
        <f t="shared" si="40"/>
        <v>0</v>
      </c>
      <c r="L108" s="861">
        <f t="shared" si="40"/>
        <v>0</v>
      </c>
      <c r="M108" s="861">
        <f t="shared" si="40"/>
        <v>0</v>
      </c>
      <c r="N108" s="861">
        <f t="shared" si="40"/>
        <v>0</v>
      </c>
      <c r="O108" s="861">
        <f t="shared" si="40"/>
        <v>0</v>
      </c>
      <c r="P108" s="861">
        <f t="shared" si="40"/>
        <v>0</v>
      </c>
      <c r="Q108" s="861">
        <f>SUM(E108:P108)</f>
        <v>2.0972222222222214</v>
      </c>
      <c r="R108" s="155"/>
    </row>
    <row r="109" spans="1:19" ht="11.25" customHeight="1">
      <c r="A109" s="878">
        <f>A105+1</f>
        <v>38</v>
      </c>
      <c r="B109" s="861" t="s">
        <v>18</v>
      </c>
      <c r="D109" s="861">
        <v>10672</v>
      </c>
      <c r="E109" s="861">
        <v>10672</v>
      </c>
      <c r="F109" s="861">
        <v>10672</v>
      </c>
      <c r="G109" s="861">
        <v>10672</v>
      </c>
      <c r="H109" s="861">
        <v>10672</v>
      </c>
      <c r="I109" s="861">
        <v>10672</v>
      </c>
      <c r="J109" s="861">
        <v>10672</v>
      </c>
      <c r="K109" s="861">
        <v>10672</v>
      </c>
      <c r="L109" s="861">
        <v>10672</v>
      </c>
      <c r="M109" s="861">
        <v>10672</v>
      </c>
      <c r="N109" s="861">
        <v>10672</v>
      </c>
      <c r="O109" s="861">
        <v>10672</v>
      </c>
      <c r="P109" s="861">
        <v>10672</v>
      </c>
      <c r="R109" s="155">
        <f>ROUND(SUM(D109:P109)/13,0)</f>
        <v>10672</v>
      </c>
      <c r="S109" s="861">
        <f>+R109-D109</f>
        <v>0</v>
      </c>
    </row>
    <row r="110" spans="1:19" ht="11.25" customHeight="1">
      <c r="A110" s="878">
        <f>A109+1</f>
        <v>39</v>
      </c>
      <c r="B110" s="861" t="s">
        <v>19</v>
      </c>
      <c r="D110" s="883">
        <v>6364</v>
      </c>
      <c r="E110" s="861">
        <v>6364</v>
      </c>
      <c r="F110" s="861">
        <v>6364</v>
      </c>
      <c r="G110" s="861">
        <v>6364</v>
      </c>
      <c r="H110" s="861">
        <v>6364</v>
      </c>
      <c r="I110" s="861">
        <v>6364</v>
      </c>
      <c r="J110" s="861">
        <v>6364</v>
      </c>
      <c r="K110" s="861">
        <v>6364</v>
      </c>
      <c r="L110" s="861">
        <v>6364</v>
      </c>
      <c r="M110" s="861">
        <v>6364</v>
      </c>
      <c r="N110" s="861">
        <v>6364</v>
      </c>
      <c r="O110" s="861">
        <v>6364</v>
      </c>
      <c r="P110" s="861">
        <v>6364</v>
      </c>
      <c r="R110" s="155">
        <f>ROUND(SUM(D110:P110)/13,0)</f>
        <v>6364</v>
      </c>
      <c r="S110" s="861">
        <f>+R110-D110</f>
        <v>0</v>
      </c>
    </row>
    <row r="111" spans="1:19" ht="11.25" customHeight="1">
      <c r="A111" s="878">
        <f>A110+1</f>
        <v>40</v>
      </c>
      <c r="B111" s="860" t="s">
        <v>20</v>
      </c>
      <c r="R111" s="155"/>
    </row>
    <row r="112" spans="1:19" ht="11.25" customHeight="1">
      <c r="A112" s="878">
        <f>A111+1</f>
        <v>41</v>
      </c>
      <c r="B112" s="861" t="s">
        <v>21</v>
      </c>
      <c r="D112" s="861">
        <v>0</v>
      </c>
      <c r="E112" s="861">
        <v>0</v>
      </c>
      <c r="F112" s="861">
        <v>0</v>
      </c>
      <c r="G112" s="861">
        <v>0</v>
      </c>
      <c r="H112" s="861">
        <v>0</v>
      </c>
      <c r="I112" s="861">
        <v>0</v>
      </c>
      <c r="J112" s="861">
        <v>0</v>
      </c>
      <c r="K112" s="861">
        <v>0</v>
      </c>
      <c r="L112" s="861">
        <v>0</v>
      </c>
      <c r="M112" s="861">
        <v>0</v>
      </c>
      <c r="N112" s="861">
        <v>0</v>
      </c>
      <c r="O112" s="861">
        <v>0</v>
      </c>
      <c r="P112" s="861">
        <v>0</v>
      </c>
      <c r="R112" s="155">
        <f>ROUND(SUM(D112:P112)/13,0)</f>
        <v>0</v>
      </c>
    </row>
    <row r="113" spans="1:18" ht="11.25" customHeight="1">
      <c r="A113" s="878">
        <f>A112+1</f>
        <v>42</v>
      </c>
      <c r="B113" s="861" t="s">
        <v>22</v>
      </c>
      <c r="D113" s="861">
        <v>0</v>
      </c>
      <c r="E113" s="861">
        <v>0</v>
      </c>
      <c r="F113" s="861">
        <v>0</v>
      </c>
      <c r="G113" s="861">
        <v>0</v>
      </c>
      <c r="H113" s="861">
        <v>0</v>
      </c>
      <c r="I113" s="861">
        <v>0</v>
      </c>
      <c r="J113" s="861">
        <v>0</v>
      </c>
      <c r="K113" s="861">
        <v>0</v>
      </c>
      <c r="L113" s="861">
        <v>0</v>
      </c>
      <c r="M113" s="861">
        <v>0</v>
      </c>
      <c r="N113" s="861">
        <v>0</v>
      </c>
      <c r="O113" s="861">
        <v>0</v>
      </c>
      <c r="P113" s="861">
        <v>0</v>
      </c>
      <c r="R113" s="155">
        <f>ROUND(SUM(D113:P113)/13,0)</f>
        <v>0</v>
      </c>
    </row>
    <row r="114" spans="1:18" ht="11.25" customHeight="1">
      <c r="A114" s="878">
        <f>A113+1</f>
        <v>43</v>
      </c>
      <c r="B114" s="861" t="s">
        <v>23</v>
      </c>
      <c r="D114" s="861">
        <v>34338</v>
      </c>
      <c r="E114" s="861">
        <v>34338</v>
      </c>
      <c r="F114" s="861">
        <v>34338</v>
      </c>
      <c r="G114" s="861">
        <v>34338</v>
      </c>
      <c r="H114" s="861">
        <v>34338</v>
      </c>
      <c r="I114" s="861">
        <v>34338</v>
      </c>
      <c r="J114" s="861">
        <v>35084</v>
      </c>
      <c r="K114" s="861">
        <v>35084</v>
      </c>
      <c r="L114" s="861">
        <v>35084</v>
      </c>
      <c r="M114" s="861">
        <v>35084</v>
      </c>
      <c r="N114" s="861">
        <v>35084</v>
      </c>
      <c r="O114" s="861">
        <v>35163</v>
      </c>
      <c r="P114" s="861">
        <v>35773</v>
      </c>
      <c r="R114" s="155">
        <f>ROUND(SUM(D114:P114)/13,0)</f>
        <v>34799</v>
      </c>
    </row>
    <row r="115" spans="1:18" ht="11.25" customHeight="1">
      <c r="A115" s="878"/>
      <c r="B115" s="880" t="s">
        <v>866</v>
      </c>
      <c r="C115" s="880"/>
      <c r="E115" s="861">
        <f t="shared" ref="E115:P115" si="41">+E114-D114</f>
        <v>0</v>
      </c>
      <c r="F115" s="861">
        <f t="shared" si="41"/>
        <v>0</v>
      </c>
      <c r="G115" s="861">
        <f t="shared" si="41"/>
        <v>0</v>
      </c>
      <c r="H115" s="861">
        <f t="shared" si="41"/>
        <v>0</v>
      </c>
      <c r="I115" s="861">
        <f t="shared" si="41"/>
        <v>0</v>
      </c>
      <c r="J115" s="861">
        <f t="shared" si="41"/>
        <v>746</v>
      </c>
      <c r="K115" s="861">
        <f t="shared" si="41"/>
        <v>0</v>
      </c>
      <c r="L115" s="861">
        <f t="shared" si="41"/>
        <v>0</v>
      </c>
      <c r="M115" s="861">
        <f t="shared" si="41"/>
        <v>0</v>
      </c>
      <c r="N115" s="861">
        <f t="shared" si="41"/>
        <v>0</v>
      </c>
      <c r="O115" s="861">
        <f t="shared" si="41"/>
        <v>79</v>
      </c>
      <c r="P115" s="861">
        <f t="shared" si="41"/>
        <v>610</v>
      </c>
      <c r="R115" s="155"/>
    </row>
    <row r="116" spans="1:18" ht="11.25" customHeight="1">
      <c r="A116" s="878"/>
      <c r="B116" s="880" t="s">
        <v>865</v>
      </c>
      <c r="C116" s="880"/>
      <c r="E116" s="861">
        <v>1</v>
      </c>
      <c r="F116" s="861">
        <v>2</v>
      </c>
      <c r="G116" s="861">
        <v>3</v>
      </c>
      <c r="H116" s="861">
        <v>4</v>
      </c>
      <c r="I116" s="861">
        <v>5</v>
      </c>
      <c r="J116" s="861">
        <v>6</v>
      </c>
      <c r="K116" s="861">
        <v>7</v>
      </c>
      <c r="L116" s="861">
        <v>8</v>
      </c>
      <c r="M116" s="861">
        <v>9</v>
      </c>
      <c r="N116" s="861">
        <v>10</v>
      </c>
      <c r="O116" s="861">
        <v>11</v>
      </c>
      <c r="P116" s="861">
        <v>12</v>
      </c>
      <c r="R116" s="155"/>
    </row>
    <row r="117" spans="1:18" ht="11.25" customHeight="1">
      <c r="A117" s="878"/>
      <c r="B117" s="881">
        <v>3.1300000000000001E-2</v>
      </c>
      <c r="C117" s="880"/>
      <c r="E117" s="861">
        <f t="shared" ref="E117:P117" si="42">+E115*($B117/12)*E116</f>
        <v>0</v>
      </c>
      <c r="F117" s="861">
        <f t="shared" si="42"/>
        <v>0</v>
      </c>
      <c r="G117" s="861">
        <f t="shared" si="42"/>
        <v>0</v>
      </c>
      <c r="H117" s="861">
        <f t="shared" si="42"/>
        <v>0</v>
      </c>
      <c r="I117" s="861">
        <f t="shared" si="42"/>
        <v>0</v>
      </c>
      <c r="J117" s="861">
        <f t="shared" si="42"/>
        <v>11.674900000000001</v>
      </c>
      <c r="K117" s="861">
        <f t="shared" si="42"/>
        <v>0</v>
      </c>
      <c r="L117" s="861">
        <f t="shared" si="42"/>
        <v>0</v>
      </c>
      <c r="M117" s="861">
        <f t="shared" si="42"/>
        <v>0</v>
      </c>
      <c r="N117" s="861">
        <f t="shared" si="42"/>
        <v>0</v>
      </c>
      <c r="O117" s="861">
        <f t="shared" si="42"/>
        <v>2.2666416666666667</v>
      </c>
      <c r="P117" s="861">
        <f t="shared" si="42"/>
        <v>19.093</v>
      </c>
      <c r="Q117" s="861">
        <f>SUM(E117:P117)</f>
        <v>33.034541666666669</v>
      </c>
      <c r="R117" s="155"/>
    </row>
    <row r="118" spans="1:18" ht="11.25" customHeight="1">
      <c r="A118" s="878">
        <f>A114+1</f>
        <v>44</v>
      </c>
      <c r="B118" s="861" t="s">
        <v>24</v>
      </c>
      <c r="D118" s="861">
        <v>0</v>
      </c>
      <c r="E118" s="861">
        <v>0</v>
      </c>
      <c r="F118" s="861">
        <v>0</v>
      </c>
      <c r="G118" s="861">
        <v>0</v>
      </c>
      <c r="H118" s="861">
        <v>0</v>
      </c>
      <c r="I118" s="861">
        <v>0</v>
      </c>
      <c r="J118" s="861">
        <v>0</v>
      </c>
      <c r="K118" s="861">
        <v>0</v>
      </c>
      <c r="L118" s="861">
        <v>0</v>
      </c>
      <c r="M118" s="861">
        <v>0</v>
      </c>
      <c r="N118" s="861">
        <v>0</v>
      </c>
      <c r="O118" s="861">
        <v>0</v>
      </c>
      <c r="P118" s="861">
        <v>0</v>
      </c>
      <c r="R118" s="155">
        <f>ROUND(SUM(D118:P118)/13,0)</f>
        <v>0</v>
      </c>
    </row>
    <row r="119" spans="1:18" ht="11.25" customHeight="1">
      <c r="A119" s="878">
        <f>A118+1</f>
        <v>45</v>
      </c>
      <c r="B119" s="861" t="s">
        <v>25</v>
      </c>
      <c r="D119" s="861">
        <v>613190</v>
      </c>
      <c r="E119" s="861">
        <v>613190</v>
      </c>
      <c r="F119" s="861">
        <v>613190</v>
      </c>
      <c r="G119" s="861">
        <v>613190</v>
      </c>
      <c r="H119" s="861">
        <v>613190</v>
      </c>
      <c r="I119" s="861">
        <v>954883</v>
      </c>
      <c r="J119" s="861">
        <v>954883</v>
      </c>
      <c r="K119" s="861">
        <v>1042116</v>
      </c>
      <c r="L119" s="861">
        <v>1043216</v>
      </c>
      <c r="M119" s="861">
        <v>1097273</v>
      </c>
      <c r="N119" s="861">
        <v>1097273</v>
      </c>
      <c r="O119" s="861">
        <v>1097273</v>
      </c>
      <c r="P119" s="861">
        <v>1098433</v>
      </c>
      <c r="R119" s="155">
        <f>ROUND(SUM(D119:P119)/13,0)</f>
        <v>880869</v>
      </c>
    </row>
    <row r="120" spans="1:18" ht="11.25" customHeight="1">
      <c r="A120" s="878"/>
      <c r="B120" s="880" t="s">
        <v>866</v>
      </c>
      <c r="C120" s="880"/>
      <c r="E120" s="861">
        <f t="shared" ref="E120:P120" si="43">+E119-D119</f>
        <v>0</v>
      </c>
      <c r="F120" s="861">
        <f t="shared" si="43"/>
        <v>0</v>
      </c>
      <c r="G120" s="861">
        <f t="shared" si="43"/>
        <v>0</v>
      </c>
      <c r="H120" s="861">
        <f t="shared" si="43"/>
        <v>0</v>
      </c>
      <c r="I120" s="861">
        <f t="shared" si="43"/>
        <v>341693</v>
      </c>
      <c r="J120" s="861">
        <f t="shared" si="43"/>
        <v>0</v>
      </c>
      <c r="K120" s="861">
        <f t="shared" si="43"/>
        <v>87233</v>
      </c>
      <c r="L120" s="861">
        <f t="shared" si="43"/>
        <v>1100</v>
      </c>
      <c r="M120" s="861">
        <f t="shared" si="43"/>
        <v>54057</v>
      </c>
      <c r="N120" s="861">
        <f t="shared" si="43"/>
        <v>0</v>
      </c>
      <c r="O120" s="861">
        <f t="shared" si="43"/>
        <v>0</v>
      </c>
      <c r="P120" s="861">
        <f t="shared" si="43"/>
        <v>1160</v>
      </c>
      <c r="R120" s="155"/>
    </row>
    <row r="121" spans="1:18" ht="11.25" customHeight="1">
      <c r="A121" s="878"/>
      <c r="B121" s="880" t="s">
        <v>865</v>
      </c>
      <c r="C121" s="880"/>
      <c r="E121" s="861">
        <v>1</v>
      </c>
      <c r="F121" s="861">
        <v>2</v>
      </c>
      <c r="G121" s="861">
        <v>3</v>
      </c>
      <c r="H121" s="861">
        <v>4</v>
      </c>
      <c r="I121" s="861">
        <v>5</v>
      </c>
      <c r="J121" s="861">
        <v>6</v>
      </c>
      <c r="K121" s="861">
        <v>7</v>
      </c>
      <c r="L121" s="861">
        <v>8</v>
      </c>
      <c r="M121" s="861">
        <v>9</v>
      </c>
      <c r="N121" s="861">
        <v>10</v>
      </c>
      <c r="O121" s="861">
        <v>11</v>
      </c>
      <c r="P121" s="861">
        <v>12</v>
      </c>
      <c r="R121" s="155"/>
    </row>
    <row r="122" spans="1:18" ht="11.25" customHeight="1">
      <c r="A122" s="878"/>
      <c r="B122" s="881">
        <v>2.5000000000000001E-2</v>
      </c>
      <c r="C122" s="880"/>
      <c r="E122" s="861">
        <f t="shared" ref="E122:P122" si="44">+E120*($B122/12)*E121</f>
        <v>0</v>
      </c>
      <c r="F122" s="861">
        <f t="shared" si="44"/>
        <v>0</v>
      </c>
      <c r="G122" s="861">
        <f t="shared" si="44"/>
        <v>0</v>
      </c>
      <c r="H122" s="861">
        <f t="shared" si="44"/>
        <v>0</v>
      </c>
      <c r="I122" s="861">
        <f t="shared" si="44"/>
        <v>3559.302083333333</v>
      </c>
      <c r="J122" s="861">
        <f t="shared" si="44"/>
        <v>0</v>
      </c>
      <c r="K122" s="861">
        <f t="shared" si="44"/>
        <v>1272.1479166666666</v>
      </c>
      <c r="L122" s="861">
        <f t="shared" si="44"/>
        <v>18.333333333333332</v>
      </c>
      <c r="M122" s="861">
        <f t="shared" si="44"/>
        <v>1013.5687499999999</v>
      </c>
      <c r="N122" s="861">
        <f t="shared" si="44"/>
        <v>0</v>
      </c>
      <c r="O122" s="861">
        <f t="shared" si="44"/>
        <v>0</v>
      </c>
      <c r="P122" s="861">
        <f t="shared" si="44"/>
        <v>29</v>
      </c>
      <c r="Q122" s="861">
        <f>SUM(E122:P122)</f>
        <v>5892.3520833333332</v>
      </c>
      <c r="R122" s="155"/>
    </row>
    <row r="123" spans="1:18" ht="11.25" customHeight="1">
      <c r="A123" s="878">
        <f>A119+1</f>
        <v>46</v>
      </c>
      <c r="B123" s="861" t="s">
        <v>26</v>
      </c>
      <c r="D123" s="861">
        <v>106560</v>
      </c>
      <c r="E123" s="861">
        <v>106560</v>
      </c>
      <c r="F123" s="861">
        <v>106560</v>
      </c>
      <c r="G123" s="861">
        <v>106560</v>
      </c>
      <c r="H123" s="861">
        <v>107748</v>
      </c>
      <c r="I123" s="861">
        <v>107105</v>
      </c>
      <c r="J123" s="861">
        <v>107105</v>
      </c>
      <c r="K123" s="861">
        <v>107105</v>
      </c>
      <c r="L123" s="861">
        <v>107195</v>
      </c>
      <c r="M123" s="861">
        <v>112119</v>
      </c>
      <c r="N123" s="861">
        <v>112119</v>
      </c>
      <c r="O123" s="861">
        <v>109749</v>
      </c>
      <c r="P123" s="861">
        <v>111044</v>
      </c>
      <c r="R123" s="155">
        <f>ROUND(SUM(D123:P123)/13,0)</f>
        <v>108271</v>
      </c>
    </row>
    <row r="124" spans="1:18" ht="11.25" customHeight="1">
      <c r="A124" s="878"/>
      <c r="B124" s="880" t="s">
        <v>866</v>
      </c>
      <c r="C124" s="880"/>
      <c r="E124" s="861">
        <f t="shared" ref="E124:P124" si="45">+E123-D123</f>
        <v>0</v>
      </c>
      <c r="F124" s="861">
        <f t="shared" si="45"/>
        <v>0</v>
      </c>
      <c r="G124" s="861">
        <f t="shared" si="45"/>
        <v>0</v>
      </c>
      <c r="H124" s="861">
        <f t="shared" si="45"/>
        <v>1188</v>
      </c>
      <c r="I124" s="861">
        <f t="shared" si="45"/>
        <v>-643</v>
      </c>
      <c r="J124" s="861">
        <f t="shared" si="45"/>
        <v>0</v>
      </c>
      <c r="K124" s="861">
        <f t="shared" si="45"/>
        <v>0</v>
      </c>
      <c r="L124" s="861">
        <f t="shared" si="45"/>
        <v>90</v>
      </c>
      <c r="M124" s="861">
        <f t="shared" si="45"/>
        <v>4924</v>
      </c>
      <c r="N124" s="861">
        <f t="shared" si="45"/>
        <v>0</v>
      </c>
      <c r="O124" s="861">
        <f t="shared" si="45"/>
        <v>-2370</v>
      </c>
      <c r="P124" s="861">
        <f t="shared" si="45"/>
        <v>1295</v>
      </c>
      <c r="R124" s="155"/>
    </row>
    <row r="125" spans="1:18" ht="11.25" customHeight="1">
      <c r="A125" s="878"/>
      <c r="B125" s="880" t="s">
        <v>865</v>
      </c>
      <c r="C125" s="880"/>
      <c r="E125" s="861">
        <v>1</v>
      </c>
      <c r="F125" s="861">
        <v>2</v>
      </c>
      <c r="G125" s="861">
        <v>3</v>
      </c>
      <c r="H125" s="861">
        <v>4</v>
      </c>
      <c r="I125" s="861">
        <v>5</v>
      </c>
      <c r="J125" s="861">
        <v>6</v>
      </c>
      <c r="K125" s="861">
        <v>7</v>
      </c>
      <c r="L125" s="861">
        <v>8</v>
      </c>
      <c r="M125" s="861">
        <v>9</v>
      </c>
      <c r="N125" s="861">
        <v>10</v>
      </c>
      <c r="O125" s="861">
        <v>11</v>
      </c>
      <c r="P125" s="861">
        <v>12</v>
      </c>
      <c r="R125" s="155"/>
    </row>
    <row r="126" spans="1:18" ht="11.25" customHeight="1">
      <c r="A126" s="878"/>
      <c r="B126" s="881">
        <v>0.05</v>
      </c>
      <c r="C126" s="880"/>
      <c r="E126" s="861">
        <f t="shared" ref="E126:P126" si="46">+E124*($B126/12)*E125</f>
        <v>0</v>
      </c>
      <c r="F126" s="861">
        <f t="shared" si="46"/>
        <v>0</v>
      </c>
      <c r="G126" s="861">
        <f t="shared" si="46"/>
        <v>0</v>
      </c>
      <c r="H126" s="861">
        <f t="shared" si="46"/>
        <v>19.8</v>
      </c>
      <c r="I126" s="861">
        <f t="shared" si="46"/>
        <v>-13.395833333333334</v>
      </c>
      <c r="J126" s="861">
        <f t="shared" si="46"/>
        <v>0</v>
      </c>
      <c r="K126" s="861">
        <f t="shared" si="46"/>
        <v>0</v>
      </c>
      <c r="L126" s="861">
        <f t="shared" si="46"/>
        <v>3</v>
      </c>
      <c r="M126" s="861">
        <f t="shared" si="46"/>
        <v>184.64999999999998</v>
      </c>
      <c r="N126" s="861">
        <f t="shared" si="46"/>
        <v>0</v>
      </c>
      <c r="O126" s="861">
        <f t="shared" si="46"/>
        <v>-108.625</v>
      </c>
      <c r="P126" s="861">
        <f t="shared" si="46"/>
        <v>64.75</v>
      </c>
      <c r="Q126" s="861">
        <f>SUM(E126:P126)</f>
        <v>150.17916666666665</v>
      </c>
      <c r="R126" s="155"/>
    </row>
    <row r="127" spans="1:18" ht="11.25" customHeight="1">
      <c r="A127" s="878">
        <f>A123+1</f>
        <v>47</v>
      </c>
      <c r="B127" s="861" t="s">
        <v>27</v>
      </c>
      <c r="D127" s="861">
        <v>18115</v>
      </c>
      <c r="E127" s="861">
        <v>43792</v>
      </c>
      <c r="F127" s="861">
        <v>43792</v>
      </c>
      <c r="G127" s="861">
        <v>43792</v>
      </c>
      <c r="H127" s="861">
        <v>50514</v>
      </c>
      <c r="I127" s="861">
        <v>50514</v>
      </c>
      <c r="J127" s="861">
        <v>50514</v>
      </c>
      <c r="K127" s="861">
        <v>50514</v>
      </c>
      <c r="L127" s="861">
        <v>52496</v>
      </c>
      <c r="M127" s="861">
        <v>55117</v>
      </c>
      <c r="N127" s="861">
        <v>55117</v>
      </c>
      <c r="O127" s="861">
        <v>55702</v>
      </c>
      <c r="P127" s="861">
        <v>55702</v>
      </c>
      <c r="R127" s="155">
        <f>ROUND(SUM(D127:P127)/13,0)</f>
        <v>48129</v>
      </c>
    </row>
    <row r="128" spans="1:18" ht="11.25" customHeight="1">
      <c r="A128" s="878"/>
      <c r="B128" s="880" t="s">
        <v>866</v>
      </c>
      <c r="C128" s="880"/>
      <c r="E128" s="861">
        <f t="shared" ref="E128:P128" si="47">+E127-D127</f>
        <v>25677</v>
      </c>
      <c r="F128" s="861">
        <f t="shared" si="47"/>
        <v>0</v>
      </c>
      <c r="G128" s="861">
        <f t="shared" si="47"/>
        <v>0</v>
      </c>
      <c r="H128" s="861">
        <f t="shared" si="47"/>
        <v>6722</v>
      </c>
      <c r="I128" s="861">
        <f t="shared" si="47"/>
        <v>0</v>
      </c>
      <c r="J128" s="861">
        <f t="shared" si="47"/>
        <v>0</v>
      </c>
      <c r="K128" s="861">
        <f t="shared" si="47"/>
        <v>0</v>
      </c>
      <c r="L128" s="861">
        <f t="shared" si="47"/>
        <v>1982</v>
      </c>
      <c r="M128" s="861">
        <f t="shared" si="47"/>
        <v>2621</v>
      </c>
      <c r="N128" s="861">
        <f t="shared" si="47"/>
        <v>0</v>
      </c>
      <c r="O128" s="861">
        <f t="shared" si="47"/>
        <v>585</v>
      </c>
      <c r="P128" s="861">
        <f t="shared" si="47"/>
        <v>0</v>
      </c>
      <c r="R128" s="155"/>
    </row>
    <row r="129" spans="1:19" ht="11.25" customHeight="1">
      <c r="A129" s="878"/>
      <c r="B129" s="880" t="s">
        <v>865</v>
      </c>
      <c r="C129" s="880"/>
      <c r="E129" s="861">
        <v>1</v>
      </c>
      <c r="F129" s="861">
        <v>2</v>
      </c>
      <c r="G129" s="861">
        <v>3</v>
      </c>
      <c r="H129" s="861">
        <v>4</v>
      </c>
      <c r="I129" s="861">
        <v>5</v>
      </c>
      <c r="J129" s="861">
        <v>6</v>
      </c>
      <c r="K129" s="861">
        <v>7</v>
      </c>
      <c r="L129" s="861">
        <v>8</v>
      </c>
      <c r="M129" s="861">
        <v>9</v>
      </c>
      <c r="N129" s="861">
        <v>10</v>
      </c>
      <c r="O129" s="861">
        <v>11</v>
      </c>
      <c r="P129" s="861">
        <v>12</v>
      </c>
      <c r="R129" s="155"/>
    </row>
    <row r="130" spans="1:19" ht="11.25" customHeight="1">
      <c r="A130" s="878"/>
      <c r="B130" s="881">
        <v>5.5555555555555552E-2</v>
      </c>
      <c r="C130" s="880"/>
      <c r="E130" s="861">
        <f t="shared" ref="E130:P130" si="48">+E128*($B130/12)*E129</f>
        <v>118.875</v>
      </c>
      <c r="F130" s="861">
        <f t="shared" si="48"/>
        <v>0</v>
      </c>
      <c r="G130" s="861">
        <f t="shared" si="48"/>
        <v>0</v>
      </c>
      <c r="H130" s="861">
        <f t="shared" si="48"/>
        <v>124.48148148148148</v>
      </c>
      <c r="I130" s="861">
        <f t="shared" si="48"/>
        <v>0</v>
      </c>
      <c r="J130" s="861">
        <f t="shared" si="48"/>
        <v>0</v>
      </c>
      <c r="K130" s="861">
        <f t="shared" si="48"/>
        <v>0</v>
      </c>
      <c r="L130" s="861">
        <f t="shared" si="48"/>
        <v>73.407407407407405</v>
      </c>
      <c r="M130" s="861">
        <f t="shared" si="48"/>
        <v>109.20833333333331</v>
      </c>
      <c r="N130" s="861">
        <f t="shared" si="48"/>
        <v>0</v>
      </c>
      <c r="O130" s="861">
        <f t="shared" si="48"/>
        <v>29.791666666666664</v>
      </c>
      <c r="P130" s="861">
        <f t="shared" si="48"/>
        <v>0</v>
      </c>
      <c r="Q130" s="861">
        <f>SUM(E130:P130)</f>
        <v>455.76388888888886</v>
      </c>
      <c r="R130" s="155"/>
    </row>
    <row r="131" spans="1:19" ht="11.25" customHeight="1">
      <c r="A131" s="878">
        <f>A127+1</f>
        <v>48</v>
      </c>
      <c r="B131" s="861" t="s">
        <v>28</v>
      </c>
      <c r="D131" s="861">
        <v>14824597</v>
      </c>
      <c r="E131" s="861">
        <v>14824900</v>
      </c>
      <c r="F131" s="861">
        <v>14825939</v>
      </c>
      <c r="G131" s="861">
        <v>14827126</v>
      </c>
      <c r="H131" s="861">
        <v>14828294</v>
      </c>
      <c r="I131" s="861">
        <v>14829139</v>
      </c>
      <c r="J131" s="861">
        <v>14829953</v>
      </c>
      <c r="K131" s="861">
        <v>14831715</v>
      </c>
      <c r="L131" s="861">
        <v>14834425</v>
      </c>
      <c r="M131" s="861">
        <v>14897561</v>
      </c>
      <c r="N131" s="861">
        <v>14898306</v>
      </c>
      <c r="O131" s="861">
        <v>14899729</v>
      </c>
      <c r="P131" s="861">
        <v>14901175</v>
      </c>
      <c r="R131" s="155">
        <f>ROUND(SUM(D131:P131)/13,0)</f>
        <v>14850220</v>
      </c>
    </row>
    <row r="132" spans="1:19" ht="11.25" customHeight="1">
      <c r="A132" s="878"/>
      <c r="B132" s="880" t="s">
        <v>866</v>
      </c>
      <c r="C132" s="880"/>
      <c r="E132" s="861">
        <f t="shared" ref="E132:P132" si="49">+E131-D131</f>
        <v>303</v>
      </c>
      <c r="F132" s="861">
        <f t="shared" si="49"/>
        <v>1039</v>
      </c>
      <c r="G132" s="861">
        <f t="shared" si="49"/>
        <v>1187</v>
      </c>
      <c r="H132" s="861">
        <f t="shared" si="49"/>
        <v>1168</v>
      </c>
      <c r="I132" s="861">
        <f t="shared" si="49"/>
        <v>845</v>
      </c>
      <c r="J132" s="861">
        <f t="shared" si="49"/>
        <v>814</v>
      </c>
      <c r="K132" s="861">
        <f t="shared" si="49"/>
        <v>1762</v>
      </c>
      <c r="L132" s="861">
        <f t="shared" si="49"/>
        <v>2710</v>
      </c>
      <c r="M132" s="861">
        <f t="shared" si="49"/>
        <v>63136</v>
      </c>
      <c r="N132" s="861">
        <f t="shared" si="49"/>
        <v>745</v>
      </c>
      <c r="O132" s="861">
        <f t="shared" si="49"/>
        <v>1423</v>
      </c>
      <c r="P132" s="861">
        <f t="shared" si="49"/>
        <v>1446</v>
      </c>
      <c r="R132" s="155"/>
    </row>
    <row r="133" spans="1:19" ht="11.25" customHeight="1">
      <c r="A133" s="878"/>
      <c r="B133" s="880" t="s">
        <v>865</v>
      </c>
      <c r="C133" s="880"/>
      <c r="E133" s="861">
        <v>1</v>
      </c>
      <c r="F133" s="861">
        <v>2</v>
      </c>
      <c r="G133" s="861">
        <v>3</v>
      </c>
      <c r="H133" s="861">
        <v>4</v>
      </c>
      <c r="I133" s="861">
        <v>5</v>
      </c>
      <c r="J133" s="861">
        <v>6</v>
      </c>
      <c r="K133" s="861">
        <v>7</v>
      </c>
      <c r="L133" s="861">
        <v>8</v>
      </c>
      <c r="M133" s="861">
        <v>9</v>
      </c>
      <c r="N133" s="861">
        <v>10</v>
      </c>
      <c r="O133" s="861">
        <v>11</v>
      </c>
      <c r="P133" s="861">
        <v>12</v>
      </c>
      <c r="R133" s="155"/>
    </row>
    <row r="134" spans="1:19" ht="11.25" customHeight="1">
      <c r="A134" s="878"/>
      <c r="B134" s="881">
        <v>2.3255813953488372E-2</v>
      </c>
      <c r="C134" s="880"/>
      <c r="E134" s="861">
        <f t="shared" ref="E134:P134" si="50">+E132*($B134/12)*E133</f>
        <v>0.58720930232558144</v>
      </c>
      <c r="F134" s="861">
        <f t="shared" si="50"/>
        <v>4.0271317829457365</v>
      </c>
      <c r="G134" s="861">
        <f t="shared" si="50"/>
        <v>6.9011627906976747</v>
      </c>
      <c r="H134" s="861">
        <f t="shared" si="50"/>
        <v>9.054263565891473</v>
      </c>
      <c r="I134" s="861">
        <f t="shared" si="50"/>
        <v>8.1879844961240309</v>
      </c>
      <c r="J134" s="861">
        <f t="shared" si="50"/>
        <v>9.4651162790697665</v>
      </c>
      <c r="K134" s="861">
        <f t="shared" si="50"/>
        <v>23.903100775193799</v>
      </c>
      <c r="L134" s="861">
        <f t="shared" si="50"/>
        <v>42.015503875968989</v>
      </c>
      <c r="M134" s="861">
        <f t="shared" si="50"/>
        <v>1101.2093023255813</v>
      </c>
      <c r="N134" s="861">
        <f t="shared" si="50"/>
        <v>14.437984496124031</v>
      </c>
      <c r="O134" s="861">
        <f t="shared" si="50"/>
        <v>30.335271317829459</v>
      </c>
      <c r="P134" s="861">
        <f t="shared" si="50"/>
        <v>33.627906976744185</v>
      </c>
      <c r="Q134" s="861">
        <f>SUM(E134:P134)</f>
        <v>1283.7519379844962</v>
      </c>
      <c r="R134" s="155"/>
    </row>
    <row r="135" spans="1:19" ht="11.25" customHeight="1">
      <c r="A135" s="878">
        <f>A131+1</f>
        <v>49</v>
      </c>
      <c r="B135" s="861" t="s">
        <v>29</v>
      </c>
      <c r="D135" s="883">
        <v>23660</v>
      </c>
      <c r="E135" s="861">
        <v>23660</v>
      </c>
      <c r="F135" s="861">
        <v>23660</v>
      </c>
      <c r="G135" s="861">
        <v>23660</v>
      </c>
      <c r="H135" s="861">
        <v>23660</v>
      </c>
      <c r="I135" s="861">
        <v>23660</v>
      </c>
      <c r="J135" s="861">
        <v>23660</v>
      </c>
      <c r="K135" s="861">
        <v>23660</v>
      </c>
      <c r="L135" s="861">
        <v>23660</v>
      </c>
      <c r="M135" s="861">
        <v>23660</v>
      </c>
      <c r="N135" s="861">
        <v>23660</v>
      </c>
      <c r="O135" s="861">
        <v>23660</v>
      </c>
      <c r="P135" s="861">
        <v>23660</v>
      </c>
      <c r="R135" s="155">
        <f>ROUND(SUM(D135:P135)/13,0)</f>
        <v>23660</v>
      </c>
      <c r="S135" s="861">
        <f>+R135-D135</f>
        <v>0</v>
      </c>
    </row>
    <row r="136" spans="1:19" ht="11.25" customHeight="1">
      <c r="A136" s="878">
        <f>A135+1</f>
        <v>50</v>
      </c>
      <c r="B136" s="860" t="s">
        <v>298</v>
      </c>
      <c r="R136" s="155"/>
    </row>
    <row r="137" spans="1:19" ht="11.25" customHeight="1">
      <c r="A137" s="878">
        <f>A136+1</f>
        <v>51</v>
      </c>
      <c r="B137" s="887" t="s">
        <v>140</v>
      </c>
      <c r="D137" s="861">
        <v>228430</v>
      </c>
      <c r="E137" s="861">
        <v>228430</v>
      </c>
      <c r="F137" s="861">
        <v>228430</v>
      </c>
      <c r="G137" s="861">
        <v>228430</v>
      </c>
      <c r="H137" s="861">
        <v>-69</v>
      </c>
      <c r="I137" s="861">
        <v>-69</v>
      </c>
      <c r="J137" s="861">
        <v>-69</v>
      </c>
      <c r="K137" s="861">
        <v>-69</v>
      </c>
      <c r="L137" s="861">
        <v>-69</v>
      </c>
      <c r="M137" s="861">
        <v>-69</v>
      </c>
      <c r="N137" s="861">
        <v>-69</v>
      </c>
      <c r="O137" s="861">
        <v>-69</v>
      </c>
      <c r="P137" s="861">
        <v>-69</v>
      </c>
      <c r="R137" s="155">
        <f>ROUND(SUM(D137:P137)/13,0)</f>
        <v>70238</v>
      </c>
    </row>
    <row r="138" spans="1:19" ht="11.25" customHeight="1">
      <c r="A138" s="878">
        <f>A137+1</f>
        <v>52</v>
      </c>
      <c r="B138" s="887" t="s">
        <v>141</v>
      </c>
      <c r="D138" s="861">
        <v>13266555</v>
      </c>
      <c r="E138" s="861">
        <v>13266555</v>
      </c>
      <c r="F138" s="861">
        <v>13266555</v>
      </c>
      <c r="G138" s="861">
        <v>13320611</v>
      </c>
      <c r="H138" s="861">
        <v>13359927</v>
      </c>
      <c r="I138" s="861">
        <v>13387512</v>
      </c>
      <c r="J138" s="861">
        <v>13394968</v>
      </c>
      <c r="K138" s="861">
        <v>13405952</v>
      </c>
      <c r="L138" s="861">
        <v>13409146</v>
      </c>
      <c r="M138" s="861">
        <v>13408240</v>
      </c>
      <c r="N138" s="861">
        <v>13412268</v>
      </c>
      <c r="O138" s="861">
        <v>13412359</v>
      </c>
      <c r="P138" s="861">
        <v>13412539</v>
      </c>
      <c r="R138" s="155">
        <f>ROUND(SUM(D138:P138)/13,0)</f>
        <v>13363322</v>
      </c>
    </row>
    <row r="139" spans="1:19" ht="11.25" customHeight="1">
      <c r="A139" s="878"/>
      <c r="B139" s="880" t="s">
        <v>866</v>
      </c>
      <c r="C139" s="880"/>
      <c r="E139" s="861">
        <f t="shared" ref="E139:P139" si="51">+E138-D138</f>
        <v>0</v>
      </c>
      <c r="F139" s="861">
        <f t="shared" si="51"/>
        <v>0</v>
      </c>
      <c r="G139" s="861">
        <f t="shared" si="51"/>
        <v>54056</v>
      </c>
      <c r="H139" s="861">
        <f t="shared" si="51"/>
        <v>39316</v>
      </c>
      <c r="I139" s="861">
        <f t="shared" si="51"/>
        <v>27585</v>
      </c>
      <c r="J139" s="861">
        <f t="shared" si="51"/>
        <v>7456</v>
      </c>
      <c r="K139" s="861">
        <f t="shared" si="51"/>
        <v>10984</v>
      </c>
      <c r="L139" s="861">
        <f t="shared" si="51"/>
        <v>3194</v>
      </c>
      <c r="M139" s="861">
        <f t="shared" si="51"/>
        <v>-906</v>
      </c>
      <c r="N139" s="861">
        <f t="shared" si="51"/>
        <v>4028</v>
      </c>
      <c r="O139" s="861">
        <f t="shared" si="51"/>
        <v>91</v>
      </c>
      <c r="P139" s="861">
        <f t="shared" si="51"/>
        <v>180</v>
      </c>
      <c r="R139" s="155"/>
    </row>
    <row r="140" spans="1:19" ht="11.25" customHeight="1">
      <c r="A140" s="878"/>
      <c r="B140" s="880" t="s">
        <v>865</v>
      </c>
      <c r="C140" s="880"/>
      <c r="E140" s="861">
        <v>1</v>
      </c>
      <c r="F140" s="861">
        <v>2</v>
      </c>
      <c r="G140" s="861">
        <v>3</v>
      </c>
      <c r="H140" s="861">
        <v>4</v>
      </c>
      <c r="I140" s="861">
        <v>5</v>
      </c>
      <c r="J140" s="861">
        <v>6</v>
      </c>
      <c r="K140" s="861">
        <v>7</v>
      </c>
      <c r="L140" s="861">
        <v>8</v>
      </c>
      <c r="M140" s="861">
        <v>9</v>
      </c>
      <c r="N140" s="861">
        <v>10</v>
      </c>
      <c r="O140" s="861">
        <v>11</v>
      </c>
      <c r="P140" s="861">
        <v>12</v>
      </c>
      <c r="R140" s="155"/>
    </row>
    <row r="141" spans="1:19" ht="11.25" customHeight="1">
      <c r="A141" s="878"/>
      <c r="B141" s="881">
        <v>3.1300000000000001E-2</v>
      </c>
      <c r="C141" s="880"/>
      <c r="E141" s="861">
        <f t="shared" ref="E141:P141" si="52">+E139*($B141/12)*E140</f>
        <v>0</v>
      </c>
      <c r="F141" s="861">
        <f t="shared" si="52"/>
        <v>0</v>
      </c>
      <c r="G141" s="861">
        <f t="shared" si="52"/>
        <v>422.98820000000001</v>
      </c>
      <c r="H141" s="861">
        <f t="shared" si="52"/>
        <v>410.19693333333339</v>
      </c>
      <c r="I141" s="861">
        <f t="shared" si="52"/>
        <v>359.75437500000004</v>
      </c>
      <c r="J141" s="861">
        <f t="shared" si="52"/>
        <v>116.68640000000002</v>
      </c>
      <c r="K141" s="861">
        <f t="shared" si="52"/>
        <v>200.54953333333336</v>
      </c>
      <c r="L141" s="861">
        <f t="shared" si="52"/>
        <v>66.648133333333334</v>
      </c>
      <c r="M141" s="861">
        <f t="shared" si="52"/>
        <v>-21.268350000000002</v>
      </c>
      <c r="N141" s="861">
        <f t="shared" si="52"/>
        <v>105.06366666666668</v>
      </c>
      <c r="O141" s="861">
        <f t="shared" si="52"/>
        <v>2.6109416666666672</v>
      </c>
      <c r="P141" s="861">
        <f t="shared" si="52"/>
        <v>5.6340000000000003</v>
      </c>
      <c r="Q141" s="861">
        <f>SUM(E141:P141)</f>
        <v>1668.8638333333333</v>
      </c>
      <c r="R141" s="155"/>
    </row>
    <row r="142" spans="1:19" ht="11.25" customHeight="1">
      <c r="A142" s="878">
        <f>A138+1</f>
        <v>53</v>
      </c>
      <c r="B142" s="887" t="s">
        <v>142</v>
      </c>
      <c r="D142" s="861">
        <v>57358</v>
      </c>
      <c r="E142" s="861">
        <v>57569</v>
      </c>
      <c r="F142" s="861">
        <v>57568</v>
      </c>
      <c r="G142" s="861">
        <v>48116</v>
      </c>
      <c r="H142" s="861">
        <v>48116</v>
      </c>
      <c r="I142" s="861">
        <v>48116</v>
      </c>
      <c r="J142" s="861">
        <v>48521</v>
      </c>
      <c r="K142" s="861">
        <v>48521</v>
      </c>
      <c r="L142" s="861">
        <v>48521</v>
      </c>
      <c r="M142" s="861">
        <v>48521</v>
      </c>
      <c r="N142" s="861">
        <v>48521</v>
      </c>
      <c r="O142" s="861">
        <v>48521</v>
      </c>
      <c r="P142" s="861">
        <v>48521</v>
      </c>
      <c r="R142" s="155">
        <f>ROUND(SUM(D142:P142)/13,0)</f>
        <v>50499</v>
      </c>
    </row>
    <row r="143" spans="1:19" ht="11.25" customHeight="1">
      <c r="A143" s="878"/>
      <c r="B143" s="880" t="s">
        <v>866</v>
      </c>
      <c r="C143" s="880"/>
      <c r="E143" s="861">
        <f t="shared" ref="E143:P143" si="53">+E142-D142</f>
        <v>211</v>
      </c>
      <c r="F143" s="861">
        <f t="shared" si="53"/>
        <v>-1</v>
      </c>
      <c r="G143" s="861">
        <f t="shared" si="53"/>
        <v>-9452</v>
      </c>
      <c r="H143" s="861">
        <f t="shared" si="53"/>
        <v>0</v>
      </c>
      <c r="I143" s="861">
        <f t="shared" si="53"/>
        <v>0</v>
      </c>
      <c r="J143" s="861">
        <f t="shared" si="53"/>
        <v>405</v>
      </c>
      <c r="K143" s="861">
        <f t="shared" si="53"/>
        <v>0</v>
      </c>
      <c r="L143" s="861">
        <f t="shared" si="53"/>
        <v>0</v>
      </c>
      <c r="M143" s="861">
        <f t="shared" si="53"/>
        <v>0</v>
      </c>
      <c r="N143" s="861">
        <f t="shared" si="53"/>
        <v>0</v>
      </c>
      <c r="O143" s="861">
        <f t="shared" si="53"/>
        <v>0</v>
      </c>
      <c r="P143" s="861">
        <f t="shared" si="53"/>
        <v>0</v>
      </c>
      <c r="R143" s="155"/>
    </row>
    <row r="144" spans="1:19" ht="11.25" customHeight="1">
      <c r="A144" s="878"/>
      <c r="B144" s="880" t="s">
        <v>865</v>
      </c>
      <c r="C144" s="880"/>
      <c r="E144" s="861">
        <v>1</v>
      </c>
      <c r="F144" s="861">
        <v>2</v>
      </c>
      <c r="G144" s="861">
        <v>3</v>
      </c>
      <c r="H144" s="861">
        <v>4</v>
      </c>
      <c r="I144" s="861">
        <v>5</v>
      </c>
      <c r="J144" s="861">
        <v>6</v>
      </c>
      <c r="K144" s="861">
        <v>7</v>
      </c>
      <c r="L144" s="861">
        <v>8</v>
      </c>
      <c r="M144" s="861">
        <v>9</v>
      </c>
      <c r="N144" s="861">
        <v>10</v>
      </c>
      <c r="O144" s="861">
        <v>11</v>
      </c>
      <c r="P144" s="861">
        <v>12</v>
      </c>
      <c r="R144" s="155"/>
    </row>
    <row r="145" spans="1:19" ht="11.25" customHeight="1">
      <c r="A145" s="878"/>
      <c r="B145" s="881">
        <v>6.6666666666666666E-2</v>
      </c>
      <c r="C145" s="880"/>
      <c r="E145" s="861">
        <f t="shared" ref="E145:P145" si="54">+E143*($B145/12)*E144</f>
        <v>1.1722222222222223</v>
      </c>
      <c r="F145" s="861">
        <f t="shared" si="54"/>
        <v>-1.1111111111111112E-2</v>
      </c>
      <c r="G145" s="861">
        <f t="shared" si="54"/>
        <v>-157.53333333333333</v>
      </c>
      <c r="H145" s="861">
        <f t="shared" si="54"/>
        <v>0</v>
      </c>
      <c r="I145" s="861">
        <f t="shared" si="54"/>
        <v>0</v>
      </c>
      <c r="J145" s="861">
        <f t="shared" si="54"/>
        <v>13.5</v>
      </c>
      <c r="K145" s="861">
        <f t="shared" si="54"/>
        <v>0</v>
      </c>
      <c r="L145" s="861">
        <f t="shared" si="54"/>
        <v>0</v>
      </c>
      <c r="M145" s="861">
        <f t="shared" si="54"/>
        <v>0</v>
      </c>
      <c r="N145" s="861">
        <f t="shared" si="54"/>
        <v>0</v>
      </c>
      <c r="O145" s="861">
        <f t="shared" si="54"/>
        <v>0</v>
      </c>
      <c r="P145" s="861">
        <f t="shared" si="54"/>
        <v>0</v>
      </c>
      <c r="Q145" s="861">
        <f>SUM(E145:P145)</f>
        <v>-142.87222222222223</v>
      </c>
      <c r="R145" s="155"/>
    </row>
    <row r="146" spans="1:19" ht="11.25" customHeight="1">
      <c r="A146" s="878">
        <f>A142+1</f>
        <v>54</v>
      </c>
      <c r="B146" s="887" t="s">
        <v>143</v>
      </c>
      <c r="D146" s="861">
        <v>0</v>
      </c>
      <c r="E146" s="861">
        <v>0</v>
      </c>
      <c r="F146" s="861">
        <v>0</v>
      </c>
      <c r="G146" s="861">
        <v>0</v>
      </c>
      <c r="H146" s="861">
        <v>0</v>
      </c>
      <c r="I146" s="861">
        <v>0</v>
      </c>
      <c r="J146" s="861">
        <v>0</v>
      </c>
      <c r="K146" s="861">
        <v>0</v>
      </c>
      <c r="L146" s="861">
        <v>0</v>
      </c>
      <c r="M146" s="861">
        <v>0</v>
      </c>
      <c r="N146" s="861">
        <v>0</v>
      </c>
      <c r="O146" s="861">
        <v>0</v>
      </c>
      <c r="P146" s="861">
        <v>0</v>
      </c>
      <c r="R146" s="155">
        <f>ROUND(SUM(D146:P146)/13,0)</f>
        <v>0</v>
      </c>
    </row>
    <row r="147" spans="1:19" ht="11.25" customHeight="1">
      <c r="A147" s="878">
        <f>A146+1</f>
        <v>55</v>
      </c>
      <c r="B147" s="887" t="s">
        <v>144</v>
      </c>
      <c r="D147" s="861">
        <v>3019</v>
      </c>
      <c r="E147" s="861">
        <v>3019</v>
      </c>
      <c r="F147" s="861">
        <v>3019</v>
      </c>
      <c r="G147" s="861">
        <v>3019</v>
      </c>
      <c r="H147" s="861">
        <v>3061</v>
      </c>
      <c r="I147" s="861">
        <v>3061</v>
      </c>
      <c r="J147" s="861">
        <v>3061</v>
      </c>
      <c r="K147" s="861">
        <v>3061</v>
      </c>
      <c r="L147" s="861">
        <v>3061</v>
      </c>
      <c r="M147" s="861">
        <v>3061</v>
      </c>
      <c r="N147" s="861">
        <v>3061</v>
      </c>
      <c r="O147" s="861">
        <v>3061</v>
      </c>
      <c r="P147" s="861">
        <v>3061</v>
      </c>
      <c r="R147" s="155">
        <f>ROUND(SUM(D147:P147)/13,0)</f>
        <v>3048</v>
      </c>
      <c r="S147" s="861">
        <f>+R147-D147</f>
        <v>29</v>
      </c>
    </row>
    <row r="148" spans="1:19" ht="11.25" customHeight="1">
      <c r="A148" s="878">
        <f>A147+1</f>
        <v>56</v>
      </c>
      <c r="B148" s="887" t="s">
        <v>145</v>
      </c>
      <c r="D148" s="861">
        <v>294086</v>
      </c>
      <c r="E148" s="861">
        <v>294086</v>
      </c>
      <c r="F148" s="861">
        <v>294702</v>
      </c>
      <c r="G148" s="861">
        <v>279450</v>
      </c>
      <c r="H148" s="861">
        <v>280531</v>
      </c>
      <c r="I148" s="861">
        <v>280531</v>
      </c>
      <c r="J148" s="861">
        <v>280531</v>
      </c>
      <c r="K148" s="861">
        <v>280531</v>
      </c>
      <c r="L148" s="861">
        <v>281098</v>
      </c>
      <c r="M148" s="861">
        <v>282398</v>
      </c>
      <c r="N148" s="861">
        <v>282147</v>
      </c>
      <c r="O148" s="861">
        <v>282788</v>
      </c>
      <c r="P148" s="861">
        <v>283510</v>
      </c>
      <c r="R148" s="155">
        <f>ROUND(SUM(D148:P148)/13,0)</f>
        <v>284338</v>
      </c>
    </row>
    <row r="149" spans="1:19" ht="11.25" customHeight="1">
      <c r="A149" s="878"/>
      <c r="B149" s="880" t="s">
        <v>866</v>
      </c>
      <c r="C149" s="880"/>
      <c r="E149" s="861">
        <f t="shared" ref="E149:P149" si="55">+E148-D148</f>
        <v>0</v>
      </c>
      <c r="F149" s="861">
        <f t="shared" si="55"/>
        <v>616</v>
      </c>
      <c r="G149" s="861">
        <f t="shared" si="55"/>
        <v>-15252</v>
      </c>
      <c r="H149" s="861">
        <f t="shared" si="55"/>
        <v>1081</v>
      </c>
      <c r="I149" s="861">
        <f t="shared" si="55"/>
        <v>0</v>
      </c>
      <c r="J149" s="861">
        <f t="shared" si="55"/>
        <v>0</v>
      </c>
      <c r="K149" s="861">
        <f t="shared" si="55"/>
        <v>0</v>
      </c>
      <c r="L149" s="861">
        <f t="shared" si="55"/>
        <v>567</v>
      </c>
      <c r="M149" s="861">
        <f t="shared" si="55"/>
        <v>1300</v>
      </c>
      <c r="N149" s="861">
        <f t="shared" si="55"/>
        <v>-251</v>
      </c>
      <c r="O149" s="861">
        <f t="shared" si="55"/>
        <v>641</v>
      </c>
      <c r="P149" s="861">
        <f t="shared" si="55"/>
        <v>722</v>
      </c>
      <c r="R149" s="155"/>
    </row>
    <row r="150" spans="1:19" ht="11.25" customHeight="1">
      <c r="A150" s="878"/>
      <c r="B150" s="880" t="s">
        <v>865</v>
      </c>
      <c r="C150" s="880"/>
      <c r="E150" s="861">
        <v>1</v>
      </c>
      <c r="F150" s="861">
        <v>2</v>
      </c>
      <c r="G150" s="861">
        <v>3</v>
      </c>
      <c r="H150" s="861">
        <v>4</v>
      </c>
      <c r="I150" s="861">
        <v>5</v>
      </c>
      <c r="J150" s="861">
        <v>6</v>
      </c>
      <c r="K150" s="861">
        <v>7</v>
      </c>
      <c r="L150" s="861">
        <v>8</v>
      </c>
      <c r="M150" s="861">
        <v>9</v>
      </c>
      <c r="N150" s="861">
        <v>10</v>
      </c>
      <c r="O150" s="861">
        <v>11</v>
      </c>
      <c r="P150" s="861">
        <v>12</v>
      </c>
      <c r="R150" s="155"/>
    </row>
    <row r="151" spans="1:19" ht="11.25" customHeight="1">
      <c r="A151" s="878"/>
      <c r="B151" s="881">
        <v>6.25E-2</v>
      </c>
      <c r="C151" s="880"/>
      <c r="E151" s="861">
        <f t="shared" ref="E151:P151" si="56">+E149*($B151/12)*E150</f>
        <v>0</v>
      </c>
      <c r="F151" s="861">
        <f t="shared" si="56"/>
        <v>6.4166666666666661</v>
      </c>
      <c r="G151" s="861">
        <f t="shared" si="56"/>
        <v>-238.3125</v>
      </c>
      <c r="H151" s="861">
        <f t="shared" si="56"/>
        <v>22.520833333333332</v>
      </c>
      <c r="I151" s="861">
        <f t="shared" si="56"/>
        <v>0</v>
      </c>
      <c r="J151" s="861">
        <f t="shared" si="56"/>
        <v>0</v>
      </c>
      <c r="K151" s="861">
        <f t="shared" si="56"/>
        <v>0</v>
      </c>
      <c r="L151" s="861">
        <f t="shared" si="56"/>
        <v>23.625</v>
      </c>
      <c r="M151" s="861">
        <f t="shared" si="56"/>
        <v>60.9375</v>
      </c>
      <c r="N151" s="861">
        <f t="shared" si="56"/>
        <v>-13.072916666666664</v>
      </c>
      <c r="O151" s="861">
        <f t="shared" si="56"/>
        <v>36.723958333333329</v>
      </c>
      <c r="P151" s="861">
        <f t="shared" si="56"/>
        <v>45.125</v>
      </c>
      <c r="Q151" s="861">
        <f>SUM(E151:P151)</f>
        <v>-56.036458333333329</v>
      </c>
      <c r="R151" s="155"/>
    </row>
    <row r="152" spans="1:19" ht="11.25" customHeight="1">
      <c r="A152" s="878">
        <f>A148+1</f>
        <v>57</v>
      </c>
      <c r="B152" s="887" t="s">
        <v>146</v>
      </c>
      <c r="D152" s="861">
        <v>90139</v>
      </c>
      <c r="E152" s="861">
        <v>90139</v>
      </c>
      <c r="F152" s="861">
        <v>90535</v>
      </c>
      <c r="G152" s="861">
        <v>87789</v>
      </c>
      <c r="H152" s="861">
        <v>89624</v>
      </c>
      <c r="I152" s="861">
        <v>89624</v>
      </c>
      <c r="J152" s="861">
        <v>89952</v>
      </c>
      <c r="K152" s="861">
        <v>90509</v>
      </c>
      <c r="L152" s="861">
        <v>90937</v>
      </c>
      <c r="M152" s="861">
        <v>86740</v>
      </c>
      <c r="N152" s="861">
        <v>93702</v>
      </c>
      <c r="O152" s="861">
        <v>96352</v>
      </c>
      <c r="P152" s="861">
        <v>95474</v>
      </c>
      <c r="R152" s="155">
        <f>ROUND(SUM(D152:P152)/13,0)</f>
        <v>90886</v>
      </c>
    </row>
    <row r="153" spans="1:19" ht="11.25" customHeight="1">
      <c r="A153" s="878"/>
      <c r="B153" s="880" t="s">
        <v>866</v>
      </c>
      <c r="C153" s="880"/>
      <c r="E153" s="861">
        <f t="shared" ref="E153:P153" si="57">+E152-D152</f>
        <v>0</v>
      </c>
      <c r="F153" s="861">
        <f t="shared" si="57"/>
        <v>396</v>
      </c>
      <c r="G153" s="861">
        <f t="shared" si="57"/>
        <v>-2746</v>
      </c>
      <c r="H153" s="861">
        <f t="shared" si="57"/>
        <v>1835</v>
      </c>
      <c r="I153" s="861">
        <f t="shared" si="57"/>
        <v>0</v>
      </c>
      <c r="J153" s="861">
        <f t="shared" si="57"/>
        <v>328</v>
      </c>
      <c r="K153" s="861">
        <f t="shared" si="57"/>
        <v>557</v>
      </c>
      <c r="L153" s="861">
        <f t="shared" si="57"/>
        <v>428</v>
      </c>
      <c r="M153" s="861">
        <f t="shared" si="57"/>
        <v>-4197</v>
      </c>
      <c r="N153" s="861">
        <f t="shared" si="57"/>
        <v>6962</v>
      </c>
      <c r="O153" s="861">
        <f t="shared" si="57"/>
        <v>2650</v>
      </c>
      <c r="P153" s="861">
        <f t="shared" si="57"/>
        <v>-878</v>
      </c>
      <c r="R153" s="155"/>
    </row>
    <row r="154" spans="1:19" ht="11.25" customHeight="1">
      <c r="A154" s="878"/>
      <c r="B154" s="880" t="s">
        <v>865</v>
      </c>
      <c r="C154" s="880"/>
      <c r="E154" s="861">
        <v>1</v>
      </c>
      <c r="F154" s="861">
        <v>2</v>
      </c>
      <c r="G154" s="861">
        <v>3</v>
      </c>
      <c r="H154" s="861">
        <v>4</v>
      </c>
      <c r="I154" s="861">
        <v>5</v>
      </c>
      <c r="J154" s="861">
        <v>6</v>
      </c>
      <c r="K154" s="861">
        <v>7</v>
      </c>
      <c r="L154" s="861">
        <v>8</v>
      </c>
      <c r="M154" s="861">
        <v>9</v>
      </c>
      <c r="N154" s="861">
        <v>10</v>
      </c>
      <c r="O154" s="861">
        <v>11</v>
      </c>
      <c r="P154" s="861">
        <v>12</v>
      </c>
      <c r="R154" s="155"/>
    </row>
    <row r="155" spans="1:19" ht="11.25" customHeight="1">
      <c r="A155" s="878"/>
      <c r="B155" s="881">
        <v>6.6666666666666666E-2</v>
      </c>
      <c r="C155" s="880"/>
      <c r="E155" s="861">
        <f t="shared" ref="E155:P155" si="58">+E153*($B155/12)*E154</f>
        <v>0</v>
      </c>
      <c r="F155" s="861">
        <f t="shared" si="58"/>
        <v>4.4000000000000004</v>
      </c>
      <c r="G155" s="861">
        <f t="shared" si="58"/>
        <v>-45.766666666666666</v>
      </c>
      <c r="H155" s="861">
        <f t="shared" si="58"/>
        <v>40.777777777777779</v>
      </c>
      <c r="I155" s="861">
        <f t="shared" si="58"/>
        <v>0</v>
      </c>
      <c r="J155" s="861">
        <f t="shared" si="58"/>
        <v>10.933333333333334</v>
      </c>
      <c r="K155" s="861">
        <f t="shared" si="58"/>
        <v>21.661111111111111</v>
      </c>
      <c r="L155" s="861">
        <f t="shared" si="58"/>
        <v>19.022222222222222</v>
      </c>
      <c r="M155" s="861">
        <f t="shared" si="58"/>
        <v>-209.85</v>
      </c>
      <c r="N155" s="861">
        <f t="shared" si="58"/>
        <v>386.77777777777777</v>
      </c>
      <c r="O155" s="861">
        <f t="shared" si="58"/>
        <v>161.94444444444446</v>
      </c>
      <c r="P155" s="861">
        <f t="shared" si="58"/>
        <v>-58.533333333333339</v>
      </c>
      <c r="Q155" s="861">
        <f>SUM(E155:P155)</f>
        <v>331.36666666666667</v>
      </c>
      <c r="R155" s="155"/>
    </row>
    <row r="156" spans="1:19" ht="11.25" customHeight="1">
      <c r="A156" s="878">
        <f>A152+1</f>
        <v>58</v>
      </c>
      <c r="B156" s="887" t="s">
        <v>147</v>
      </c>
      <c r="D156" s="861">
        <v>88891</v>
      </c>
      <c r="E156" s="861">
        <v>96017</v>
      </c>
      <c r="F156" s="861">
        <v>97742</v>
      </c>
      <c r="G156" s="861">
        <v>97857</v>
      </c>
      <c r="H156" s="861">
        <v>98812</v>
      </c>
      <c r="I156" s="861">
        <v>98401</v>
      </c>
      <c r="J156" s="861">
        <v>98401</v>
      </c>
      <c r="K156" s="861">
        <v>98428</v>
      </c>
      <c r="L156" s="861">
        <v>105434</v>
      </c>
      <c r="M156" s="861">
        <v>107087</v>
      </c>
      <c r="N156" s="861">
        <v>109243</v>
      </c>
      <c r="O156" s="861">
        <v>109243</v>
      </c>
      <c r="P156" s="861">
        <v>109243</v>
      </c>
      <c r="R156" s="155">
        <f>ROUND(SUM(D156:P156)/13,0)</f>
        <v>101138</v>
      </c>
    </row>
    <row r="157" spans="1:19" ht="11.25" customHeight="1">
      <c r="A157" s="878"/>
      <c r="B157" s="880" t="s">
        <v>866</v>
      </c>
      <c r="C157" s="880"/>
      <c r="E157" s="861">
        <f t="shared" ref="E157:P157" si="59">+E156-D156</f>
        <v>7126</v>
      </c>
      <c r="F157" s="861">
        <f t="shared" si="59"/>
        <v>1725</v>
      </c>
      <c r="G157" s="861">
        <f t="shared" si="59"/>
        <v>115</v>
      </c>
      <c r="H157" s="861">
        <f t="shared" si="59"/>
        <v>955</v>
      </c>
      <c r="I157" s="861">
        <f t="shared" si="59"/>
        <v>-411</v>
      </c>
      <c r="J157" s="861">
        <f t="shared" si="59"/>
        <v>0</v>
      </c>
      <c r="K157" s="861">
        <f t="shared" si="59"/>
        <v>27</v>
      </c>
      <c r="L157" s="861">
        <f t="shared" si="59"/>
        <v>7006</v>
      </c>
      <c r="M157" s="861">
        <f t="shared" si="59"/>
        <v>1653</v>
      </c>
      <c r="N157" s="861">
        <f t="shared" si="59"/>
        <v>2156</v>
      </c>
      <c r="O157" s="861">
        <f t="shared" si="59"/>
        <v>0</v>
      </c>
      <c r="P157" s="861">
        <f t="shared" si="59"/>
        <v>0</v>
      </c>
      <c r="R157" s="155"/>
    </row>
    <row r="158" spans="1:19" ht="11.25" customHeight="1">
      <c r="A158" s="878"/>
      <c r="B158" s="880" t="s">
        <v>865</v>
      </c>
      <c r="C158" s="880"/>
      <c r="E158" s="861">
        <v>1</v>
      </c>
      <c r="F158" s="861">
        <v>2</v>
      </c>
      <c r="G158" s="861">
        <v>3</v>
      </c>
      <c r="H158" s="861">
        <v>4</v>
      </c>
      <c r="I158" s="861">
        <v>5</v>
      </c>
      <c r="J158" s="861">
        <v>6</v>
      </c>
      <c r="K158" s="861">
        <v>7</v>
      </c>
      <c r="L158" s="861">
        <v>8</v>
      </c>
      <c r="M158" s="861">
        <v>9</v>
      </c>
      <c r="N158" s="861">
        <v>10</v>
      </c>
      <c r="O158" s="861">
        <v>11</v>
      </c>
      <c r="P158" s="861">
        <v>12</v>
      </c>
      <c r="R158" s="155"/>
    </row>
    <row r="159" spans="1:19" ht="11.25" customHeight="1">
      <c r="A159" s="878"/>
      <c r="B159" s="881">
        <v>8.3333333333333329E-2</v>
      </c>
      <c r="C159" s="880"/>
      <c r="E159" s="861">
        <f t="shared" ref="E159:P159" si="60">+E157*($B159/12)*E158</f>
        <v>49.486111111111107</v>
      </c>
      <c r="F159" s="861">
        <f t="shared" si="60"/>
        <v>23.958333333333332</v>
      </c>
      <c r="G159" s="861">
        <f t="shared" si="60"/>
        <v>2.395833333333333</v>
      </c>
      <c r="H159" s="861">
        <f t="shared" si="60"/>
        <v>26.527777777777775</v>
      </c>
      <c r="I159" s="861">
        <f t="shared" si="60"/>
        <v>-14.270833333333332</v>
      </c>
      <c r="J159" s="861">
        <f t="shared" si="60"/>
        <v>0</v>
      </c>
      <c r="K159" s="861">
        <f t="shared" si="60"/>
        <v>1.3125</v>
      </c>
      <c r="L159" s="861">
        <f t="shared" si="60"/>
        <v>389.22222222222223</v>
      </c>
      <c r="M159" s="861">
        <f t="shared" si="60"/>
        <v>103.3125</v>
      </c>
      <c r="N159" s="861">
        <f t="shared" si="60"/>
        <v>149.72222222222223</v>
      </c>
      <c r="O159" s="861">
        <f t="shared" si="60"/>
        <v>0</v>
      </c>
      <c r="P159" s="861">
        <f t="shared" si="60"/>
        <v>0</v>
      </c>
      <c r="Q159" s="861">
        <f>SUM(E159:P159)</f>
        <v>731.66666666666674</v>
      </c>
      <c r="R159" s="155"/>
    </row>
    <row r="160" spans="1:19" ht="11.25" customHeight="1">
      <c r="A160" s="878">
        <f>A156+1</f>
        <v>59</v>
      </c>
      <c r="B160" s="887" t="s">
        <v>148</v>
      </c>
      <c r="D160" s="861">
        <v>116583</v>
      </c>
      <c r="E160" s="861">
        <v>116583</v>
      </c>
      <c r="F160" s="861">
        <v>116583</v>
      </c>
      <c r="G160" s="861">
        <v>111536</v>
      </c>
      <c r="H160" s="861">
        <v>111536</v>
      </c>
      <c r="I160" s="861">
        <v>111536</v>
      </c>
      <c r="J160" s="861">
        <v>111536</v>
      </c>
      <c r="K160" s="861">
        <v>111536</v>
      </c>
      <c r="L160" s="861">
        <v>111536</v>
      </c>
      <c r="M160" s="861">
        <v>111536</v>
      </c>
      <c r="N160" s="861">
        <v>168355</v>
      </c>
      <c r="O160" s="861">
        <v>168355</v>
      </c>
      <c r="P160" s="861">
        <v>168355</v>
      </c>
      <c r="R160" s="155">
        <f>ROUND(SUM(D160:P160)/13,0)</f>
        <v>125813</v>
      </c>
    </row>
    <row r="161" spans="1:250" ht="11.25" customHeight="1">
      <c r="A161" s="878"/>
      <c r="B161" s="880" t="s">
        <v>866</v>
      </c>
      <c r="C161" s="880"/>
      <c r="E161" s="861">
        <f t="shared" ref="E161:P161" si="61">+E160-D160</f>
        <v>0</v>
      </c>
      <c r="F161" s="861">
        <f t="shared" si="61"/>
        <v>0</v>
      </c>
      <c r="G161" s="861">
        <f t="shared" si="61"/>
        <v>-5047</v>
      </c>
      <c r="H161" s="861">
        <f t="shared" si="61"/>
        <v>0</v>
      </c>
      <c r="I161" s="861">
        <f t="shared" si="61"/>
        <v>0</v>
      </c>
      <c r="J161" s="861">
        <f t="shared" si="61"/>
        <v>0</v>
      </c>
      <c r="K161" s="861">
        <f t="shared" si="61"/>
        <v>0</v>
      </c>
      <c r="L161" s="861">
        <f t="shared" si="61"/>
        <v>0</v>
      </c>
      <c r="M161" s="861">
        <f t="shared" si="61"/>
        <v>0</v>
      </c>
      <c r="N161" s="861">
        <f t="shared" si="61"/>
        <v>56819</v>
      </c>
      <c r="O161" s="861">
        <f t="shared" si="61"/>
        <v>0</v>
      </c>
      <c r="P161" s="861">
        <f t="shared" si="61"/>
        <v>0</v>
      </c>
      <c r="R161" s="155"/>
    </row>
    <row r="162" spans="1:250" ht="11.25" customHeight="1">
      <c r="A162" s="878"/>
      <c r="B162" s="880" t="s">
        <v>865</v>
      </c>
      <c r="C162" s="880"/>
      <c r="E162" s="861">
        <v>1</v>
      </c>
      <c r="F162" s="861">
        <v>2</v>
      </c>
      <c r="G162" s="861">
        <v>3</v>
      </c>
      <c r="H162" s="861">
        <v>4</v>
      </c>
      <c r="I162" s="861">
        <v>5</v>
      </c>
      <c r="J162" s="861">
        <v>6</v>
      </c>
      <c r="K162" s="861">
        <v>7</v>
      </c>
      <c r="L162" s="861">
        <v>8</v>
      </c>
      <c r="M162" s="861">
        <v>9</v>
      </c>
      <c r="N162" s="861">
        <v>10</v>
      </c>
      <c r="O162" s="861">
        <v>11</v>
      </c>
      <c r="P162" s="861">
        <v>12</v>
      </c>
      <c r="R162" s="155"/>
    </row>
    <row r="163" spans="1:250" ht="11.25" customHeight="1">
      <c r="A163" s="878"/>
      <c r="B163" s="881">
        <v>0.1</v>
      </c>
      <c r="C163" s="880"/>
      <c r="E163" s="861">
        <f t="shared" ref="E163:P163" si="62">+E161*($B163/12)*E162</f>
        <v>0</v>
      </c>
      <c r="F163" s="861">
        <f t="shared" si="62"/>
        <v>0</v>
      </c>
      <c r="G163" s="861">
        <f t="shared" si="62"/>
        <v>-126.17499999999998</v>
      </c>
      <c r="H163" s="861">
        <f t="shared" si="62"/>
        <v>0</v>
      </c>
      <c r="I163" s="861">
        <f t="shared" si="62"/>
        <v>0</v>
      </c>
      <c r="J163" s="861">
        <f t="shared" si="62"/>
        <v>0</v>
      </c>
      <c r="K163" s="861">
        <f t="shared" si="62"/>
        <v>0</v>
      </c>
      <c r="L163" s="861">
        <f t="shared" si="62"/>
        <v>0</v>
      </c>
      <c r="M163" s="861">
        <f t="shared" si="62"/>
        <v>0</v>
      </c>
      <c r="N163" s="861">
        <f t="shared" si="62"/>
        <v>4734.916666666667</v>
      </c>
      <c r="O163" s="861">
        <f t="shared" si="62"/>
        <v>0</v>
      </c>
      <c r="P163" s="861">
        <f t="shared" si="62"/>
        <v>0</v>
      </c>
      <c r="Q163" s="861">
        <f>SUM(E163:P163)</f>
        <v>4608.7416666666668</v>
      </c>
      <c r="R163" s="155"/>
    </row>
    <row r="164" spans="1:250" ht="11.25" customHeight="1">
      <c r="A164" s="878">
        <f>A160+1</f>
        <v>60</v>
      </c>
      <c r="B164" s="887" t="s">
        <v>149</v>
      </c>
      <c r="D164" s="861">
        <v>111407</v>
      </c>
      <c r="E164" s="861">
        <v>111407</v>
      </c>
      <c r="F164" s="861">
        <v>111407</v>
      </c>
      <c r="G164" s="861">
        <v>96476</v>
      </c>
      <c r="H164" s="861">
        <v>96476</v>
      </c>
      <c r="I164" s="861">
        <v>96676</v>
      </c>
      <c r="J164" s="861">
        <v>96676</v>
      </c>
      <c r="K164" s="861">
        <v>96676</v>
      </c>
      <c r="L164" s="861">
        <v>96676</v>
      </c>
      <c r="M164" s="861">
        <v>96676</v>
      </c>
      <c r="N164" s="861">
        <v>96676</v>
      </c>
      <c r="O164" s="861">
        <v>96676</v>
      </c>
      <c r="P164" s="861">
        <v>96676</v>
      </c>
      <c r="R164" s="155">
        <f>ROUND(SUM(D164:P164)/13,0)</f>
        <v>100045</v>
      </c>
    </row>
    <row r="165" spans="1:250" ht="11.25" customHeight="1">
      <c r="A165" s="878"/>
      <c r="B165" s="880" t="s">
        <v>866</v>
      </c>
      <c r="C165" s="880"/>
      <c r="E165" s="861">
        <f t="shared" ref="E165:P165" si="63">+E164-D164</f>
        <v>0</v>
      </c>
      <c r="F165" s="861">
        <f t="shared" si="63"/>
        <v>0</v>
      </c>
      <c r="G165" s="861">
        <f t="shared" si="63"/>
        <v>-14931</v>
      </c>
      <c r="H165" s="861">
        <f t="shared" si="63"/>
        <v>0</v>
      </c>
      <c r="I165" s="861">
        <f t="shared" si="63"/>
        <v>200</v>
      </c>
      <c r="J165" s="861">
        <f t="shared" si="63"/>
        <v>0</v>
      </c>
      <c r="K165" s="861">
        <f t="shared" si="63"/>
        <v>0</v>
      </c>
      <c r="L165" s="861">
        <f t="shared" si="63"/>
        <v>0</v>
      </c>
      <c r="M165" s="861">
        <f t="shared" si="63"/>
        <v>0</v>
      </c>
      <c r="N165" s="861">
        <f t="shared" si="63"/>
        <v>0</v>
      </c>
      <c r="O165" s="861">
        <f t="shared" si="63"/>
        <v>0</v>
      </c>
      <c r="P165" s="861">
        <f t="shared" si="63"/>
        <v>0</v>
      </c>
      <c r="R165" s="155"/>
    </row>
    <row r="166" spans="1:250" ht="11.25" customHeight="1">
      <c r="A166" s="878"/>
      <c r="B166" s="880" t="s">
        <v>865</v>
      </c>
      <c r="C166" s="880"/>
      <c r="E166" s="861">
        <v>1</v>
      </c>
      <c r="F166" s="861">
        <v>2</v>
      </c>
      <c r="G166" s="861">
        <v>3</v>
      </c>
      <c r="H166" s="861">
        <v>4</v>
      </c>
      <c r="I166" s="861">
        <v>5</v>
      </c>
      <c r="J166" s="861">
        <v>6</v>
      </c>
      <c r="K166" s="861">
        <v>7</v>
      </c>
      <c r="L166" s="861">
        <v>8</v>
      </c>
      <c r="M166" s="861">
        <v>9</v>
      </c>
      <c r="N166" s="861">
        <v>10</v>
      </c>
      <c r="O166" s="861">
        <v>11</v>
      </c>
      <c r="P166" s="861">
        <v>12</v>
      </c>
      <c r="R166" s="155"/>
    </row>
    <row r="167" spans="1:250" ht="11.25" customHeight="1">
      <c r="A167" s="878"/>
      <c r="B167" s="881">
        <v>6.6666666666666666E-2</v>
      </c>
      <c r="C167" s="880"/>
      <c r="E167" s="861">
        <f t="shared" ref="E167:P167" si="64">+E165*($B167/12)*E166</f>
        <v>0</v>
      </c>
      <c r="F167" s="861">
        <f t="shared" si="64"/>
        <v>0</v>
      </c>
      <c r="G167" s="861">
        <f t="shared" si="64"/>
        <v>-248.85000000000002</v>
      </c>
      <c r="H167" s="861">
        <f t="shared" si="64"/>
        <v>0</v>
      </c>
      <c r="I167" s="861">
        <f t="shared" si="64"/>
        <v>5.5555555555555554</v>
      </c>
      <c r="J167" s="861">
        <f t="shared" si="64"/>
        <v>0</v>
      </c>
      <c r="K167" s="861">
        <f t="shared" si="64"/>
        <v>0</v>
      </c>
      <c r="L167" s="861">
        <f t="shared" si="64"/>
        <v>0</v>
      </c>
      <c r="M167" s="861">
        <f t="shared" si="64"/>
        <v>0</v>
      </c>
      <c r="N167" s="861">
        <f t="shared" si="64"/>
        <v>0</v>
      </c>
      <c r="O167" s="861">
        <f t="shared" si="64"/>
        <v>0</v>
      </c>
      <c r="P167" s="861">
        <f t="shared" si="64"/>
        <v>0</v>
      </c>
      <c r="Q167" s="861">
        <f>SUM(E167:P167)</f>
        <v>-243.29444444444448</v>
      </c>
      <c r="R167" s="155"/>
    </row>
    <row r="168" spans="1:250" ht="11.25" customHeight="1">
      <c r="A168" s="878">
        <f>A164+1</f>
        <v>61</v>
      </c>
      <c r="B168" s="888" t="s">
        <v>197</v>
      </c>
      <c r="D168" s="861">
        <v>2553689</v>
      </c>
      <c r="E168" s="861">
        <v>2553689</v>
      </c>
      <c r="F168" s="861">
        <v>2553689</v>
      </c>
      <c r="G168" s="861">
        <v>2552578</v>
      </c>
      <c r="H168" s="861">
        <v>2564357</v>
      </c>
      <c r="I168" s="861">
        <v>2564357</v>
      </c>
      <c r="J168" s="861">
        <v>2564357</v>
      </c>
      <c r="K168" s="861">
        <v>2564357</v>
      </c>
      <c r="L168" s="861">
        <v>2564357</v>
      </c>
      <c r="M168" s="861">
        <v>2564357</v>
      </c>
      <c r="N168" s="861">
        <v>2564357</v>
      </c>
      <c r="O168" s="861">
        <v>2564357</v>
      </c>
      <c r="P168" s="861">
        <v>2564357</v>
      </c>
      <c r="R168" s="155">
        <f>ROUND(SUM(D168:P168)/13,0)</f>
        <v>2560989</v>
      </c>
    </row>
    <row r="169" spans="1:250" ht="11.25" customHeight="1">
      <c r="A169" s="878"/>
      <c r="B169" s="880" t="s">
        <v>866</v>
      </c>
      <c r="C169" s="880"/>
      <c r="E169" s="861">
        <f t="shared" ref="E169:P169" si="65">+E168-D168</f>
        <v>0</v>
      </c>
      <c r="F169" s="861">
        <f t="shared" si="65"/>
        <v>0</v>
      </c>
      <c r="G169" s="861">
        <f t="shared" si="65"/>
        <v>-1111</v>
      </c>
      <c r="H169" s="861">
        <f t="shared" si="65"/>
        <v>11779</v>
      </c>
      <c r="I169" s="861">
        <f t="shared" si="65"/>
        <v>0</v>
      </c>
      <c r="J169" s="861">
        <f t="shared" si="65"/>
        <v>0</v>
      </c>
      <c r="K169" s="861">
        <f t="shared" si="65"/>
        <v>0</v>
      </c>
      <c r="L169" s="861">
        <f t="shared" si="65"/>
        <v>0</v>
      </c>
      <c r="M169" s="861">
        <f t="shared" si="65"/>
        <v>0</v>
      </c>
      <c r="N169" s="861">
        <f t="shared" si="65"/>
        <v>0</v>
      </c>
      <c r="O169" s="861">
        <f t="shared" si="65"/>
        <v>0</v>
      </c>
      <c r="P169" s="861">
        <f t="shared" si="65"/>
        <v>0</v>
      </c>
      <c r="R169" s="155"/>
    </row>
    <row r="170" spans="1:250" ht="11.25" customHeight="1">
      <c r="A170" s="878"/>
      <c r="B170" s="880" t="s">
        <v>865</v>
      </c>
      <c r="C170" s="880"/>
      <c r="E170" s="861">
        <v>1</v>
      </c>
      <c r="F170" s="861">
        <v>2</v>
      </c>
      <c r="G170" s="861">
        <v>3</v>
      </c>
      <c r="H170" s="861">
        <v>4</v>
      </c>
      <c r="I170" s="861">
        <v>5</v>
      </c>
      <c r="J170" s="861">
        <v>6</v>
      </c>
      <c r="K170" s="861">
        <v>7</v>
      </c>
      <c r="L170" s="861">
        <v>8</v>
      </c>
      <c r="M170" s="861">
        <v>9</v>
      </c>
      <c r="N170" s="861">
        <v>10</v>
      </c>
      <c r="O170" s="861">
        <v>11</v>
      </c>
      <c r="P170" s="861">
        <v>12</v>
      </c>
      <c r="R170" s="155"/>
    </row>
    <row r="171" spans="1:250" ht="11.25" customHeight="1">
      <c r="A171" s="878"/>
      <c r="B171" s="881">
        <v>0.1</v>
      </c>
      <c r="C171" s="880"/>
      <c r="E171" s="861">
        <f t="shared" ref="E171:P171" si="66">+E169*($B171/12)*E170</f>
        <v>0</v>
      </c>
      <c r="F171" s="861">
        <f t="shared" si="66"/>
        <v>0</v>
      </c>
      <c r="G171" s="861">
        <f t="shared" si="66"/>
        <v>-27.774999999999999</v>
      </c>
      <c r="H171" s="861">
        <f t="shared" si="66"/>
        <v>392.63333333333333</v>
      </c>
      <c r="I171" s="861">
        <f t="shared" si="66"/>
        <v>0</v>
      </c>
      <c r="J171" s="861">
        <f t="shared" si="66"/>
        <v>0</v>
      </c>
      <c r="K171" s="861">
        <f t="shared" si="66"/>
        <v>0</v>
      </c>
      <c r="L171" s="861">
        <f t="shared" si="66"/>
        <v>0</v>
      </c>
      <c r="M171" s="861">
        <f t="shared" si="66"/>
        <v>0</v>
      </c>
      <c r="N171" s="861">
        <f t="shared" si="66"/>
        <v>0</v>
      </c>
      <c r="O171" s="861">
        <f t="shared" si="66"/>
        <v>0</v>
      </c>
      <c r="P171" s="861">
        <f t="shared" si="66"/>
        <v>0</v>
      </c>
      <c r="Q171" s="861">
        <f>SUM(E171:P171)</f>
        <v>364.85833333333335</v>
      </c>
      <c r="R171" s="155"/>
    </row>
    <row r="172" spans="1:250" ht="11.25" customHeight="1">
      <c r="A172" s="878">
        <f>A168+1</f>
        <v>62</v>
      </c>
      <c r="B172" s="888"/>
      <c r="E172" s="889"/>
      <c r="F172" s="889"/>
      <c r="G172" s="889"/>
      <c r="H172" s="889"/>
      <c r="I172" s="889"/>
      <c r="J172" s="889"/>
      <c r="K172" s="889"/>
      <c r="L172" s="889"/>
      <c r="M172" s="889"/>
      <c r="N172" s="889"/>
      <c r="O172" s="889"/>
      <c r="P172" s="889"/>
      <c r="Q172" s="889"/>
      <c r="R172" s="155"/>
    </row>
    <row r="173" spans="1:250" ht="12.75" thickBot="1">
      <c r="A173" s="878">
        <f>A172+1</f>
        <v>63</v>
      </c>
      <c r="B173" s="860" t="s">
        <v>438</v>
      </c>
      <c r="D173" s="162">
        <f t="shared" ref="D173:P173" si="67">SUM(D13:D168)</f>
        <v>130814453</v>
      </c>
      <c r="E173" s="162">
        <f t="shared" si="67"/>
        <v>131004896.72223598</v>
      </c>
      <c r="F173" s="162">
        <f t="shared" si="67"/>
        <v>131197354.18110959</v>
      </c>
      <c r="G173" s="162">
        <f t="shared" si="67"/>
        <v>128031082.13865241</v>
      </c>
      <c r="H173" s="162">
        <f t="shared" si="67"/>
        <v>131340939.39264391</v>
      </c>
      <c r="I173" s="162">
        <f t="shared" si="67"/>
        <v>132736054.58516529</v>
      </c>
      <c r="J173" s="162">
        <f t="shared" si="67"/>
        <v>131983840.27947095</v>
      </c>
      <c r="K173" s="162">
        <f t="shared" si="67"/>
        <v>132606772.21446756</v>
      </c>
      <c r="L173" s="162">
        <f t="shared" si="67"/>
        <v>132482627.72368695</v>
      </c>
      <c r="M173" s="162">
        <f t="shared" si="67"/>
        <v>133514336.71987943</v>
      </c>
      <c r="N173" s="162">
        <f t="shared" si="67"/>
        <v>133517781.7784881</v>
      </c>
      <c r="O173" s="162">
        <f t="shared" si="67"/>
        <v>133944931.82289302</v>
      </c>
      <c r="P173" s="162">
        <f t="shared" si="67"/>
        <v>135058023.53934664</v>
      </c>
      <c r="Q173" s="162">
        <f>SUM(Q13:Q171)</f>
        <v>98595.956373256238</v>
      </c>
      <c r="R173" s="162">
        <f>SUM(R12:R168)</f>
        <v>131879115</v>
      </c>
    </row>
    <row r="174" spans="1:250" s="897" customFormat="1" ht="12.75" thickTop="1">
      <c r="A174" s="890">
        <f>A173+1</f>
        <v>64</v>
      </c>
      <c r="B174" s="891" t="s">
        <v>654</v>
      </c>
      <c r="C174" s="156"/>
      <c r="D174" s="156"/>
      <c r="E174" s="156"/>
      <c r="F174" s="156"/>
      <c r="G174" s="156"/>
      <c r="H174" s="156"/>
      <c r="I174" s="156"/>
      <c r="J174" s="156"/>
      <c r="K174" s="156"/>
      <c r="L174" s="156"/>
      <c r="M174" s="156"/>
      <c r="N174" s="156"/>
      <c r="O174" s="156"/>
      <c r="P174" s="156"/>
      <c r="Q174" s="156"/>
      <c r="R174" s="892"/>
      <c r="S174" s="892"/>
      <c r="T174" s="893"/>
      <c r="U174" s="893"/>
      <c r="V174" s="894"/>
      <c r="W174" s="893"/>
      <c r="X174" s="895"/>
      <c r="Y174" s="896"/>
      <c r="AA174" s="893"/>
      <c r="AB174" s="893"/>
      <c r="AC174" s="893"/>
      <c r="AD174" s="893"/>
      <c r="AE174" s="894"/>
      <c r="AF174" s="893"/>
      <c r="AG174" s="895"/>
      <c r="AH174" s="896"/>
      <c r="AJ174" s="893"/>
      <c r="AK174" s="893"/>
      <c r="AL174" s="893"/>
      <c r="AM174" s="893"/>
      <c r="AN174" s="894"/>
      <c r="AO174" s="893"/>
      <c r="AP174" s="895"/>
      <c r="AQ174" s="896"/>
      <c r="AS174" s="893"/>
      <c r="AT174" s="893"/>
      <c r="AU174" s="893"/>
      <c r="AV174" s="893"/>
      <c r="AW174" s="894"/>
      <c r="AX174" s="893"/>
      <c r="AY174" s="895"/>
      <c r="AZ174" s="896"/>
      <c r="BB174" s="893"/>
      <c r="BC174" s="893"/>
      <c r="BD174" s="893"/>
      <c r="BE174" s="893"/>
      <c r="BF174" s="894"/>
      <c r="BG174" s="893"/>
      <c r="BH174" s="895"/>
      <c r="BI174" s="896"/>
      <c r="BK174" s="893"/>
      <c r="BL174" s="893"/>
      <c r="BM174" s="893"/>
      <c r="BN174" s="893"/>
      <c r="BO174" s="894"/>
      <c r="BP174" s="893"/>
      <c r="BQ174" s="895"/>
      <c r="BR174" s="896"/>
      <c r="BT174" s="893"/>
      <c r="BU174" s="893"/>
      <c r="BV174" s="893"/>
      <c r="BW174" s="893"/>
      <c r="BX174" s="894"/>
      <c r="BY174" s="893"/>
      <c r="BZ174" s="895"/>
      <c r="CA174" s="896"/>
      <c r="CC174" s="893"/>
      <c r="CD174" s="893"/>
      <c r="CE174" s="893"/>
      <c r="CF174" s="893"/>
      <c r="CG174" s="894"/>
      <c r="CH174" s="893"/>
      <c r="CI174" s="895"/>
      <c r="CJ174" s="896"/>
      <c r="CL174" s="893"/>
      <c r="CM174" s="893"/>
      <c r="CN174" s="893"/>
      <c r="CO174" s="893"/>
      <c r="CP174" s="894"/>
      <c r="CQ174" s="893"/>
      <c r="CR174" s="895"/>
      <c r="CS174" s="896"/>
      <c r="CU174" s="893"/>
      <c r="CV174" s="893"/>
      <c r="CW174" s="893"/>
      <c r="CX174" s="893"/>
      <c r="CY174" s="894"/>
      <c r="CZ174" s="893"/>
      <c r="DA174" s="895"/>
      <c r="DB174" s="896"/>
      <c r="DD174" s="893"/>
      <c r="DE174" s="893"/>
      <c r="DF174" s="893"/>
      <c r="DG174" s="893"/>
      <c r="DH174" s="894"/>
      <c r="DI174" s="893"/>
      <c r="DJ174" s="895"/>
      <c r="DK174" s="896"/>
      <c r="DM174" s="893"/>
      <c r="DN174" s="893"/>
      <c r="DO174" s="893"/>
      <c r="DP174" s="893"/>
      <c r="DQ174" s="894"/>
      <c r="DR174" s="893"/>
      <c r="DS174" s="895"/>
      <c r="DT174" s="896"/>
      <c r="DV174" s="893"/>
      <c r="DW174" s="893"/>
      <c r="DX174" s="893"/>
      <c r="DY174" s="893"/>
      <c r="DZ174" s="894"/>
      <c r="EA174" s="893"/>
      <c r="EB174" s="895"/>
      <c r="EC174" s="896"/>
      <c r="EE174" s="893"/>
      <c r="EF174" s="893"/>
      <c r="EG174" s="893"/>
      <c r="EH174" s="893"/>
      <c r="EI174" s="894"/>
      <c r="EJ174" s="893"/>
      <c r="EK174" s="895"/>
      <c r="EL174" s="896"/>
      <c r="EN174" s="893"/>
      <c r="EO174" s="893"/>
      <c r="EP174" s="893"/>
      <c r="EQ174" s="893"/>
      <c r="ER174" s="894"/>
      <c r="ES174" s="893"/>
      <c r="ET174" s="895"/>
      <c r="EU174" s="896"/>
      <c r="EW174" s="893"/>
      <c r="EX174" s="893"/>
      <c r="EY174" s="893"/>
      <c r="EZ174" s="893"/>
      <c r="FA174" s="894"/>
      <c r="FB174" s="893"/>
      <c r="FC174" s="895"/>
      <c r="FD174" s="896"/>
      <c r="FF174" s="893"/>
      <c r="FG174" s="893"/>
      <c r="FH174" s="893"/>
      <c r="FI174" s="893"/>
      <c r="FJ174" s="894"/>
      <c r="FK174" s="893"/>
      <c r="FL174" s="895"/>
      <c r="FM174" s="896"/>
      <c r="FO174" s="893"/>
      <c r="FP174" s="893"/>
      <c r="FQ174" s="893"/>
      <c r="FR174" s="893"/>
      <c r="FS174" s="894"/>
      <c r="FT174" s="893"/>
      <c r="FU174" s="895"/>
      <c r="FV174" s="896"/>
      <c r="FX174" s="893"/>
      <c r="FY174" s="893"/>
      <c r="FZ174" s="893"/>
      <c r="GA174" s="893"/>
      <c r="GB174" s="894"/>
      <c r="GC174" s="893"/>
      <c r="GD174" s="895"/>
      <c r="GE174" s="896"/>
      <c r="GG174" s="893"/>
      <c r="GH174" s="893"/>
      <c r="GI174" s="893"/>
      <c r="GJ174" s="893"/>
      <c r="GK174" s="894"/>
      <c r="GL174" s="893"/>
      <c r="GM174" s="895"/>
      <c r="GN174" s="896"/>
      <c r="GP174" s="893"/>
      <c r="GQ174" s="893"/>
      <c r="GR174" s="893"/>
      <c r="GS174" s="893"/>
      <c r="GT174" s="894"/>
      <c r="GU174" s="893"/>
      <c r="GV174" s="895"/>
      <c r="GW174" s="896"/>
      <c r="GY174" s="893"/>
      <c r="GZ174" s="893"/>
      <c r="HA174" s="893"/>
      <c r="HB174" s="893"/>
      <c r="HC174" s="894"/>
      <c r="HD174" s="893"/>
      <c r="HE174" s="895"/>
      <c r="HF174" s="896"/>
      <c r="HH174" s="893"/>
      <c r="HI174" s="893"/>
      <c r="HJ174" s="893"/>
      <c r="HK174" s="893"/>
      <c r="HL174" s="894"/>
      <c r="HM174" s="893"/>
      <c r="HN174" s="895"/>
      <c r="HO174" s="896"/>
      <c r="HQ174" s="893"/>
      <c r="HR174" s="893"/>
      <c r="HS174" s="893"/>
      <c r="HT174" s="893"/>
      <c r="HU174" s="894"/>
      <c r="HV174" s="893"/>
      <c r="HW174" s="895"/>
      <c r="HX174" s="896"/>
      <c r="HZ174" s="893"/>
      <c r="IA174" s="893"/>
      <c r="IB174" s="893"/>
      <c r="IC174" s="893"/>
      <c r="ID174" s="894"/>
      <c r="IE174" s="893"/>
      <c r="IF174" s="895"/>
      <c r="IG174" s="896"/>
      <c r="II174" s="893"/>
      <c r="IJ174" s="893"/>
      <c r="IK174" s="893"/>
      <c r="IL174" s="893"/>
      <c r="IM174" s="894"/>
      <c r="IN174" s="893"/>
      <c r="IO174" s="895"/>
      <c r="IP174" s="896"/>
    </row>
    <row r="175" spans="1:250" s="897" customFormat="1">
      <c r="A175" s="890">
        <f>A174+1</f>
        <v>65</v>
      </c>
      <c r="B175" s="898" t="s">
        <v>142</v>
      </c>
      <c r="C175" s="899"/>
      <c r="D175" s="861">
        <v>3903409.8104000003</v>
      </c>
      <c r="E175" s="861">
        <v>3930175.1376</v>
      </c>
      <c r="F175" s="861">
        <v>4110718.8514</v>
      </c>
      <c r="G175" s="861">
        <v>4160876.1314000003</v>
      </c>
      <c r="H175" s="861">
        <v>4164259.8334000004</v>
      </c>
      <c r="I175" s="861">
        <v>4193632.9512</v>
      </c>
      <c r="J175" s="861">
        <v>4460148.0616000006</v>
      </c>
      <c r="K175" s="861">
        <v>4478967.0921999998</v>
      </c>
      <c r="L175" s="861">
        <v>4502407.4844000004</v>
      </c>
      <c r="M175" s="861">
        <v>4526746.6874000002</v>
      </c>
      <c r="N175" s="861">
        <v>4544886.5846000006</v>
      </c>
      <c r="O175" s="861">
        <v>4569090.3437999999</v>
      </c>
      <c r="P175" s="861">
        <v>4603822.8244000003</v>
      </c>
      <c r="Q175" s="861"/>
      <c r="R175" s="155">
        <f>ROUND(SUM(D175:P175)/13,0)</f>
        <v>4319165</v>
      </c>
      <c r="S175" s="900"/>
    </row>
    <row r="176" spans="1:250" ht="11.25" customHeight="1">
      <c r="A176" s="878"/>
      <c r="B176" s="880" t="s">
        <v>866</v>
      </c>
      <c r="C176" s="880"/>
      <c r="E176" s="861">
        <f t="shared" ref="E176:P176" si="68">+E175-D175</f>
        <v>26765.327199999709</v>
      </c>
      <c r="F176" s="861">
        <f t="shared" si="68"/>
        <v>180543.71380000003</v>
      </c>
      <c r="G176" s="861">
        <f t="shared" si="68"/>
        <v>50157.280000000261</v>
      </c>
      <c r="H176" s="861">
        <f t="shared" si="68"/>
        <v>3383.7020000000484</v>
      </c>
      <c r="I176" s="861">
        <f t="shared" si="68"/>
        <v>29373.117799999658</v>
      </c>
      <c r="J176" s="861">
        <f t="shared" si="68"/>
        <v>266515.11040000059</v>
      </c>
      <c r="K176" s="861">
        <f t="shared" si="68"/>
        <v>18819.030599999242</v>
      </c>
      <c r="L176" s="861">
        <f t="shared" si="68"/>
        <v>23440.392200000584</v>
      </c>
      <c r="M176" s="861">
        <f t="shared" si="68"/>
        <v>24339.202999999747</v>
      </c>
      <c r="N176" s="861">
        <f t="shared" si="68"/>
        <v>18139.897200000472</v>
      </c>
      <c r="O176" s="861">
        <f t="shared" si="68"/>
        <v>24203.759199999273</v>
      </c>
      <c r="P176" s="861">
        <f t="shared" si="68"/>
        <v>34732.480600000359</v>
      </c>
      <c r="R176" s="155"/>
    </row>
    <row r="177" spans="1:19" ht="11.25" customHeight="1">
      <c r="A177" s="878"/>
      <c r="B177" s="880" t="s">
        <v>865</v>
      </c>
      <c r="C177" s="880"/>
      <c r="E177" s="861">
        <v>1</v>
      </c>
      <c r="F177" s="861">
        <v>2</v>
      </c>
      <c r="G177" s="861">
        <v>3</v>
      </c>
      <c r="H177" s="861">
        <v>4</v>
      </c>
      <c r="I177" s="861">
        <v>5</v>
      </c>
      <c r="J177" s="861">
        <v>6</v>
      </c>
      <c r="K177" s="861">
        <v>7</v>
      </c>
      <c r="L177" s="861">
        <v>8</v>
      </c>
      <c r="M177" s="861">
        <v>9</v>
      </c>
      <c r="N177" s="861">
        <v>10</v>
      </c>
      <c r="O177" s="861">
        <v>11</v>
      </c>
      <c r="P177" s="861">
        <v>12</v>
      </c>
      <c r="R177" s="155"/>
    </row>
    <row r="178" spans="1:19" ht="11.25" customHeight="1">
      <c r="A178" s="878"/>
      <c r="B178" s="881">
        <v>6.6666666666666666E-2</v>
      </c>
      <c r="C178" s="880"/>
      <c r="E178" s="861">
        <f t="shared" ref="E178:P178" si="69">+E176*($B178/12)*E177</f>
        <v>148.69626222222061</v>
      </c>
      <c r="F178" s="861">
        <f t="shared" si="69"/>
        <v>2006.0412644444448</v>
      </c>
      <c r="G178" s="861">
        <f t="shared" si="69"/>
        <v>835.95466666667107</v>
      </c>
      <c r="H178" s="861">
        <f t="shared" si="69"/>
        <v>75.193377777778863</v>
      </c>
      <c r="I178" s="861">
        <f t="shared" si="69"/>
        <v>815.91993888887941</v>
      </c>
      <c r="J178" s="861">
        <f t="shared" si="69"/>
        <v>8883.8370133333519</v>
      </c>
      <c r="K178" s="861">
        <f t="shared" si="69"/>
        <v>731.85118999997053</v>
      </c>
      <c r="L178" s="861">
        <f t="shared" si="69"/>
        <v>1041.7952088889149</v>
      </c>
      <c r="M178" s="861">
        <f t="shared" si="69"/>
        <v>1216.9601499999872</v>
      </c>
      <c r="N178" s="861">
        <f t="shared" si="69"/>
        <v>1007.772066666693</v>
      </c>
      <c r="O178" s="861">
        <f t="shared" si="69"/>
        <v>1479.1186177777333</v>
      </c>
      <c r="P178" s="861">
        <f t="shared" si="69"/>
        <v>2315.4987066666909</v>
      </c>
      <c r="Q178" s="861">
        <f>SUM(E178:P178)</f>
        <v>20558.638463333336</v>
      </c>
      <c r="R178" s="155"/>
    </row>
    <row r="179" spans="1:19" s="897" customFormat="1">
      <c r="A179" s="890">
        <f>A175+1</f>
        <v>66</v>
      </c>
      <c r="B179" s="898" t="s">
        <v>143</v>
      </c>
      <c r="C179" s="899"/>
      <c r="D179" s="861">
        <v>1732420.1798</v>
      </c>
      <c r="E179" s="861">
        <v>1832524.9408</v>
      </c>
      <c r="F179" s="861">
        <v>1807977.0682000001</v>
      </c>
      <c r="G179" s="861">
        <v>1837280.7890000001</v>
      </c>
      <c r="H179" s="861">
        <v>1856401.3376000002</v>
      </c>
      <c r="I179" s="861">
        <v>1817707.9634</v>
      </c>
      <c r="J179" s="861">
        <v>1817669.1968</v>
      </c>
      <c r="K179" s="861">
        <v>1809947.9430000002</v>
      </c>
      <c r="L179" s="861">
        <v>1899733.3030000001</v>
      </c>
      <c r="M179" s="861">
        <v>1892152.2790000001</v>
      </c>
      <c r="N179" s="861">
        <v>1860706.8232</v>
      </c>
      <c r="O179" s="861">
        <v>1860587.6518000001</v>
      </c>
      <c r="P179" s="861">
        <v>1865847.9444000002</v>
      </c>
      <c r="Q179" s="861"/>
      <c r="R179" s="155">
        <f>ROUND(SUM(D179:P179)/13,0)</f>
        <v>1837766</v>
      </c>
      <c r="S179" s="900"/>
    </row>
    <row r="180" spans="1:19" ht="11.25" customHeight="1">
      <c r="A180" s="878"/>
      <c r="B180" s="880" t="s">
        <v>866</v>
      </c>
      <c r="C180" s="880"/>
      <c r="E180" s="861">
        <f t="shared" ref="E180:P180" si="70">+E179-D179</f>
        <v>100104.76099999994</v>
      </c>
      <c r="F180" s="861">
        <f t="shared" si="70"/>
        <v>-24547.872599999886</v>
      </c>
      <c r="G180" s="861">
        <f t="shared" si="70"/>
        <v>29303.72080000001</v>
      </c>
      <c r="H180" s="861">
        <f t="shared" si="70"/>
        <v>19120.548600000096</v>
      </c>
      <c r="I180" s="861">
        <f t="shared" si="70"/>
        <v>-38693.374200000195</v>
      </c>
      <c r="J180" s="861">
        <f t="shared" si="70"/>
        <v>-38.76659999997355</v>
      </c>
      <c r="K180" s="861">
        <f t="shared" si="70"/>
        <v>-7721.2537999998312</v>
      </c>
      <c r="L180" s="861">
        <f t="shared" si="70"/>
        <v>89785.35999999987</v>
      </c>
      <c r="M180" s="861">
        <f t="shared" si="70"/>
        <v>-7581.0239999999758</v>
      </c>
      <c r="N180" s="861">
        <f t="shared" si="70"/>
        <v>-31445.455800000113</v>
      </c>
      <c r="O180" s="861">
        <f t="shared" si="70"/>
        <v>-119.17139999987558</v>
      </c>
      <c r="P180" s="861">
        <f t="shared" si="70"/>
        <v>5260.2926000000443</v>
      </c>
      <c r="R180" s="155"/>
    </row>
    <row r="181" spans="1:19" ht="11.25" customHeight="1">
      <c r="A181" s="878"/>
      <c r="B181" s="880" t="s">
        <v>865</v>
      </c>
      <c r="C181" s="880"/>
      <c r="E181" s="861">
        <v>1</v>
      </c>
      <c r="F181" s="861">
        <v>2</v>
      </c>
      <c r="G181" s="861">
        <v>3</v>
      </c>
      <c r="H181" s="861">
        <v>4</v>
      </c>
      <c r="I181" s="861">
        <v>5</v>
      </c>
      <c r="J181" s="861">
        <v>6</v>
      </c>
      <c r="K181" s="861">
        <v>7</v>
      </c>
      <c r="L181" s="861">
        <v>8</v>
      </c>
      <c r="M181" s="861">
        <v>9</v>
      </c>
      <c r="N181" s="861">
        <v>10</v>
      </c>
      <c r="O181" s="861">
        <v>11</v>
      </c>
      <c r="P181" s="861">
        <v>12</v>
      </c>
      <c r="R181" s="155"/>
    </row>
    <row r="182" spans="1:19" ht="11.25" customHeight="1">
      <c r="A182" s="878"/>
      <c r="B182" s="881">
        <v>0.16666666666666666</v>
      </c>
      <c r="C182" s="880"/>
      <c r="E182" s="861">
        <f t="shared" ref="E182:P182" si="71">+E180*($B182/12)*E181</f>
        <v>1390.343902777777</v>
      </c>
      <c r="F182" s="861">
        <f t="shared" si="71"/>
        <v>-681.88534999999683</v>
      </c>
      <c r="G182" s="861">
        <f t="shared" si="71"/>
        <v>1220.9883666666669</v>
      </c>
      <c r="H182" s="861">
        <f t="shared" si="71"/>
        <v>1062.2527000000052</v>
      </c>
      <c r="I182" s="861">
        <f t="shared" si="71"/>
        <v>-2687.0398750000136</v>
      </c>
      <c r="J182" s="861">
        <f t="shared" si="71"/>
        <v>-3.230549999997796</v>
      </c>
      <c r="K182" s="861">
        <f t="shared" si="71"/>
        <v>-750.67745277776135</v>
      </c>
      <c r="L182" s="861">
        <f t="shared" si="71"/>
        <v>9976.1511111110958</v>
      </c>
      <c r="M182" s="861">
        <f t="shared" si="71"/>
        <v>-947.62799999999697</v>
      </c>
      <c r="N182" s="861">
        <f t="shared" si="71"/>
        <v>-4367.4244166666822</v>
      </c>
      <c r="O182" s="861">
        <f t="shared" si="71"/>
        <v>-18.206741666647655</v>
      </c>
      <c r="P182" s="861">
        <f t="shared" si="71"/>
        <v>876.7154333333408</v>
      </c>
      <c r="Q182" s="861">
        <f>SUM(E182:P182)</f>
        <v>5070.3591277777896</v>
      </c>
      <c r="R182" s="155"/>
    </row>
    <row r="183" spans="1:19" s="897" customFormat="1">
      <c r="A183" s="890">
        <f>A179+1</f>
        <v>67</v>
      </c>
      <c r="B183" s="901" t="s">
        <v>149</v>
      </c>
      <c r="C183" s="899"/>
      <c r="D183" s="899">
        <v>12177.311800000001</v>
      </c>
      <c r="E183" s="899">
        <v>12282.311800000001</v>
      </c>
      <c r="F183" s="899">
        <v>12282.311800000001</v>
      </c>
      <c r="G183" s="899">
        <v>12282.311800000001</v>
      </c>
      <c r="H183" s="899">
        <v>12282.311800000001</v>
      </c>
      <c r="I183" s="899">
        <v>12282.311800000001</v>
      </c>
      <c r="J183" s="899">
        <v>12282.311800000001</v>
      </c>
      <c r="K183" s="899">
        <v>12282.311800000001</v>
      </c>
      <c r="L183" s="899">
        <v>12282.311800000001</v>
      </c>
      <c r="M183" s="899">
        <v>12282.311800000001</v>
      </c>
      <c r="N183" s="899">
        <v>12282.311800000001</v>
      </c>
      <c r="O183" s="899">
        <v>12282.311800000001</v>
      </c>
      <c r="P183" s="899">
        <v>12282.311800000001</v>
      </c>
      <c r="Q183" s="899"/>
      <c r="R183" s="155">
        <f>ROUND(SUM(D183:P183)/13,0)</f>
        <v>12274</v>
      </c>
      <c r="S183" s="900"/>
    </row>
    <row r="184" spans="1:19" s="897" customFormat="1">
      <c r="A184" s="890">
        <f>A183+1</f>
        <v>68</v>
      </c>
      <c r="B184" s="902" t="s">
        <v>653</v>
      </c>
      <c r="C184" s="903"/>
      <c r="D184" s="903">
        <f t="shared" ref="D184:R184" si="72">SUM(D175:D183)</f>
        <v>5648007.3020000001</v>
      </c>
      <c r="E184" s="903">
        <f t="shared" si="72"/>
        <v>5903393.518565</v>
      </c>
      <c r="F184" s="903">
        <f t="shared" si="72"/>
        <v>6088302.228514445</v>
      </c>
      <c r="G184" s="903">
        <f t="shared" si="72"/>
        <v>6091963.1760333339</v>
      </c>
      <c r="H184" s="903">
        <f t="shared" si="72"/>
        <v>6056593.1794777792</v>
      </c>
      <c r="I184" s="903">
        <f t="shared" si="72"/>
        <v>6012441.8500638893</v>
      </c>
      <c r="J184" s="903">
        <f t="shared" si="72"/>
        <v>6565468.5204633344</v>
      </c>
      <c r="K184" s="903">
        <f t="shared" si="72"/>
        <v>6312290.2975372216</v>
      </c>
      <c r="L184" s="903">
        <f t="shared" si="72"/>
        <v>6538682.7977200011</v>
      </c>
      <c r="M184" s="903">
        <f t="shared" si="72"/>
        <v>6448226.7893500002</v>
      </c>
      <c r="N184" s="903">
        <f t="shared" si="72"/>
        <v>6401230.5086500002</v>
      </c>
      <c r="O184" s="903">
        <f t="shared" si="72"/>
        <v>6467527.8070761105</v>
      </c>
      <c r="P184" s="903">
        <f t="shared" si="72"/>
        <v>6525162.0679400014</v>
      </c>
      <c r="Q184" s="903">
        <f t="shared" si="72"/>
        <v>25628.997591111125</v>
      </c>
      <c r="R184" s="903">
        <f t="shared" si="72"/>
        <v>6169205</v>
      </c>
      <c r="S184" s="900"/>
    </row>
    <row r="197" spans="1:2">
      <c r="A197" s="904"/>
      <c r="B197" s="904"/>
    </row>
    <row r="198" spans="1:2">
      <c r="A198" s="904"/>
      <c r="B198" s="904"/>
    </row>
    <row r="199" spans="1:2">
      <c r="A199" s="904"/>
      <c r="B199" s="904"/>
    </row>
    <row r="200" spans="1:2">
      <c r="A200" s="904"/>
      <c r="B200" s="904"/>
    </row>
    <row r="201" spans="1:2">
      <c r="A201" s="904"/>
      <c r="B201" s="904"/>
    </row>
    <row r="231" spans="1:2">
      <c r="A231" s="904"/>
      <c r="B231" s="904"/>
    </row>
    <row r="300" spans="1:1">
      <c r="A300" s="860"/>
    </row>
    <row r="317" spans="1:1">
      <c r="A317" s="904"/>
    </row>
    <row r="318" spans="1:1">
      <c r="A318" s="904"/>
    </row>
    <row r="319" spans="1:1">
      <c r="A319" s="904"/>
    </row>
    <row r="320" spans="1:1">
      <c r="A320" s="904"/>
    </row>
    <row r="321" spans="1:1">
      <c r="A321" s="904"/>
    </row>
    <row r="322" spans="1:1">
      <c r="A322" s="904"/>
    </row>
    <row r="323" spans="1:1">
      <c r="A323" s="904"/>
    </row>
    <row r="324" spans="1:1">
      <c r="A324" s="904"/>
    </row>
    <row r="325" spans="1:1">
      <c r="A325" s="904"/>
    </row>
    <row r="326" spans="1:1">
      <c r="A326" s="904"/>
    </row>
    <row r="327" spans="1:1">
      <c r="A327" s="904"/>
    </row>
    <row r="328" spans="1:1">
      <c r="A328" s="904"/>
    </row>
    <row r="329" spans="1:1">
      <c r="A329" s="904"/>
    </row>
    <row r="330" spans="1:1">
      <c r="A330" s="904"/>
    </row>
    <row r="331" spans="1:1">
      <c r="A331" s="904"/>
    </row>
    <row r="332" spans="1:1">
      <c r="A332" s="904"/>
    </row>
    <row r="333" spans="1:1">
      <c r="A333" s="904"/>
    </row>
    <row r="334" spans="1:1">
      <c r="A334" s="904"/>
    </row>
    <row r="335" spans="1:1">
      <c r="A335" s="904"/>
    </row>
    <row r="336" spans="1:1">
      <c r="A336" s="904"/>
    </row>
    <row r="337" spans="1:1">
      <c r="A337" s="904"/>
    </row>
    <row r="338" spans="1:1">
      <c r="A338" s="904"/>
    </row>
    <row r="339" spans="1:1">
      <c r="A339" s="904"/>
    </row>
    <row r="340" spans="1:1">
      <c r="A340" s="904"/>
    </row>
    <row r="341" spans="1:1">
      <c r="A341" s="904"/>
    </row>
    <row r="342" spans="1:1">
      <c r="A342" s="904"/>
    </row>
    <row r="343" spans="1:1">
      <c r="A343" s="904"/>
    </row>
    <row r="344" spans="1:1">
      <c r="A344" s="904"/>
    </row>
    <row r="345" spans="1:1">
      <c r="A345" s="904"/>
    </row>
    <row r="346" spans="1:1">
      <c r="A346" s="904"/>
    </row>
    <row r="347" spans="1:1">
      <c r="A347" s="904"/>
    </row>
    <row r="348" spans="1:1">
      <c r="A348" s="904"/>
    </row>
    <row r="349" spans="1:1">
      <c r="A349" s="904"/>
    </row>
    <row r="350" spans="1:1">
      <c r="A350" s="904"/>
    </row>
    <row r="351" spans="1:1">
      <c r="A351" s="904"/>
    </row>
    <row r="352" spans="1:1">
      <c r="A352" s="904"/>
    </row>
    <row r="353" spans="1:1">
      <c r="A353" s="904"/>
    </row>
    <row r="354" spans="1:1">
      <c r="A354" s="904"/>
    </row>
    <row r="355" spans="1:1">
      <c r="A355" s="904"/>
    </row>
    <row r="356" spans="1:1">
      <c r="A356" s="904"/>
    </row>
    <row r="357" spans="1:1">
      <c r="A357" s="904"/>
    </row>
    <row r="358" spans="1:1">
      <c r="A358" s="904"/>
    </row>
    <row r="359" spans="1:1">
      <c r="A359" s="904"/>
    </row>
    <row r="360" spans="1:1">
      <c r="A360" s="904"/>
    </row>
    <row r="361" spans="1:1">
      <c r="A361" s="904"/>
    </row>
    <row r="362" spans="1:1">
      <c r="A362" s="904"/>
    </row>
    <row r="363" spans="1:1">
      <c r="A363" s="904"/>
    </row>
    <row r="364" spans="1:1">
      <c r="A364" s="904"/>
    </row>
    <row r="365" spans="1:1">
      <c r="A365" s="904"/>
    </row>
    <row r="366" spans="1:1">
      <c r="A366" s="904"/>
    </row>
    <row r="367" spans="1:1">
      <c r="A367" s="904"/>
    </row>
    <row r="368" spans="1:1">
      <c r="A368" s="904"/>
    </row>
    <row r="369" spans="1:1">
      <c r="A369" s="904"/>
    </row>
    <row r="370" spans="1:1">
      <c r="A370" s="904"/>
    </row>
    <row r="371" spans="1:1">
      <c r="A371" s="904"/>
    </row>
  </sheetData>
  <mergeCells count="1">
    <mergeCell ref="F4:L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15</vt:i4>
      </vt:variant>
    </vt:vector>
  </HeadingPairs>
  <TitlesOfParts>
    <vt:vector size="40" baseType="lpstr">
      <vt:lpstr>A 3</vt:lpstr>
      <vt:lpstr>A 5</vt:lpstr>
      <vt:lpstr>A 7</vt:lpstr>
      <vt:lpstr>A 9</vt:lpstr>
      <vt:lpstr>Working Capital_PerAR</vt:lpstr>
      <vt:lpstr>A 12-14 (I)</vt:lpstr>
      <vt:lpstr>Prior RCE</vt:lpstr>
      <vt:lpstr>A5 Adds</vt:lpstr>
      <vt:lpstr>A6 Adds</vt:lpstr>
      <vt:lpstr>PF Adds</vt:lpstr>
      <vt:lpstr>Retirements</vt:lpstr>
      <vt:lpstr>Ret CIAC</vt:lpstr>
      <vt:lpstr>PF Sched</vt:lpstr>
      <vt:lpstr>B 3</vt:lpstr>
      <vt:lpstr>B 4</vt:lpstr>
      <vt:lpstr>B 5</vt:lpstr>
      <vt:lpstr>B 6</vt:lpstr>
      <vt:lpstr>B 10</vt:lpstr>
      <vt:lpstr>B 13</vt:lpstr>
      <vt:lpstr>B 14</vt:lpstr>
      <vt:lpstr>B 15</vt:lpstr>
      <vt:lpstr>Chemical Adj</vt:lpstr>
      <vt:lpstr>EWD</vt:lpstr>
      <vt:lpstr>TAX EXPENSE</vt:lpstr>
      <vt:lpstr>Property Tax</vt:lpstr>
      <vt:lpstr>'A 12-14 (I)'!Print_Area</vt:lpstr>
      <vt:lpstr>'A 3'!Print_Area</vt:lpstr>
      <vt:lpstr>'A 5'!Print_Area</vt:lpstr>
      <vt:lpstr>'A 7'!Print_Area</vt:lpstr>
      <vt:lpstr>'A 9'!Print_Area</vt:lpstr>
      <vt:lpstr>'B 10'!Print_Area</vt:lpstr>
      <vt:lpstr>'B 13'!Print_Area</vt:lpstr>
      <vt:lpstr>'B 14'!Print_Area</vt:lpstr>
      <vt:lpstr>'B 15'!Print_Area</vt:lpstr>
      <vt:lpstr>'B 3'!Print_Area</vt:lpstr>
      <vt:lpstr>'B 4'!Print_Area</vt:lpstr>
      <vt:lpstr>'B 5'!Print_Area</vt:lpstr>
      <vt:lpstr>'B 6'!Print_Area</vt:lpstr>
      <vt:lpstr>'PF Adds'!Print_Area</vt:lpstr>
      <vt:lpstr>'TAX EXPENSE'!Print_Area</vt:lpstr>
    </vt:vector>
  </TitlesOfParts>
  <Company>Milian, Swain &amp;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DDS</dc:creator>
  <cp:lastModifiedBy>Frank Radigan</cp:lastModifiedBy>
  <cp:lastPrinted>2020-11-04T20:37:52Z</cp:lastPrinted>
  <dcterms:created xsi:type="dcterms:W3CDTF">1999-03-04T13:23:51Z</dcterms:created>
  <dcterms:modified xsi:type="dcterms:W3CDTF">2020-11-04T21:01:10Z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
    <vt:lpwstr>Alafaya Utilities, Inc.</vt:lpwstr>
  </property>
  <property fmtid="{D5CDD505-2E9C-101B-9397-08002B2CF9AE}" pid="3" name="_NewReviewCycle">
    <vt:lpwstr/>
  </property>
</Properties>
</file>