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bookViews>
    <workbookView xWindow="30105" yWindow="2700" windowWidth="21600" windowHeight="11325" activeTab="0"/>
  </bookViews>
  <sheets>
    <sheet name="Summary" sheetId="3" r:id="rId1"/>
    <sheet name="Accrual - Combined" sheetId="1" r:id="rId2"/>
    <sheet name="Accumulated - Combined" sheetId="4" r:id="rId3"/>
  </sheets>
  <externalReferences>
    <externalReference r:id="rId10"/>
    <externalReference r:id="rId11"/>
  </externalReferences>
  <definedNames>
    <definedName name="\0" localSheetId="1">#REF!</definedName>
    <definedName name="\0">#REF!</definedName>
    <definedName name="\d" localSheetId="1">#REF!</definedName>
    <definedName name="\d">#REF!</definedName>
    <definedName name="\h" localSheetId="1">#REF!</definedName>
    <definedName name="\h">#REF!</definedName>
    <definedName name="\l" localSheetId="1">#REF!</definedName>
    <definedName name="\l">#REF!</definedName>
    <definedName name="\p" localSheetId="1">#REF!</definedName>
    <definedName name="\p">#REF!</definedName>
    <definedName name="\s" localSheetId="1">#REF!</definedName>
    <definedName name="\s">#REF!</definedName>
    <definedName name="aqSL1" localSheetId="1">#REF!</definedName>
    <definedName name="aqSL1">#REF!</definedName>
    <definedName name="aqSL2" localSheetId="1">#REF!</definedName>
    <definedName name="aqSL2">#REF!</definedName>
    <definedName name="aqTP3" localSheetId="1">#REF!</definedName>
    <definedName name="aqTP3">#REF!</definedName>
    <definedName name="aqTP4" localSheetId="1">#REF!</definedName>
    <definedName name="aqTP4">#REF!</definedName>
    <definedName name="Ct" localSheetId="1">#REF!</definedName>
    <definedName name="Ct">#REF!</definedName>
    <definedName name="FPL" localSheetId="1">#REF!</definedName>
    <definedName name="FPL">#REF!</definedName>
    <definedName name="j" localSheetId="1">#REF!</definedName>
    <definedName name="j">#REF!</definedName>
    <definedName name="LOCATE" localSheetId="1">#REF!</definedName>
    <definedName name="LOCATE">#REF!</definedName>
    <definedName name="NQ_AR" localSheetId="1">#REF!</definedName>
    <definedName name="NQ_AR">#REF!</definedName>
    <definedName name="PSL_II" localSheetId="1">#REF!</definedName>
    <definedName name="PSL_II">#REF!</definedName>
    <definedName name="Q_AR" localSheetId="1">#REF!</definedName>
    <definedName name="Q_AR">#REF!</definedName>
    <definedName name="QAR" localSheetId="1">#REF!</definedName>
    <definedName name="QAR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<sst xmlns="http://schemas.openxmlformats.org/spreadsheetml/2006/main" count="227" uniqueCount="69">
  <si>
    <t>COMBINED</t>
  </si>
  <si>
    <t>COMBINED (NOIA)</t>
  </si>
  <si>
    <t>Company</t>
  </si>
  <si>
    <t>Function</t>
  </si>
  <si>
    <t>Clause/Base</t>
  </si>
  <si>
    <t>2016 Accrual</t>
  </si>
  <si>
    <t>2021 Accrual</t>
  </si>
  <si>
    <t>Difference</t>
  </si>
  <si>
    <t>NOIA diff</t>
  </si>
  <si>
    <t>FPL</t>
  </si>
  <si>
    <t>Steam</t>
  </si>
  <si>
    <t>Base</t>
  </si>
  <si>
    <t>Base/Clause</t>
  </si>
  <si>
    <t>Other</t>
  </si>
  <si>
    <t>Clause</t>
  </si>
  <si>
    <t>Gulf</t>
  </si>
  <si>
    <t>Monthly</t>
  </si>
  <si>
    <t>Check</t>
  </si>
  <si>
    <t xml:space="preserve">Steam </t>
  </si>
  <si>
    <t>Total Base Co. Adj Accrual</t>
  </si>
  <si>
    <t>Total Revised Base Co. Adj Accrual</t>
  </si>
  <si>
    <t>Check for total</t>
  </si>
  <si>
    <r>
      <rPr>
        <b/>
        <sz val="10"/>
        <color theme="1"/>
        <rFont val="Calibri"/>
        <family val="2"/>
        <scheme val="minor"/>
      </rPr>
      <t xml:space="preserve">NOTE: </t>
    </r>
    <r>
      <rPr>
        <sz val="10"/>
        <color theme="1"/>
        <rFont val="Calibri"/>
        <family val="2"/>
        <scheme val="minor"/>
      </rPr>
      <t>FPL Breakdown includes Cedar Bay and Indiantown</t>
    </r>
  </si>
  <si>
    <t>FERC ACCOUNT</t>
  </si>
  <si>
    <t xml:space="preserve">Total </t>
  </si>
  <si>
    <t>13 Mth Avg</t>
  </si>
  <si>
    <t>Juris Factor</t>
  </si>
  <si>
    <t>Juris Bal</t>
  </si>
  <si>
    <t xml:space="preserve">13 Mth </t>
  </si>
  <si>
    <t>Juris Balance</t>
  </si>
  <si>
    <t>Accrual</t>
  </si>
  <si>
    <t>Dismantlement Expense - Steam</t>
  </si>
  <si>
    <t>NOI</t>
  </si>
  <si>
    <t>AJC070010</t>
  </si>
  <si>
    <t>Dismantlement Expense - Other</t>
  </si>
  <si>
    <t>AJC070000</t>
  </si>
  <si>
    <t>Total</t>
  </si>
  <si>
    <t>Accumulated Depr - Dismantlement - Steam</t>
  </si>
  <si>
    <t>RB</t>
  </si>
  <si>
    <t>ADC060010</t>
  </si>
  <si>
    <t>Accumulated Depr - Dismantlement - Other</t>
  </si>
  <si>
    <t>ADC060020</t>
  </si>
  <si>
    <t xml:space="preserve"> Reserve Transfers between Functions and Base vs. Clause</t>
  </si>
  <si>
    <t>ADC060070</t>
  </si>
  <si>
    <t>ADC060080</t>
  </si>
  <si>
    <t>Corrected Total Company Adjustment (Per Book)</t>
  </si>
  <si>
    <t>Total Company Adjustment (Jurisdictional) on MFR B-2</t>
  </si>
  <si>
    <t>Corrected Total Company Adjustment (Jurisdictional)</t>
  </si>
  <si>
    <t>Total Company Adjustment (Jurisdictional) on NOIA Attachment I, Lines 22 and 23</t>
  </si>
  <si>
    <t>Change in Dismantlement Accrual Per the Corrected 2021 Dismantlement Study</t>
  </si>
  <si>
    <t>Corrected Base Reserve Transfers between Generating Units</t>
  </si>
  <si>
    <t>12/31/21
Estimated Reserve
(PRE)</t>
  </si>
  <si>
    <t>Proposed Transfers</t>
  </si>
  <si>
    <t>12/31/21
Estimated Reserve
(POST)</t>
  </si>
  <si>
    <t>Transfers:</t>
  </si>
  <si>
    <t>Increasing Reserve</t>
  </si>
  <si>
    <t xml:space="preserve">FPL </t>
  </si>
  <si>
    <t xml:space="preserve">Other </t>
  </si>
  <si>
    <t>Decreasing Reserve</t>
  </si>
  <si>
    <t>Combined</t>
  </si>
  <si>
    <t>Increase Reserve</t>
  </si>
  <si>
    <t>Decrease Reserve</t>
  </si>
  <si>
    <t>References</t>
  </si>
  <si>
    <t>Corrected KF-5, Pg. 1, Line 26</t>
  </si>
  <si>
    <t>Corrected KF-5, Pg. 1, Line 40</t>
  </si>
  <si>
    <t xml:space="preserve">     20210015-EI     </t>
  </si>
  <si>
    <t xml:space="preserve">     FPL 061318</t>
  </si>
  <si>
    <t xml:space="preserve">     FPL 061319</t>
  </si>
  <si>
    <t xml:space="preserve">     FPL 061320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</si>
</sst>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00000_);[Red]\(#,##0.000000\);&quot; &quot;"/>
    <numFmt numFmtId="167" formatCode="_(* #,##0.0_);_(* \(#,##0.0\);_(* &quot;-&quot;??_);_(@_)"/>
    <numFmt numFmtId="169" formatCode="_([$€-2]* #,##0.00_);_([$€-2]* \(#,##0.00\);_([$€-2]* &quot;-&quot;??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u val="single"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/>
    </fill>
    <fill>
      <patternFill patternType="gray125"/>
    </fill>
    <fill>
      <patternFill patternType="solid">
        <fgColor theme="0" tint="-0.04998"/>
        <bgColor indexed="64"/>
      </patternFill>
    </fill>
    <fill>
      <patternFill patternType="solid">
        <fgColor theme="0" tint="-0.149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double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5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43" fontId="0" fillId="0" borderId="0" applyFont="0" applyFill="0" applyBorder="0" applyAlignment="0" applyProtection="0"/>
    <xf numFmtId="0" fontId="1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13" fillId="0" borderId="0">
      <alignment/>
      <protection/>
    </xf>
    <xf numFmtId="0" fontId="0" fillId="0" borderId="0">
      <alignment/>
      <protection/>
    </xf>
    <xf numFmtId="43" fontId="13" fillId="0" borderId="0" applyFont="0" applyFill="0" applyBorder="0" applyAlignment="0" applyProtection="0"/>
    <xf numFmtId="0" fontId="0" fillId="0" borderId="0">
      <alignment/>
      <protection/>
    </xf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4" fontId="1" fillId="0" borderId="0">
      <alignment/>
      <protection/>
    </xf>
    <xf numFmtId="44" fontId="1" fillId="0" borderId="0">
      <alignment/>
      <protection/>
    </xf>
    <xf numFmtId="169" fontId="1" fillId="0" borderId="0">
      <alignment/>
      <protection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>
      <alignment/>
      <protection/>
    </xf>
    <xf numFmtId="9" fontId="1" fillId="0" borderId="0" applyFont="0" applyFill="0" applyBorder="0" applyAlignment="0" applyProtection="0"/>
    <xf numFmtId="169" fontId="1" fillId="0" borderId="0">
      <alignment/>
      <protection/>
    </xf>
    <xf numFmtId="44" fontId="0" fillId="0" borderId="0" applyFon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44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44" fontId="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0" fillId="0" borderId="0">
      <alignment/>
      <protection/>
    </xf>
    <xf numFmtId="44" fontId="0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3" fontId="3" fillId="0" borderId="2" xfId="20" applyFont="1" applyFill="1" applyBorder="1"/>
    <xf numFmtId="43" fontId="3" fillId="0" borderId="3" xfId="20" applyFont="1" applyFill="1" applyBorder="1"/>
    <xf numFmtId="43" fontId="3" fillId="0" borderId="2" xfId="20" applyFont="1" applyBorder="1"/>
    <xf numFmtId="43" fontId="3" fillId="0" borderId="4" xfId="0" applyNumberFormat="1" applyFont="1" applyBorder="1"/>
    <xf numFmtId="43" fontId="3" fillId="0" borderId="0" xfId="0" applyNumberFormat="1" applyFont="1"/>
    <xf numFmtId="0" fontId="3" fillId="0" borderId="5" xfId="0" applyFont="1" applyBorder="1"/>
    <xf numFmtId="43" fontId="3" fillId="0" borderId="0" xfId="20" applyFont="1" applyFill="1" applyBorder="1"/>
    <xf numFmtId="43" fontId="3" fillId="0" borderId="6" xfId="20" applyFont="1" applyFill="1" applyBorder="1"/>
    <xf numFmtId="43" fontId="3" fillId="0" borderId="0" xfId="20" applyFont="1" applyBorder="1"/>
    <xf numFmtId="43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43" fontId="3" fillId="0" borderId="9" xfId="20" applyFont="1" applyFill="1" applyBorder="1"/>
    <xf numFmtId="43" fontId="3" fillId="0" borderId="10" xfId="20" applyFont="1" applyFill="1" applyBorder="1"/>
    <xf numFmtId="43" fontId="3" fillId="0" borderId="9" xfId="20" applyFont="1" applyBorder="1"/>
    <xf numFmtId="43" fontId="3" fillId="0" borderId="11" xfId="0" applyNumberFormat="1" applyFont="1" applyBorder="1"/>
    <xf numFmtId="43" fontId="2" fillId="0" borderId="12" xfId="0" applyNumberFormat="1" applyFont="1" applyBorder="1"/>
    <xf numFmtId="164" fontId="3" fillId="0" borderId="0" xfId="0" applyNumberFormat="1" applyFont="1"/>
    <xf numFmtId="164" fontId="3" fillId="0" borderId="13" xfId="0" applyNumberFormat="1" applyFont="1" applyBorder="1"/>
    <xf numFmtId="0" fontId="3" fillId="3" borderId="0" xfId="0" applyFont="1" applyFill="1"/>
    <xf numFmtId="0" fontId="2" fillId="0" borderId="0" xfId="0" applyFont="1"/>
    <xf numFmtId="17" fontId="6" fillId="0" borderId="9" xfId="0" applyNumberFormat="1" applyFont="1" applyBorder="1" applyAlignment="1">
      <alignment horizontal="center"/>
    </xf>
    <xf numFmtId="17" fontId="2" fillId="0" borderId="0" xfId="0" applyNumberFormat="1" applyFont="1"/>
    <xf numFmtId="17" fontId="6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164" fontId="7" fillId="0" borderId="0" xfId="21" applyNumberFormat="1" applyFont="1"/>
    <xf numFmtId="165" fontId="7" fillId="0" borderId="0" xfId="16" applyNumberFormat="1" applyFont="1"/>
    <xf numFmtId="166" fontId="7" fillId="0" borderId="0" xfId="0" applyNumberFormat="1" applyFont="1" applyAlignment="1">
      <alignment horizontal="right"/>
    </xf>
    <xf numFmtId="165" fontId="7" fillId="0" borderId="0" xfId="0" applyNumberFormat="1" applyFont="1"/>
    <xf numFmtId="0" fontId="7" fillId="0" borderId="0" xfId="0" applyFont="1" applyAlignment="1">
      <alignment horizontal="center" vertical="center"/>
    </xf>
    <xf numFmtId="164" fontId="7" fillId="0" borderId="9" xfId="21" applyNumberFormat="1" applyFont="1" applyBorder="1"/>
    <xf numFmtId="165" fontId="7" fillId="0" borderId="9" xfId="0" applyNumberFormat="1" applyFont="1" applyBorder="1"/>
    <xf numFmtId="164" fontId="7" fillId="0" borderId="9" xfId="0" applyNumberFormat="1" applyFont="1" applyBorder="1"/>
    <xf numFmtId="44" fontId="7" fillId="0" borderId="0" xfId="16" applyFont="1"/>
    <xf numFmtId="43" fontId="7" fillId="0" borderId="0" xfId="21" applyFont="1"/>
    <xf numFmtId="164" fontId="7" fillId="0" borderId="0" xfId="0" applyNumberFormat="1" applyFont="1"/>
    <xf numFmtId="166" fontId="7" fillId="0" borderId="0" xfId="0" applyNumberFormat="1" applyFont="1" applyAlignment="1">
      <alignment horizontal="right" vertical="center"/>
    </xf>
    <xf numFmtId="167" fontId="7" fillId="0" borderId="0" xfId="21" applyNumberFormat="1" applyFont="1"/>
    <xf numFmtId="164" fontId="7" fillId="0" borderId="0" xfId="16" applyNumberFormat="1" applyFont="1"/>
    <xf numFmtId="164" fontId="7" fillId="0" borderId="0" xfId="0" applyNumberFormat="1" applyFont="1" applyAlignment="1">
      <alignment horizontal="center"/>
    </xf>
    <xf numFmtId="0" fontId="9" fillId="4" borderId="0" xfId="0" applyFont="1" applyFill="1"/>
    <xf numFmtId="0" fontId="9" fillId="4" borderId="9" xfId="0" applyFont="1" applyFill="1" applyBorder="1" applyAlignment="1">
      <alignment horizontal="center"/>
    </xf>
    <xf numFmtId="0" fontId="9" fillId="4" borderId="0" xfId="0" applyFont="1" applyFill="1" applyAlignment="1">
      <alignment horizontal="left" vertical="center"/>
    </xf>
    <xf numFmtId="165" fontId="9" fillId="4" borderId="0" xfId="16" applyNumberFormat="1" applyFont="1" applyFill="1"/>
    <xf numFmtId="165" fontId="9" fillId="4" borderId="9" xfId="16" applyNumberFormat="1" applyFont="1" applyFill="1" applyBorder="1"/>
    <xf numFmtId="165" fontId="9" fillId="4" borderId="0" xfId="16" applyNumberFormat="1" applyFont="1" applyFill="1" applyBorder="1"/>
    <xf numFmtId="165" fontId="9" fillId="4" borderId="14" xfId="16" applyNumberFormat="1" applyFont="1" applyFill="1" applyBorder="1"/>
    <xf numFmtId="43" fontId="3" fillId="0" borderId="3" xfId="20" applyFont="1" applyBorder="1"/>
    <xf numFmtId="43" fontId="3" fillId="0" borderId="6" xfId="20" applyFont="1" applyBorder="1"/>
    <xf numFmtId="43" fontId="3" fillId="0" borderId="10" xfId="20" applyFont="1" applyBorder="1"/>
    <xf numFmtId="0" fontId="3" fillId="0" borderId="0" xfId="22" applyFont="1">
      <alignment/>
      <protection/>
    </xf>
    <xf numFmtId="0" fontId="3" fillId="0" borderId="1" xfId="22" applyFont="1" applyBorder="1">
      <alignment/>
      <protection/>
    </xf>
    <xf numFmtId="0" fontId="3" fillId="0" borderId="2" xfId="22" applyFont="1" applyBorder="1">
      <alignment/>
      <protection/>
    </xf>
    <xf numFmtId="164" fontId="3" fillId="0" borderId="0" xfId="22" applyNumberFormat="1" applyFont="1">
      <alignment/>
      <protection/>
    </xf>
    <xf numFmtId="164" fontId="3" fillId="0" borderId="13" xfId="22" applyNumberFormat="1" applyFont="1" applyBorder="1">
      <alignment/>
      <protection/>
    </xf>
    <xf numFmtId="164" fontId="7" fillId="0" borderId="0" xfId="21" applyNumberFormat="1" applyFont="1" applyBorder="1"/>
    <xf numFmtId="17" fontId="10" fillId="0" borderId="0" xfId="0" applyNumberFormat="1" applyFont="1" applyBorder="1" applyAlignment="1">
      <alignment horizontal="left"/>
    </xf>
    <xf numFmtId="17" fontId="10" fillId="0" borderId="0" xfId="0" applyNumberFormat="1" applyFont="1" applyBorder="1" applyAlignment="1">
      <alignment horizontal="center"/>
    </xf>
    <xf numFmtId="164" fontId="11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2" fillId="0" borderId="0" xfId="33" applyFont="1" applyAlignment="1">
      <alignment/>
      <protection/>
    </xf>
    <xf numFmtId="0" fontId="15" fillId="0" borderId="0" xfId="33" applyFont="1" applyAlignment="1">
      <alignment/>
      <protection/>
    </xf>
  </cellXfs>
  <cellStyles count="4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Comma 2" xfId="20"/>
    <cellStyle name="Comma 10" xfId="21"/>
    <cellStyle name="Normal 38" xfId="22"/>
    <cellStyle name="Normal 134" xfId="23"/>
    <cellStyle name="Normal 2" xfId="24"/>
    <cellStyle name="Comma 198" xfId="25"/>
    <cellStyle name="Normal 6" xfId="26"/>
    <cellStyle name="Normal 2 6" xfId="27"/>
    <cellStyle name="Normal 3" xfId="28"/>
    <cellStyle name="Normal 2 2" xfId="29"/>
    <cellStyle name="Normal 4" xfId="30"/>
    <cellStyle name="Normal 2 3" xfId="31"/>
    <cellStyle name="Comma 2 3" xfId="32"/>
    <cellStyle name="Normal 5" xfId="33"/>
    <cellStyle name="Comma 3" xfId="34"/>
    <cellStyle name="Percent 3" xfId="35"/>
    <cellStyle name="Normal 2 4" xfId="36"/>
    <cellStyle name="Normal 13" xfId="37"/>
    <cellStyle name="Normal 2 2 2" xfId="38"/>
    <cellStyle name="Comma 2 2" xfId="39"/>
    <cellStyle name="Percent 2" xfId="40"/>
    <cellStyle name="Normal 2 5" xfId="41"/>
    <cellStyle name="Percent 2 2" xfId="42"/>
    <cellStyle name="Normal 10" xfId="43"/>
    <cellStyle name="Currency 3" xfId="44"/>
    <cellStyle name="Normal 4 4" xfId="45"/>
    <cellStyle name="Normal 12" xfId="46"/>
    <cellStyle name="Currency 2" xfId="47"/>
    <cellStyle name="Normal 4 3 2" xfId="48"/>
    <cellStyle name="Normal 4 8 2" xfId="49"/>
    <cellStyle name="Comma 3 10" xfId="50"/>
    <cellStyle name="Comma 3 11" xfId="51"/>
    <cellStyle name="Normal 4 9" xfId="52"/>
    <cellStyle name="Normal 22" xfId="53"/>
    <cellStyle name="Currency 5" xfId="54"/>
    <cellStyle name="Hyperlink 2" xfId="55"/>
    <cellStyle name="Normal 22 2" xfId="56"/>
    <cellStyle name="Currency 5 2" xfId="5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8" Type="http://schemas.openxmlformats.org/officeDocument/2006/relationships/customXml" Target="../customXml/item2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Relationship Id="rId6" Type="http://schemas.openxmlformats.org/officeDocument/2006/relationships/theme" Target="theme/theme1.xml" /><Relationship Id="rId10" Type="http://schemas.openxmlformats.org/officeDocument/2006/relationships/externalLink" Target="externalLinks/externalLink1.xml" /><Relationship Id="rId11" Type="http://schemas.openxmlformats.org/officeDocument/2006/relationships/externalLink" Target="externalLinks/externalLink2.xml" /><Relationship Id="rId3" Type="http://schemas.openxmlformats.org/officeDocument/2006/relationships/worksheet" Target="worksheets/sheet3.xml" /><Relationship Id="rId7" Type="http://schemas.openxmlformats.org/officeDocument/2006/relationships/customXml" Target="../customXml/item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PropAN$\ARA\Dismantlement\2012%20Dismantlement%20Study\Inflation%20Rates%20+%20Monthly%20Accr\2012%20Monthly%20Accrual%20(Updated)%2010-25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yDataNEE\user$\spm0ol8\Desktop\2015%20Decom%20Slidedeck\Decom%20Funding%20Analysis%20(Workbook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 1"/>
      <sheetName val="Input 2"/>
      <sheetName val="Monthly Accrual"/>
      <sheetName val="GI Factors"/>
      <sheetName val="Table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ck - both"/>
      <sheetName val="summary-fund"/>
      <sheetName val="summary-reserve"/>
      <sheetName val="Pg 1&amp;2 - Inflation &amp; Gen Assump"/>
      <sheetName val="Pg 3&amp;4 - Total costs"/>
      <sheetName val="Pg 5&amp;6 - DOE"/>
      <sheetName val="Pg 7&amp;8 - Funding Analysis"/>
      <sheetName val="Interest"/>
      <sheetName val="DOE Reimbursement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1DA5E-F2B2-49FF-9721-4229672B98F8}">
  <sheetPr>
    <pageSetUpPr fitToPage="1"/>
  </sheetPr>
  <dimension ref="A1:C13"/>
  <sheetViews>
    <sheetView tabSelected="1" workbookViewId="0" topLeftCell="A1">
      <selection pane="topLeft" activeCell="A1" sqref="A1"/>
    </sheetView>
  </sheetViews>
  <sheetFormatPr defaultColWidth="8.72727272727273" defaultRowHeight="15"/>
  <cols>
    <col min="1" max="1" width="75.2727272727273" customWidth="1"/>
    <col min="2" max="2" width="14.7272727272727" bestFit="1" customWidth="1"/>
    <col min="3" max="3" width="15.1818181818182" bestFit="1" customWidth="1"/>
  </cols>
  <sheetData>
    <row r="1" ht="15">
      <c r="A1" s="74" t="s">
        <v>66</v>
      </c>
    </row>
    <row r="2" ht="15">
      <c r="A2" s="74" t="s">
        <v>65</v>
      </c>
    </row>
    <row r="4" spans="1:3" ht="15.75">
      <c r="A4" s="53"/>
      <c r="B4" s="54">
        <v>2022</v>
      </c>
      <c r="C4" s="54">
        <v>2023</v>
      </c>
    </row>
    <row r="5" spans="1:3" ht="15.75">
      <c r="A5" s="55" t="s">
        <v>49</v>
      </c>
      <c r="B5" s="56">
        <f>'Accrual - Combined'!X35</f>
        <v>-11554917.484987823</v>
      </c>
      <c r="C5" s="56">
        <f>'Accrual - Combined'!AO35</f>
        <v>-34664752.454963468</v>
      </c>
    </row>
    <row r="6" spans="1:3" ht="15.75">
      <c r="A6" s="55" t="s">
        <v>50</v>
      </c>
      <c r="B6" s="57">
        <f>'Accrual - Combined'!X40</f>
        <v>14646296.783668857</v>
      </c>
      <c r="C6" s="57">
        <f>'Accrual - Combined'!AO40</f>
        <v>15866821.515641242</v>
      </c>
    </row>
    <row r="7" spans="1:3" ht="15.75">
      <c r="A7" s="53" t="s">
        <v>45</v>
      </c>
      <c r="B7" s="59">
        <f>SUM(B5:B6)</f>
        <v>3091379.2986810338</v>
      </c>
      <c r="C7" s="59">
        <f>SUM(C5:C6)</f>
        <v>-18797930.939322226</v>
      </c>
    </row>
    <row r="8" spans="1:3" ht="15.75">
      <c r="A8" s="53"/>
      <c r="B8" s="58"/>
      <c r="C8" s="58"/>
    </row>
    <row r="9" spans="1:3" ht="15.75">
      <c r="A9" s="53" t="s">
        <v>47</v>
      </c>
      <c r="B9" s="56">
        <f>+'Accrual - Combined'!Z35+'Accrual - Combined'!Z40</f>
        <v>2653416.4799140394</v>
      </c>
      <c r="C9" s="56">
        <f>+'Accrual - Combined'!AQ35+'Accrual - Combined'!AQ40</f>
        <v>-18292513.555292174</v>
      </c>
    </row>
    <row r="10" spans="1:3" ht="15.75">
      <c r="A10" s="53" t="s">
        <v>46</v>
      </c>
      <c r="B10" s="56">
        <v>1176967.3029836658</v>
      </c>
      <c r="C10" s="56">
        <v>-20939387.893208236</v>
      </c>
    </row>
    <row r="11" spans="1:3" ht="15.75">
      <c r="A11" s="53" t="s">
        <v>48</v>
      </c>
      <c r="B11" s="59">
        <f>+B9-B10</f>
        <v>1476449.1769303735</v>
      </c>
      <c r="C11" s="59">
        <f>+C9-C10</f>
        <v>2646874.3379160613</v>
      </c>
    </row>
    <row r="12" spans="1:3" ht="15.75">
      <c r="A12" s="53"/>
      <c r="B12" s="56"/>
      <c r="C12" s="56"/>
    </row>
    <row r="13" spans="1:3" ht="15.75">
      <c r="A13" s="53"/>
      <c r="B13" s="56"/>
      <c r="C13" s="56"/>
    </row>
  </sheetData>
  <pageMargins left="0.7" right="0.7" top="0.75" bottom="0.75" header="0.3" footer="0.3"/>
  <pageSetup horizontalDpi="1200" verticalDpi="1200" orientation="portrait" scale="1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575C-E645-48E8-B843-890B37035D54}">
  <sheetPr>
    <pageSetUpPr fitToPage="1"/>
  </sheetPr>
  <dimension ref="A1:AQ42"/>
  <sheetViews>
    <sheetView zoomScale="99" zoomScaleNormal="99" workbookViewId="0" topLeftCell="A1"/>
  </sheetViews>
  <sheetFormatPr defaultColWidth="8.7109375" defaultRowHeight="13" outlineLevelCol="1"/>
  <cols>
    <col min="1" max="1" width="8.45454545454546" style="1" customWidth="1"/>
    <col min="2" max="2" width="7.72727272727273" style="1" bestFit="1" customWidth="1"/>
    <col min="3" max="3" width="10.4545454545455" style="1" bestFit="1" customWidth="1"/>
    <col min="4" max="4" width="21" style="1" bestFit="1" customWidth="1"/>
    <col min="5" max="5" width="13.5454545454545" style="1" bestFit="1" customWidth="1"/>
    <col min="6" max="6" width="14.1818181818182" style="1" bestFit="1" customWidth="1"/>
    <col min="7" max="7" width="12.5454545454545" style="1" bestFit="1" customWidth="1"/>
    <col min="8" max="8" width="11.1818181818182" style="1" customWidth="1" outlineLevel="1"/>
    <col min="9" max="9" width="9" style="1" customWidth="1" outlineLevel="1"/>
    <col min="10" max="10" width="12" style="1" customWidth="1" outlineLevel="1"/>
    <col min="11" max="11" width="22.4545454545455" style="1" customWidth="1" outlineLevel="1"/>
    <col min="12" max="12" width="17.5454545454545" style="1" customWidth="1" outlineLevel="1"/>
    <col min="13" max="13" width="16.5454545454545" style="1" customWidth="1" outlineLevel="1"/>
    <col min="14" max="14" width="12.5454545454545" style="1" bestFit="1" customWidth="1" outlineLevel="1"/>
    <col min="15" max="15" width="13.2727272727273" style="1" bestFit="1" customWidth="1" outlineLevel="1"/>
    <col min="16" max="17" width="12.1818181818182" style="1" bestFit="1" customWidth="1" outlineLevel="1"/>
    <col min="18" max="18" width="13.2727272727273" style="1" bestFit="1" customWidth="1" outlineLevel="1"/>
    <col min="19" max="19" width="12.1818181818182" style="1" bestFit="1" customWidth="1" outlineLevel="1"/>
    <col min="20" max="21" width="12" style="1" customWidth="1" outlineLevel="1"/>
    <col min="22" max="22" width="11.1818181818182" style="1" bestFit="1" customWidth="1"/>
    <col min="23" max="23" width="26.4545454545455" style="1" customWidth="1"/>
    <col min="24" max="24" width="11.7272727272727" style="1" bestFit="1" customWidth="1"/>
    <col min="25" max="25" width="11.5454545454545" style="1" customWidth="1"/>
    <col min="26" max="26" width="12.7272727272727" style="1" bestFit="1" customWidth="1"/>
    <col min="27" max="27" width="6.54545454545455" style="1" customWidth="1"/>
    <col min="28" max="39" width="12.1818181818182" style="1" bestFit="1" customWidth="1" outlineLevel="1"/>
    <col min="40" max="40" width="11.1818181818182" style="1" bestFit="1" customWidth="1"/>
    <col min="41" max="41" width="12.1818181818182" style="1" bestFit="1" customWidth="1"/>
    <col min="42" max="42" width="9.18181818181818" style="1" bestFit="1" customWidth="1"/>
    <col min="43" max="43" width="13.4545454545455" style="1" bestFit="1" customWidth="1"/>
    <col min="44" max="16384" width="8.72727272727273" style="1"/>
  </cols>
  <sheetData>
    <row r="1" ht="12.75">
      <c r="A1" s="75" t="s">
        <v>67</v>
      </c>
    </row>
    <row r="2" ht="12.75">
      <c r="A2" s="75" t="s">
        <v>65</v>
      </c>
    </row>
    <row r="3" spans="1:13" ht="12.75">
      <c r="A3" s="72" t="s">
        <v>0</v>
      </c>
      <c r="B3" s="72"/>
      <c r="C3" s="72"/>
      <c r="D3" s="72"/>
      <c r="E3" s="72"/>
      <c r="F3" s="72"/>
      <c r="H3" s="72" t="s">
        <v>1</v>
      </c>
      <c r="I3" s="72"/>
      <c r="J3" s="72"/>
      <c r="K3" s="72"/>
      <c r="L3" s="72"/>
      <c r="M3" s="72"/>
    </row>
    <row r="4" spans="1:15" s="4" customFormat="1" ht="12.75">
      <c r="A4" s="2" t="s">
        <v>2</v>
      </c>
      <c r="B4" s="2" t="s">
        <v>3</v>
      </c>
      <c r="C4" s="2" t="s">
        <v>4</v>
      </c>
      <c r="D4" s="3" t="s">
        <v>5</v>
      </c>
      <c r="E4" s="3" t="s">
        <v>6</v>
      </c>
      <c r="F4" s="3" t="s">
        <v>7</v>
      </c>
      <c r="H4" s="4" t="s">
        <v>2</v>
      </c>
      <c r="I4" s="2" t="s">
        <v>3</v>
      </c>
      <c r="J4" s="2" t="s">
        <v>4</v>
      </c>
      <c r="K4" s="3" t="s">
        <v>5</v>
      </c>
      <c r="L4" s="3" t="s">
        <v>6</v>
      </c>
      <c r="M4" s="3" t="s">
        <v>7</v>
      </c>
      <c r="O4" s="5" t="s">
        <v>8</v>
      </c>
    </row>
    <row r="5" spans="1:16" ht="12.75">
      <c r="A5" s="6" t="s">
        <v>9</v>
      </c>
      <c r="B5" s="7" t="s">
        <v>10</v>
      </c>
      <c r="C5" s="7" t="s">
        <v>11</v>
      </c>
      <c r="D5" s="8">
        <v>12704472.120000001</v>
      </c>
      <c r="E5" s="8">
        <v>1608333.6960793184</v>
      </c>
      <c r="F5" s="9">
        <f>E5-D5</f>
        <v>-11096138.423920684</v>
      </c>
      <c r="H5" s="6" t="s">
        <v>9</v>
      </c>
      <c r="I5" s="7" t="s">
        <v>10</v>
      </c>
      <c r="J5" s="7" t="s">
        <v>11</v>
      </c>
      <c r="K5" s="8">
        <v>12704472.120000001</v>
      </c>
      <c r="L5" s="10">
        <v>1531768.7023073889</v>
      </c>
      <c r="M5" s="9">
        <f>L5-K5</f>
        <v>-11172703.417692613</v>
      </c>
      <c r="O5" s="11">
        <f>L5-E5</f>
        <v>-76564.993771929527</v>
      </c>
      <c r="P5" s="12"/>
    </row>
    <row r="6" spans="1:16" ht="12.75">
      <c r="A6" s="13" t="s">
        <v>9</v>
      </c>
      <c r="B6" s="1" t="s">
        <v>10</v>
      </c>
      <c r="C6" s="1" t="s">
        <v>12</v>
      </c>
      <c r="D6" s="14">
        <v>0</v>
      </c>
      <c r="E6" s="14">
        <v>8834428.0978141241</v>
      </c>
      <c r="F6" s="15">
        <f t="shared" si="0" ref="F6:F8">E6-D6</f>
        <v>8834428.0978141241</v>
      </c>
      <c r="H6" s="13" t="s">
        <v>9</v>
      </c>
      <c r="I6" s="1" t="s">
        <v>10</v>
      </c>
      <c r="J6" s="1" t="s">
        <v>12</v>
      </c>
      <c r="K6" s="14">
        <v>0</v>
      </c>
      <c r="L6" s="16">
        <v>8275344.9120449871</v>
      </c>
      <c r="M6" s="15">
        <f>L6-K6</f>
        <v>8275344.9120449871</v>
      </c>
      <c r="O6" s="17">
        <f>L6-E6</f>
        <v>-559083.185769137</v>
      </c>
      <c r="P6" s="12"/>
    </row>
    <row r="7" spans="1:16" ht="12.75">
      <c r="A7" s="13" t="s">
        <v>9</v>
      </c>
      <c r="B7" s="1" t="s">
        <v>13</v>
      </c>
      <c r="C7" s="1" t="s">
        <v>11</v>
      </c>
      <c r="D7" s="12">
        <v>12683144.399999999</v>
      </c>
      <c r="E7" s="14">
        <v>35126678.950000003</v>
      </c>
      <c r="F7" s="15">
        <f t="shared" si="0"/>
        <v>22443534.550000004</v>
      </c>
      <c r="H7" s="13" t="s">
        <v>9</v>
      </c>
      <c r="I7" s="1" t="s">
        <v>13</v>
      </c>
      <c r="J7" s="1" t="s">
        <v>11</v>
      </c>
      <c r="K7" s="12">
        <v>12683144.399999999</v>
      </c>
      <c r="L7" s="16">
        <v>34767899.288382247</v>
      </c>
      <c r="M7" s="15">
        <f t="shared" si="1" ref="M7:M8">L7-K7</f>
        <v>22084754.888382249</v>
      </c>
      <c r="O7" s="17">
        <f t="shared" si="2" ref="O7:O12">L7-E7</f>
        <v>-358779.66161775589</v>
      </c>
      <c r="P7" s="12"/>
    </row>
    <row r="8" spans="1:16" ht="12.75">
      <c r="A8" s="13" t="s">
        <v>9</v>
      </c>
      <c r="B8" s="1" t="s">
        <v>13</v>
      </c>
      <c r="C8" s="1" t="s">
        <v>14</v>
      </c>
      <c r="D8" s="12">
        <v>793601.64</v>
      </c>
      <c r="E8" s="14">
        <v>861313.09596105316</v>
      </c>
      <c r="F8" s="15">
        <f t="shared" si="0"/>
        <v>67711.455961053143</v>
      </c>
      <c r="H8" s="13" t="s">
        <v>9</v>
      </c>
      <c r="I8" s="1" t="s">
        <v>13</v>
      </c>
      <c r="J8" s="1" t="s">
        <v>14</v>
      </c>
      <c r="K8" s="12">
        <v>793601.64</v>
      </c>
      <c r="L8" s="16">
        <v>707849.59273871081</v>
      </c>
      <c r="M8" s="15">
        <f t="shared" si="1"/>
        <v>-85752.047261289204</v>
      </c>
      <c r="O8" s="17">
        <f t="shared" si="2"/>
        <v>-153463.50322234235</v>
      </c>
      <c r="P8" s="12"/>
    </row>
    <row r="9" spans="1:16" ht="12.75">
      <c r="A9" s="13" t="s">
        <v>15</v>
      </c>
      <c r="B9" s="1" t="s">
        <v>10</v>
      </c>
      <c r="C9" s="1" t="s">
        <v>11</v>
      </c>
      <c r="D9" s="14">
        <v>0</v>
      </c>
      <c r="E9" s="14">
        <v>2966291.0025001285</v>
      </c>
      <c r="F9" s="15">
        <f>E9-D9</f>
        <v>2966291.0025001285</v>
      </c>
      <c r="H9" s="13" t="s">
        <v>15</v>
      </c>
      <c r="I9" s="1" t="s">
        <v>10</v>
      </c>
      <c r="J9" s="1" t="s">
        <v>11</v>
      </c>
      <c r="K9" s="14">
        <v>0</v>
      </c>
      <c r="L9" s="16">
        <v>2750504.5778002595</v>
      </c>
      <c r="M9" s="15">
        <f>L9-K9</f>
        <v>2750504.5778002595</v>
      </c>
      <c r="O9" s="17">
        <f t="shared" si="2"/>
        <v>-215786.42469986901</v>
      </c>
      <c r="P9" s="12"/>
    </row>
    <row r="10" spans="1:16" ht="12.75">
      <c r="A10" s="13" t="s">
        <v>15</v>
      </c>
      <c r="B10" s="1" t="s">
        <v>10</v>
      </c>
      <c r="C10" s="1" t="s">
        <v>14</v>
      </c>
      <c r="D10" s="14">
        <v>658327.92000000004</v>
      </c>
      <c r="E10" s="14">
        <v>2892361.2158898981</v>
      </c>
      <c r="F10" s="15">
        <f t="shared" si="3" ref="F10:F12">E10-D10</f>
        <v>2234033.2958898982</v>
      </c>
      <c r="H10" s="13" t="s">
        <v>15</v>
      </c>
      <c r="I10" s="1" t="s">
        <v>10</v>
      </c>
      <c r="J10" s="1" t="s">
        <v>14</v>
      </c>
      <c r="K10" s="14">
        <v>658327.92000000004</v>
      </c>
      <c r="L10" s="16">
        <v>2709319.3137915693</v>
      </c>
      <c r="M10" s="15">
        <f t="shared" si="4" ref="M10:M12">L10-K10</f>
        <v>2050991.3937915694</v>
      </c>
      <c r="O10" s="17">
        <f t="shared" si="2"/>
        <v>-183041.90209832881</v>
      </c>
      <c r="P10" s="12"/>
    </row>
    <row r="11" spans="1:16" ht="12.75">
      <c r="A11" s="13" t="s">
        <v>15</v>
      </c>
      <c r="B11" s="1" t="s">
        <v>13</v>
      </c>
      <c r="C11" s="1" t="s">
        <v>11</v>
      </c>
      <c r="D11" s="14">
        <v>0</v>
      </c>
      <c r="E11" s="14">
        <v>1103152.8825243623</v>
      </c>
      <c r="F11" s="15">
        <f t="shared" si="3"/>
        <v>1103152.8825243623</v>
      </c>
      <c r="H11" s="13" t="s">
        <v>15</v>
      </c>
      <c r="I11" s="1" t="s">
        <v>13</v>
      </c>
      <c r="J11" s="1" t="s">
        <v>11</v>
      </c>
      <c r="K11" s="14">
        <v>0</v>
      </c>
      <c r="L11" s="16">
        <v>1171934.0094407599</v>
      </c>
      <c r="M11" s="15">
        <f t="shared" si="4"/>
        <v>1171934.0094407599</v>
      </c>
      <c r="O11" s="17">
        <f t="shared" si="2"/>
        <v>68781.126916397596</v>
      </c>
      <c r="P11" s="12"/>
    </row>
    <row r="12" spans="1:15" ht="12.75">
      <c r="A12" s="18" t="s">
        <v>15</v>
      </c>
      <c r="B12" s="19" t="s">
        <v>13</v>
      </c>
      <c r="C12" s="19" t="s">
        <v>14</v>
      </c>
      <c r="D12" s="20">
        <v>0</v>
      </c>
      <c r="E12" s="20">
        <v>0</v>
      </c>
      <c r="F12" s="21">
        <f t="shared" si="3"/>
        <v>0</v>
      </c>
      <c r="H12" s="18" t="s">
        <v>15</v>
      </c>
      <c r="I12" s="19" t="s">
        <v>13</v>
      </c>
      <c r="J12" s="19" t="s">
        <v>14</v>
      </c>
      <c r="K12" s="20">
        <v>0</v>
      </c>
      <c r="L12" s="22">
        <v>0</v>
      </c>
      <c r="M12" s="21">
        <f t="shared" si="4"/>
        <v>0</v>
      </c>
      <c r="O12" s="23">
        <f t="shared" si="2"/>
        <v>0</v>
      </c>
    </row>
    <row r="13" spans="4:15" ht="13.5" thickBot="1">
      <c r="D13" s="24">
        <f>SUM(D5:D12)</f>
        <v>26839546.080000002</v>
      </c>
      <c r="E13" s="24">
        <f>SUM(E5:E12)</f>
        <v>53392558.940768898</v>
      </c>
      <c r="F13" s="24">
        <f>SUM(F5:F12)</f>
        <v>26553012.860768888</v>
      </c>
      <c r="K13" s="24">
        <f>SUM(K5:K12)</f>
        <v>26839546.080000002</v>
      </c>
      <c r="L13" s="24">
        <f>SUM(L5:L12)</f>
        <v>51914620.396505915</v>
      </c>
      <c r="M13" s="24">
        <f>SUM(M5:M12)</f>
        <v>25075074.31650592</v>
      </c>
      <c r="O13" s="24">
        <f>SUM(O5:O12)</f>
        <v>-1477938.544262965</v>
      </c>
    </row>
    <row r="14" spans="7:18" ht="13.5" thickTop="1">
      <c r="G14" s="1" t="s">
        <v>16</v>
      </c>
      <c r="N14" s="1" t="s">
        <v>16</v>
      </c>
      <c r="P14" s="1" t="s">
        <v>16</v>
      </c>
      <c r="R14" s="1" t="s">
        <v>17</v>
      </c>
    </row>
    <row r="15" spans="4:18" ht="12.75">
      <c r="D15" s="1" t="s">
        <v>18</v>
      </c>
      <c r="F15" s="12">
        <f>F5+F6+F9</f>
        <v>704580.67639356898</v>
      </c>
      <c r="G15" s="12">
        <f>F15/12</f>
        <v>58715.056366130746</v>
      </c>
      <c r="K15" s="1" t="s">
        <v>18</v>
      </c>
      <c r="M15" s="12">
        <f>M5+M6+M9</f>
        <v>-146853.92784736631</v>
      </c>
      <c r="N15" s="12">
        <f>M15/12</f>
        <v>-12237.82732061386</v>
      </c>
      <c r="O15" s="12">
        <f>O5+O6+O9</f>
        <v>-851434.60424093553</v>
      </c>
      <c r="P15" s="12">
        <f>O15/12</f>
        <v>-70952.883686744623</v>
      </c>
      <c r="R15" s="12">
        <f>M15-F15</f>
        <v>-851434.6042409353</v>
      </c>
    </row>
    <row r="16" spans="4:18" ht="12.75">
      <c r="D16" s="1" t="s">
        <v>13</v>
      </c>
      <c r="F16" s="12">
        <f>F7+F11</f>
        <v>23546687.432524368</v>
      </c>
      <c r="G16" s="12">
        <f>F16/12</f>
        <v>1962223.952710364</v>
      </c>
      <c r="K16" s="1" t="s">
        <v>13</v>
      </c>
      <c r="M16" s="25">
        <f>M7+M11</f>
        <v>23256688.89782301</v>
      </c>
      <c r="N16" s="12">
        <f>M16/12</f>
        <v>1938057.4081519174</v>
      </c>
      <c r="O16" s="12">
        <f>O7+O11</f>
        <v>-289998.53470135829</v>
      </c>
      <c r="P16" s="12">
        <f>O16/12</f>
        <v>-24166.544558446523</v>
      </c>
      <c r="R16" s="12">
        <f>M16-F16</f>
        <v>-289998.53470135853</v>
      </c>
    </row>
    <row r="17" spans="4:18" ht="13.5" thickBot="1">
      <c r="D17" s="1" t="s">
        <v>19</v>
      </c>
      <c r="F17" s="26">
        <f>SUM(F15:F16)</f>
        <v>24251268.108917937</v>
      </c>
      <c r="K17" s="1" t="s">
        <v>20</v>
      </c>
      <c r="M17" s="26">
        <f>SUM(M15:M16)</f>
        <v>23109834.969975643</v>
      </c>
      <c r="O17" s="26">
        <f>SUM(O15:O16)</f>
        <v>-1141433.1389422938</v>
      </c>
      <c r="P17" s="12">
        <f>SUM(P15:P16)</f>
        <v>-95119.428245191142</v>
      </c>
      <c r="R17" s="12">
        <f>M17-F17</f>
        <v>-1141433.1389422938</v>
      </c>
    </row>
    <row r="18" ht="13.5" thickTop="1"/>
    <row r="19" spans="4:11" ht="12.75">
      <c r="D19" s="1" t="s">
        <v>21</v>
      </c>
      <c r="K19" s="1" t="s">
        <v>21</v>
      </c>
    </row>
    <row r="20" spans="4:18" ht="12.75">
      <c r="D20" s="1" t="s">
        <v>14</v>
      </c>
      <c r="F20" s="12">
        <f>F8+F10+F12</f>
        <v>2301744.7518509515</v>
      </c>
      <c r="K20" s="1" t="s">
        <v>14</v>
      </c>
      <c r="M20" s="12">
        <f>M8+M10+M12</f>
        <v>1965239.3465302801</v>
      </c>
      <c r="O20" s="12">
        <f>O8+O10+O12</f>
        <v>-336505.40532067115</v>
      </c>
      <c r="R20" s="12">
        <f>M20-F20</f>
        <v>-336505.40532067139</v>
      </c>
    </row>
    <row r="21" spans="6:15" ht="12.75">
      <c r="F21" s="12">
        <f>F17+F20</f>
        <v>26553012.860768888</v>
      </c>
      <c r="M21" s="12">
        <f>M17+M20</f>
        <v>25075074.316505924</v>
      </c>
      <c r="O21" s="12">
        <f>O17+O20</f>
        <v>-1477938.544262965</v>
      </c>
    </row>
    <row r="22" ht="12.75">
      <c r="A22" s="1" t="s">
        <v>22</v>
      </c>
    </row>
    <row r="25" s="27" customFormat="1" ht="12.75"/>
    <row r="26" spans="22:43" ht="12.75">
      <c r="V26" s="72">
        <v>2022</v>
      </c>
      <c r="W26" s="72"/>
      <c r="X26" s="72"/>
      <c r="Y26" s="72"/>
      <c r="Z26" s="72"/>
      <c r="AN26" s="72">
        <v>2023</v>
      </c>
      <c r="AO26" s="72"/>
      <c r="AP26" s="72"/>
      <c r="AQ26" s="72"/>
    </row>
    <row r="27" spans="5:43" ht="12.75">
      <c r="E27" s="28" t="s">
        <v>23</v>
      </c>
      <c r="I27" s="29">
        <v>44531</v>
      </c>
      <c r="J27" s="29">
        <f>I27+31</f>
        <v>44562</v>
      </c>
      <c r="K27" s="29">
        <f t="shared" si="5" ref="K27:U27">J27+31</f>
        <v>44593</v>
      </c>
      <c r="L27" s="29">
        <f t="shared" si="5"/>
        <v>44624</v>
      </c>
      <c r="M27" s="29">
        <f t="shared" si="5"/>
        <v>44655</v>
      </c>
      <c r="N27" s="29">
        <f t="shared" si="5"/>
        <v>44686</v>
      </c>
      <c r="O27" s="29">
        <f t="shared" si="5"/>
        <v>44717</v>
      </c>
      <c r="P27" s="29">
        <f t="shared" si="5"/>
        <v>44748</v>
      </c>
      <c r="Q27" s="29">
        <f t="shared" si="5"/>
        <v>44779</v>
      </c>
      <c r="R27" s="29">
        <f t="shared" si="5"/>
        <v>44810</v>
      </c>
      <c r="S27" s="29">
        <f t="shared" si="5"/>
        <v>44841</v>
      </c>
      <c r="T27" s="29">
        <f t="shared" si="5"/>
        <v>44872</v>
      </c>
      <c r="U27" s="29">
        <f t="shared" si="5"/>
        <v>44903</v>
      </c>
      <c r="V27" s="4" t="s">
        <v>24</v>
      </c>
      <c r="W27" s="70" t="s">
        <v>62</v>
      </c>
      <c r="X27" s="4" t="s">
        <v>25</v>
      </c>
      <c r="Y27" s="4" t="s">
        <v>26</v>
      </c>
      <c r="Z27" s="4" t="s">
        <v>27</v>
      </c>
      <c r="AB27" s="30">
        <v>44934</v>
      </c>
      <c r="AC27" s="30">
        <v>44965</v>
      </c>
      <c r="AD27" s="30">
        <v>44996</v>
      </c>
      <c r="AE27" s="30">
        <v>45027</v>
      </c>
      <c r="AF27" s="30">
        <v>45058</v>
      </c>
      <c r="AG27" s="30">
        <v>45089</v>
      </c>
      <c r="AH27" s="30">
        <v>45120</v>
      </c>
      <c r="AI27" s="30">
        <v>45151</v>
      </c>
      <c r="AJ27" s="30">
        <v>45182</v>
      </c>
      <c r="AK27" s="30">
        <v>45213</v>
      </c>
      <c r="AL27" s="30">
        <v>45244</v>
      </c>
      <c r="AM27" s="30">
        <v>45275</v>
      </c>
      <c r="AN27" s="4" t="s">
        <v>24</v>
      </c>
      <c r="AO27" s="4" t="s">
        <v>28</v>
      </c>
      <c r="AP27" s="4" t="s">
        <v>26</v>
      </c>
      <c r="AQ27" s="4" t="s">
        <v>29</v>
      </c>
    </row>
    <row r="28" spans="2:43" ht="12.75">
      <c r="B28" s="28" t="s">
        <v>30</v>
      </c>
      <c r="E28" s="28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4"/>
      <c r="W28" s="4"/>
      <c r="X28" s="4"/>
      <c r="Y28" s="4"/>
      <c r="Z28" s="4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4"/>
      <c r="AO28" s="4"/>
      <c r="AP28" s="4"/>
      <c r="AQ28" s="4"/>
    </row>
    <row r="29" spans="1:43" s="37" customFormat="1" ht="15">
      <c r="A29" s="32"/>
      <c r="B29" s="33" t="s">
        <v>31</v>
      </c>
      <c r="C29" s="34"/>
      <c r="D29" s="34"/>
      <c r="E29" s="34">
        <v>403</v>
      </c>
      <c r="F29" s="35" t="s">
        <v>32</v>
      </c>
      <c r="G29" s="36" t="s">
        <v>33</v>
      </c>
      <c r="J29" s="38">
        <f>N15</f>
        <v>-12237.82732061386</v>
      </c>
      <c r="K29" s="38">
        <f>+J29</f>
        <v>-12237.82732061386</v>
      </c>
      <c r="L29" s="38">
        <f t="shared" si="6" ref="L29:U30">+K29</f>
        <v>-12237.82732061386</v>
      </c>
      <c r="M29" s="38">
        <f t="shared" si="6"/>
        <v>-12237.82732061386</v>
      </c>
      <c r="N29" s="38">
        <f t="shared" si="6"/>
        <v>-12237.82732061386</v>
      </c>
      <c r="O29" s="38">
        <f t="shared" si="6"/>
        <v>-12237.82732061386</v>
      </c>
      <c r="P29" s="38">
        <f t="shared" si="6"/>
        <v>-12237.82732061386</v>
      </c>
      <c r="Q29" s="38">
        <f t="shared" si="6"/>
        <v>-12237.82732061386</v>
      </c>
      <c r="R29" s="38">
        <f t="shared" si="6"/>
        <v>-12237.82732061386</v>
      </c>
      <c r="S29" s="38">
        <f t="shared" si="6"/>
        <v>-12237.82732061386</v>
      </c>
      <c r="T29" s="38">
        <f t="shared" si="6"/>
        <v>-12237.82732061386</v>
      </c>
      <c r="U29" s="38">
        <f t="shared" si="6"/>
        <v>-12237.82732061386</v>
      </c>
      <c r="V29" s="39">
        <f>SUM(J29:U29)</f>
        <v>-146853.92784736631</v>
      </c>
      <c r="W29" s="39"/>
      <c r="Y29" s="40">
        <v>0.9589622270905005</v>
      </c>
      <c r="Z29" s="41">
        <f>Y29*V29</f>
        <v>-140827.36970549807</v>
      </c>
      <c r="AA29" s="41"/>
      <c r="AB29" s="38">
        <f>+U29</f>
        <v>-12237.82732061386</v>
      </c>
      <c r="AC29" s="38">
        <f>+AB29</f>
        <v>-12237.82732061386</v>
      </c>
      <c r="AD29" s="38">
        <f t="shared" si="7" ref="AD29:AM30">+AC29</f>
        <v>-12237.82732061386</v>
      </c>
      <c r="AE29" s="38">
        <f t="shared" si="7"/>
        <v>-12237.82732061386</v>
      </c>
      <c r="AF29" s="38">
        <f t="shared" si="7"/>
        <v>-12237.82732061386</v>
      </c>
      <c r="AG29" s="38">
        <f t="shared" si="7"/>
        <v>-12237.82732061386</v>
      </c>
      <c r="AH29" s="38">
        <f t="shared" si="7"/>
        <v>-12237.82732061386</v>
      </c>
      <c r="AI29" s="38">
        <f t="shared" si="7"/>
        <v>-12237.82732061386</v>
      </c>
      <c r="AJ29" s="38">
        <f t="shared" si="7"/>
        <v>-12237.82732061386</v>
      </c>
      <c r="AK29" s="38">
        <f t="shared" si="7"/>
        <v>-12237.82732061386</v>
      </c>
      <c r="AL29" s="38">
        <f t="shared" si="7"/>
        <v>-12237.82732061386</v>
      </c>
      <c r="AM29" s="38">
        <f t="shared" si="7"/>
        <v>-12237.82732061386</v>
      </c>
      <c r="AN29" s="38">
        <f>SUM(AB29:AM29)</f>
        <v>-146853.92784736631</v>
      </c>
      <c r="AP29" s="40">
        <v>0.95885269951527552</v>
      </c>
      <c r="AQ29" s="38">
        <f>AN29*AP29</f>
        <v>-140811.28515086867</v>
      </c>
    </row>
    <row r="30" spans="1:43" s="37" customFormat="1" ht="15">
      <c r="A30" s="42"/>
      <c r="B30" s="33" t="s">
        <v>34</v>
      </c>
      <c r="C30" s="34"/>
      <c r="D30" s="34"/>
      <c r="E30" s="34">
        <v>403</v>
      </c>
      <c r="F30" s="35" t="s">
        <v>32</v>
      </c>
      <c r="G30" s="36" t="s">
        <v>35</v>
      </c>
      <c r="J30" s="43">
        <f>N16</f>
        <v>1938057.4081519174</v>
      </c>
      <c r="K30" s="43">
        <f>+J30</f>
        <v>1938057.4081519174</v>
      </c>
      <c r="L30" s="43">
        <f t="shared" si="6"/>
        <v>1938057.4081519174</v>
      </c>
      <c r="M30" s="43">
        <f t="shared" si="6"/>
        <v>1938057.4081519174</v>
      </c>
      <c r="N30" s="43">
        <f t="shared" si="6"/>
        <v>1938057.4081519174</v>
      </c>
      <c r="O30" s="43">
        <f t="shared" si="6"/>
        <v>1938057.4081519174</v>
      </c>
      <c r="P30" s="43">
        <f t="shared" si="6"/>
        <v>1938057.4081519174</v>
      </c>
      <c r="Q30" s="43">
        <f t="shared" si="6"/>
        <v>1938057.4081519174</v>
      </c>
      <c r="R30" s="43">
        <f t="shared" si="6"/>
        <v>1938057.4081519174</v>
      </c>
      <c r="S30" s="43">
        <f t="shared" si="6"/>
        <v>1938057.4081519174</v>
      </c>
      <c r="T30" s="43">
        <f t="shared" si="6"/>
        <v>1938057.4081519174</v>
      </c>
      <c r="U30" s="43">
        <f t="shared" si="6"/>
        <v>1938057.4081519174</v>
      </c>
      <c r="V30" s="43">
        <f t="shared" si="8" ref="V30">SUM(J30:U30)</f>
        <v>23256688.89782301</v>
      </c>
      <c r="W30" s="68"/>
      <c r="X30" s="41"/>
      <c r="Y30" s="40">
        <v>0.95540350265701879</v>
      </c>
      <c r="Z30" s="44">
        <f>Y30*V30</f>
        <v>22219522.033184703</v>
      </c>
      <c r="AA30" s="41"/>
      <c r="AB30" s="45">
        <f>+U30</f>
        <v>1938057.4081519174</v>
      </c>
      <c r="AC30" s="45">
        <f>+AB30</f>
        <v>1938057.4081519174</v>
      </c>
      <c r="AD30" s="45">
        <f t="shared" si="7"/>
        <v>1938057.4081519174</v>
      </c>
      <c r="AE30" s="45">
        <f t="shared" si="7"/>
        <v>1938057.4081519174</v>
      </c>
      <c r="AF30" s="45">
        <f t="shared" si="7"/>
        <v>1938057.4081519174</v>
      </c>
      <c r="AG30" s="45">
        <f t="shared" si="7"/>
        <v>1938057.4081519174</v>
      </c>
      <c r="AH30" s="45">
        <f t="shared" si="7"/>
        <v>1938057.4081519174</v>
      </c>
      <c r="AI30" s="45">
        <f t="shared" si="7"/>
        <v>1938057.4081519174</v>
      </c>
      <c r="AJ30" s="45">
        <f t="shared" si="7"/>
        <v>1938057.4081519174</v>
      </c>
      <c r="AK30" s="45">
        <f t="shared" si="7"/>
        <v>1938057.4081519174</v>
      </c>
      <c r="AL30" s="45">
        <f t="shared" si="7"/>
        <v>1938057.4081519174</v>
      </c>
      <c r="AM30" s="45">
        <f t="shared" si="7"/>
        <v>1938057.4081519174</v>
      </c>
      <c r="AN30" s="43">
        <f>SUM(AB30:AM30)</f>
        <v>23256688.89782301</v>
      </c>
      <c r="AP30" s="40">
        <v>0.9551509416993974</v>
      </c>
      <c r="AQ30" s="43">
        <f>AN30*AP30</f>
        <v>22213648.301565569</v>
      </c>
    </row>
    <row r="31" spans="1:43" s="37" customFormat="1" ht="12.75">
      <c r="A31" s="42"/>
      <c r="B31" s="33" t="s">
        <v>36</v>
      </c>
      <c r="C31" s="34"/>
      <c r="D31" s="34"/>
      <c r="E31" s="34"/>
      <c r="F31" s="35"/>
      <c r="G31" s="35"/>
      <c r="I31" s="35"/>
      <c r="J31" s="38">
        <f t="shared" si="9" ref="J31:Z31">SUM(J29:J30)</f>
        <v>1925819.5808313035</v>
      </c>
      <c r="K31" s="38">
        <f t="shared" si="9"/>
        <v>1925819.5808313035</v>
      </c>
      <c r="L31" s="38">
        <f t="shared" si="9"/>
        <v>1925819.5808313035</v>
      </c>
      <c r="M31" s="38">
        <f t="shared" si="9"/>
        <v>1925819.5808313035</v>
      </c>
      <c r="N31" s="38">
        <f t="shared" si="9"/>
        <v>1925819.5808313035</v>
      </c>
      <c r="O31" s="38">
        <f t="shared" si="9"/>
        <v>1925819.5808313035</v>
      </c>
      <c r="P31" s="38">
        <f t="shared" si="9"/>
        <v>1925819.5808313035</v>
      </c>
      <c r="Q31" s="38">
        <f t="shared" si="9"/>
        <v>1925819.5808313035</v>
      </c>
      <c r="R31" s="38">
        <f t="shared" si="9"/>
        <v>1925819.5808313035</v>
      </c>
      <c r="S31" s="38">
        <f t="shared" si="9"/>
        <v>1925819.5808313035</v>
      </c>
      <c r="T31" s="38">
        <f t="shared" si="9"/>
        <v>1925819.5808313035</v>
      </c>
      <c r="U31" s="38">
        <f t="shared" si="9"/>
        <v>1925819.5808313035</v>
      </c>
      <c r="V31" s="38">
        <f t="shared" si="9"/>
        <v>23109834.969975643</v>
      </c>
      <c r="W31" s="69" t="s">
        <v>63</v>
      </c>
      <c r="X31" s="41"/>
      <c r="Y31" s="35"/>
      <c r="Z31" s="38">
        <f t="shared" si="9"/>
        <v>22078694.663479205</v>
      </c>
      <c r="AA31" s="38"/>
      <c r="AB31" s="38">
        <f t="shared" si="10" ref="AB31:AN31">SUM(AB29:AB30)</f>
        <v>1925819.5808313035</v>
      </c>
      <c r="AC31" s="38">
        <f t="shared" si="10"/>
        <v>1925819.5808313035</v>
      </c>
      <c r="AD31" s="38">
        <f t="shared" si="10"/>
        <v>1925819.5808313035</v>
      </c>
      <c r="AE31" s="38">
        <f t="shared" si="10"/>
        <v>1925819.5808313035</v>
      </c>
      <c r="AF31" s="38">
        <f t="shared" si="10"/>
        <v>1925819.5808313035</v>
      </c>
      <c r="AG31" s="38">
        <f t="shared" si="10"/>
        <v>1925819.5808313035</v>
      </c>
      <c r="AH31" s="38">
        <f t="shared" si="10"/>
        <v>1925819.5808313035</v>
      </c>
      <c r="AI31" s="38">
        <f t="shared" si="10"/>
        <v>1925819.5808313035</v>
      </c>
      <c r="AJ31" s="38">
        <f t="shared" si="10"/>
        <v>1925819.5808313035</v>
      </c>
      <c r="AK31" s="38">
        <f t="shared" si="10"/>
        <v>1925819.5808313035</v>
      </c>
      <c r="AL31" s="38">
        <f t="shared" si="10"/>
        <v>1925819.5808313035</v>
      </c>
      <c r="AM31" s="38">
        <f>SUM(AM29:AM30)</f>
        <v>1925819.5808313035</v>
      </c>
      <c r="AN31" s="38">
        <f t="shared" si="10"/>
        <v>23109834.969975643</v>
      </c>
      <c r="AO31" s="41"/>
      <c r="AQ31" s="38">
        <f>SUM(AQ29:AQ30)</f>
        <v>22072837.016414702</v>
      </c>
    </row>
    <row r="32" spans="1:41" s="37" customFormat="1" ht="12.75">
      <c r="A32" s="42"/>
      <c r="B32" s="33"/>
      <c r="C32" s="34"/>
      <c r="D32" s="34"/>
      <c r="E32" s="34"/>
      <c r="F32" s="35"/>
      <c r="G32" s="35"/>
      <c r="I32" s="35"/>
      <c r="V32" s="46"/>
      <c r="W32" s="46"/>
      <c r="X32" s="41"/>
      <c r="Y32" s="35"/>
      <c r="AN32" s="46"/>
      <c r="AO32" s="41"/>
    </row>
    <row r="33" spans="1:43" s="37" customFormat="1" ht="15">
      <c r="A33" s="42"/>
      <c r="B33" s="33" t="s">
        <v>37</v>
      </c>
      <c r="C33" s="34"/>
      <c r="D33" s="34"/>
      <c r="E33" s="34">
        <v>108</v>
      </c>
      <c r="F33" s="35" t="s">
        <v>38</v>
      </c>
      <c r="G33" s="36" t="s">
        <v>39</v>
      </c>
      <c r="I33" s="47">
        <v>0</v>
      </c>
      <c r="J33" s="48">
        <f>-J29</f>
        <v>12237.82732061386</v>
      </c>
      <c r="K33" s="48">
        <f>J33-K29</f>
        <v>24475.65464122772</v>
      </c>
      <c r="L33" s="48">
        <f t="shared" si="11" ref="L33:U33">K33-L29</f>
        <v>36713.481961841579</v>
      </c>
      <c r="M33" s="48">
        <f t="shared" si="11"/>
        <v>48951.309282455441</v>
      </c>
      <c r="N33" s="48">
        <f t="shared" si="11"/>
        <v>61189.136603069303</v>
      </c>
      <c r="O33" s="48">
        <f t="shared" si="11"/>
        <v>73426.963923683157</v>
      </c>
      <c r="P33" s="48">
        <f t="shared" si="11"/>
        <v>85664.791244297012</v>
      </c>
      <c r="Q33" s="48">
        <f t="shared" si="11"/>
        <v>97902.618564910867</v>
      </c>
      <c r="R33" s="48">
        <f t="shared" si="11"/>
        <v>110140.44588552472</v>
      </c>
      <c r="S33" s="48">
        <f t="shared" si="11"/>
        <v>122378.27320613858</v>
      </c>
      <c r="T33" s="48">
        <f t="shared" si="11"/>
        <v>134616.10052675245</v>
      </c>
      <c r="U33" s="48">
        <f t="shared" si="11"/>
        <v>146853.92784736631</v>
      </c>
      <c r="V33" s="35"/>
      <c r="W33" s="35"/>
      <c r="X33" s="39">
        <f>SUM(I33:U33)/13</f>
        <v>73426.963923683157</v>
      </c>
      <c r="Y33" s="49">
        <v>0.9589622270905005</v>
      </c>
      <c r="Z33" s="41">
        <f>Y33*X33</f>
        <v>70413.684852749037</v>
      </c>
      <c r="AB33" s="48">
        <f>+U33-AB29</f>
        <v>159091.75516798018</v>
      </c>
      <c r="AC33" s="48">
        <f t="shared" si="12" ref="AC33:AL34">+AB33-AC29</f>
        <v>171329.58248859405</v>
      </c>
      <c r="AD33" s="48">
        <f t="shared" si="12"/>
        <v>183567.40980920792</v>
      </c>
      <c r="AE33" s="48">
        <f t="shared" si="12"/>
        <v>195805.23712982179</v>
      </c>
      <c r="AF33" s="48">
        <f t="shared" si="12"/>
        <v>208043.06445043566</v>
      </c>
      <c r="AG33" s="48">
        <f t="shared" si="12"/>
        <v>220280.89177104953</v>
      </c>
      <c r="AH33" s="48">
        <f t="shared" si="12"/>
        <v>232518.7190916634</v>
      </c>
      <c r="AI33" s="48">
        <f t="shared" si="12"/>
        <v>244756.54641227727</v>
      </c>
      <c r="AJ33" s="48">
        <f t="shared" si="12"/>
        <v>256994.37373289114</v>
      </c>
      <c r="AK33" s="48">
        <f t="shared" si="12"/>
        <v>269232.20105350501</v>
      </c>
      <c r="AL33" s="48">
        <f t="shared" si="12"/>
        <v>281470.02837411885</v>
      </c>
      <c r="AM33" s="48">
        <f>+AL33-AJ29</f>
        <v>293707.85569473269</v>
      </c>
      <c r="AN33" s="35"/>
      <c r="AO33" s="38">
        <f>(U33+SUM(AB33:AM33))/13</f>
        <v>220280.8917710495</v>
      </c>
      <c r="AP33" s="40">
        <v>0.95885269951527552</v>
      </c>
      <c r="AQ33" s="38">
        <f>AO33*AP33</f>
        <v>211216.92772630305</v>
      </c>
    </row>
    <row r="34" spans="1:43" s="37" customFormat="1" ht="15">
      <c r="A34" s="42"/>
      <c r="B34" s="33" t="s">
        <v>40</v>
      </c>
      <c r="C34" s="34"/>
      <c r="D34" s="34"/>
      <c r="E34" s="34">
        <v>108</v>
      </c>
      <c r="F34" s="35" t="s">
        <v>38</v>
      </c>
      <c r="G34" s="36" t="s">
        <v>41</v>
      </c>
      <c r="I34" s="43">
        <v>0</v>
      </c>
      <c r="J34" s="43">
        <f>-J30</f>
        <v>-1938057.4081519174</v>
      </c>
      <c r="K34" s="43">
        <f t="shared" si="13" ref="K34:U34">J34-K30</f>
        <v>-3876114.8163038348</v>
      </c>
      <c r="L34" s="43">
        <f t="shared" si="13"/>
        <v>-5814172.2244557524</v>
      </c>
      <c r="M34" s="43">
        <f t="shared" si="13"/>
        <v>-7752229.6326076696</v>
      </c>
      <c r="N34" s="43">
        <f t="shared" si="13"/>
        <v>-9690287.0407595877</v>
      </c>
      <c r="O34" s="43">
        <f t="shared" si="13"/>
        <v>-11628344.448911505</v>
      </c>
      <c r="P34" s="43">
        <f t="shared" si="13"/>
        <v>-13566401.857063422</v>
      </c>
      <c r="Q34" s="43">
        <f t="shared" si="13"/>
        <v>-15504459.265215339</v>
      </c>
      <c r="R34" s="43">
        <f t="shared" si="13"/>
        <v>-17442516.673367258</v>
      </c>
      <c r="S34" s="43">
        <f t="shared" si="13"/>
        <v>-19380574.081519175</v>
      </c>
      <c r="T34" s="43">
        <f t="shared" si="13"/>
        <v>-21318631.489671092</v>
      </c>
      <c r="U34" s="43">
        <f t="shared" si="13"/>
        <v>-23256688.89782301</v>
      </c>
      <c r="V34" s="38"/>
      <c r="W34" s="38"/>
      <c r="X34" s="43">
        <f>SUM(I34:U34)/13</f>
        <v>-11628344.448911507</v>
      </c>
      <c r="Y34" s="49">
        <v>0.95540350265701879</v>
      </c>
      <c r="Z34" s="44">
        <f>Y34*X34</f>
        <v>-11109761.016592354</v>
      </c>
      <c r="AB34" s="45">
        <f>+U34-AB30</f>
        <v>-25194746.305974927</v>
      </c>
      <c r="AC34" s="45">
        <f t="shared" si="12"/>
        <v>-27132803.714126844</v>
      </c>
      <c r="AD34" s="45">
        <f t="shared" si="12"/>
        <v>-29070861.122278761</v>
      </c>
      <c r="AE34" s="45">
        <f t="shared" si="12"/>
        <v>-31008918.530430678</v>
      </c>
      <c r="AF34" s="45">
        <f t="shared" si="12"/>
        <v>-32946975.938582595</v>
      </c>
      <c r="AG34" s="45">
        <f t="shared" si="12"/>
        <v>-34885033.346734516</v>
      </c>
      <c r="AH34" s="45">
        <f t="shared" si="12"/>
        <v>-36823090.754886433</v>
      </c>
      <c r="AI34" s="45">
        <f t="shared" si="12"/>
        <v>-38761148.163038351</v>
      </c>
      <c r="AJ34" s="45">
        <f t="shared" si="12"/>
        <v>-40699205.571190268</v>
      </c>
      <c r="AK34" s="45">
        <f t="shared" si="12"/>
        <v>-42637262.979342185</v>
      </c>
      <c r="AL34" s="45">
        <f t="shared" si="12"/>
        <v>-44575320.387494102</v>
      </c>
      <c r="AM34" s="45">
        <f>+AL34-AJ30</f>
        <v>-46513377.795646019</v>
      </c>
      <c r="AN34" s="35"/>
      <c r="AO34" s="45">
        <f>(U34+SUM(AB34:AM34))/13</f>
        <v>-34885033.346734516</v>
      </c>
      <c r="AP34" s="49">
        <v>0.9551509416993974</v>
      </c>
      <c r="AQ34" s="43">
        <f>AO34*AP34</f>
        <v>-33320472.452348355</v>
      </c>
    </row>
    <row r="35" spans="1:43" s="37" customFormat="1" ht="12.75">
      <c r="A35" s="42"/>
      <c r="B35" s="33" t="s">
        <v>36</v>
      </c>
      <c r="C35" s="34"/>
      <c r="D35" s="34"/>
      <c r="E35" s="34"/>
      <c r="F35" s="35"/>
      <c r="G35" s="35"/>
      <c r="I35" s="50">
        <f t="shared" si="14" ref="I35:U35">SUM(I33:I34)</f>
        <v>0</v>
      </c>
      <c r="J35" s="38">
        <f t="shared" si="14"/>
        <v>-1925819.5808313035</v>
      </c>
      <c r="K35" s="38">
        <f t="shared" si="14"/>
        <v>-3851639.161662607</v>
      </c>
      <c r="L35" s="38">
        <f t="shared" si="14"/>
        <v>-5777458.7424939107</v>
      </c>
      <c r="M35" s="38">
        <f t="shared" si="14"/>
        <v>-7703278.323325214</v>
      </c>
      <c r="N35" s="38">
        <f t="shared" si="14"/>
        <v>-9629097.9041565191</v>
      </c>
      <c r="O35" s="38">
        <f t="shared" si="14"/>
        <v>-11554917.484987821</v>
      </c>
      <c r="P35" s="38">
        <f t="shared" si="14"/>
        <v>-13480737.065819126</v>
      </c>
      <c r="Q35" s="38">
        <f t="shared" si="14"/>
        <v>-15406556.646650428</v>
      </c>
      <c r="R35" s="38">
        <f t="shared" si="14"/>
        <v>-17332376.227481734</v>
      </c>
      <c r="S35" s="38">
        <f t="shared" si="14"/>
        <v>-19258195.808313038</v>
      </c>
      <c r="T35" s="38">
        <f t="shared" si="14"/>
        <v>-21184015.389144339</v>
      </c>
      <c r="U35" s="38">
        <f t="shared" si="14"/>
        <v>-23109834.969975643</v>
      </c>
      <c r="V35" s="35"/>
      <c r="W35" s="69" t="s">
        <v>63</v>
      </c>
      <c r="X35" s="38">
        <f t="shared" si="15" ref="X35">SUM(I35:U35)/13</f>
        <v>-11554917.484987823</v>
      </c>
      <c r="Y35" s="35"/>
      <c r="Z35" s="41">
        <f>SUM(Z33:Z34)</f>
        <v>-11039347.331739605</v>
      </c>
      <c r="AA35" s="69"/>
      <c r="AB35" s="48">
        <f>SUM(AB33:AB34)</f>
        <v>-25035654.550806947</v>
      </c>
      <c r="AC35" s="48">
        <f t="shared" si="16" ref="AC35:AL35">SUM(AC33:AC34)</f>
        <v>-26961474.131638251</v>
      </c>
      <c r="AD35" s="48">
        <f t="shared" si="16"/>
        <v>-28887293.712469552</v>
      </c>
      <c r="AE35" s="48">
        <f t="shared" si="16"/>
        <v>-30813113.293300856</v>
      </c>
      <c r="AF35" s="48">
        <f t="shared" si="16"/>
        <v>-32738932.87413216</v>
      </c>
      <c r="AG35" s="48">
        <f t="shared" si="16"/>
        <v>-34664752.454963468</v>
      </c>
      <c r="AH35" s="48">
        <f t="shared" si="16"/>
        <v>-36590572.035794772</v>
      </c>
      <c r="AI35" s="48">
        <f t="shared" si="16"/>
        <v>-38516391.616626076</v>
      </c>
      <c r="AJ35" s="48">
        <f t="shared" si="16"/>
        <v>-40442211.197457373</v>
      </c>
      <c r="AK35" s="48">
        <f t="shared" si="16"/>
        <v>-42368030.778288677</v>
      </c>
      <c r="AL35" s="48">
        <f t="shared" si="16"/>
        <v>-44293850.359119982</v>
      </c>
      <c r="AM35" s="48">
        <f>SUM(AM33:AM34)</f>
        <v>-46219669.939951286</v>
      </c>
      <c r="AN35" s="35"/>
      <c r="AO35" s="48">
        <f>SUM(AO33:AO34)</f>
        <v>-34664752.454963468</v>
      </c>
      <c r="AQ35" s="38">
        <f>SUM(AQ33:AQ34)</f>
        <v>-33109255.524622053</v>
      </c>
    </row>
    <row r="36" spans="1:41" s="37" customFormat="1" ht="12.75">
      <c r="A36" s="42"/>
      <c r="B36" s="33"/>
      <c r="C36" s="34"/>
      <c r="D36" s="34"/>
      <c r="E36" s="34"/>
      <c r="F36" s="35"/>
      <c r="G36" s="35"/>
      <c r="I36" s="50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5"/>
      <c r="W36" s="35"/>
      <c r="X36" s="38"/>
      <c r="Y36" s="35"/>
      <c r="AA36" s="69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35"/>
      <c r="AO36" s="38"/>
    </row>
    <row r="37" spans="1:41" s="37" customFormat="1" ht="12.75">
      <c r="A37" s="42"/>
      <c r="B37" s="73" t="s">
        <v>42</v>
      </c>
      <c r="C37" s="73"/>
      <c r="D37" s="73"/>
      <c r="E37" s="73"/>
      <c r="F37" s="73"/>
      <c r="G37" s="35"/>
      <c r="I37" s="50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5"/>
      <c r="W37" s="35"/>
      <c r="X37" s="38"/>
      <c r="Y37" s="35"/>
      <c r="AA37" s="69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35"/>
      <c r="AO37" s="38"/>
    </row>
    <row r="38" spans="1:43" s="37" customFormat="1" ht="15">
      <c r="A38" s="42"/>
      <c r="B38" s="33" t="s">
        <v>37</v>
      </c>
      <c r="C38" s="34"/>
      <c r="D38" s="34"/>
      <c r="E38" s="34">
        <v>108</v>
      </c>
      <c r="F38" s="35" t="s">
        <v>38</v>
      </c>
      <c r="G38" s="36" t="s">
        <v>43</v>
      </c>
      <c r="I38" s="51">
        <v>0</v>
      </c>
      <c r="J38" s="51">
        <f>'Accumulated - Combined'!L24</f>
        <v>-91434275.267631739</v>
      </c>
      <c r="K38" s="51">
        <f>J38</f>
        <v>-91434275.267631739</v>
      </c>
      <c r="L38" s="51">
        <f t="shared" si="17" ref="L38:U39">K38</f>
        <v>-91434275.267631739</v>
      </c>
      <c r="M38" s="51">
        <f t="shared" si="17"/>
        <v>-91434275.267631739</v>
      </c>
      <c r="N38" s="51">
        <f t="shared" si="17"/>
        <v>-91434275.267631739</v>
      </c>
      <c r="O38" s="51">
        <f t="shared" si="17"/>
        <v>-91434275.267631739</v>
      </c>
      <c r="P38" s="51">
        <f t="shared" si="17"/>
        <v>-91434275.267631739</v>
      </c>
      <c r="Q38" s="51">
        <f t="shared" si="17"/>
        <v>-91434275.267631739</v>
      </c>
      <c r="R38" s="51">
        <f t="shared" si="17"/>
        <v>-91434275.267631739</v>
      </c>
      <c r="S38" s="51">
        <f t="shared" si="17"/>
        <v>-91434275.267631739</v>
      </c>
      <c r="T38" s="51">
        <f t="shared" si="17"/>
        <v>-91434275.267631739</v>
      </c>
      <c r="U38" s="51">
        <f t="shared" si="17"/>
        <v>-91434275.267631739</v>
      </c>
      <c r="V38" s="52"/>
      <c r="W38" s="52"/>
      <c r="X38" s="51">
        <f>SUM(I38:U38)/13</f>
        <v>-84400869.477813929</v>
      </c>
      <c r="Y38" s="49">
        <v>0.9589622270905005</v>
      </c>
      <c r="Z38" s="48">
        <f>X38*Y38</f>
        <v>-80937245.762819096</v>
      </c>
      <c r="AA38" s="69"/>
      <c r="AB38" s="51">
        <f>U38</f>
        <v>-91434275.267631739</v>
      </c>
      <c r="AC38" s="51">
        <f>AB38</f>
        <v>-91434275.267631739</v>
      </c>
      <c r="AD38" s="51">
        <f t="shared" si="18" ref="AD38:AM39">AC38</f>
        <v>-91434275.267631739</v>
      </c>
      <c r="AE38" s="51">
        <f t="shared" si="18"/>
        <v>-91434275.267631739</v>
      </c>
      <c r="AF38" s="51">
        <f t="shared" si="18"/>
        <v>-91434275.267631739</v>
      </c>
      <c r="AG38" s="51">
        <f t="shared" si="18"/>
        <v>-91434275.267631739</v>
      </c>
      <c r="AH38" s="51">
        <f t="shared" si="18"/>
        <v>-91434275.267631739</v>
      </c>
      <c r="AI38" s="51">
        <f t="shared" si="18"/>
        <v>-91434275.267631739</v>
      </c>
      <c r="AJ38" s="51">
        <f t="shared" si="18"/>
        <v>-91434275.267631739</v>
      </c>
      <c r="AK38" s="51">
        <f t="shared" si="18"/>
        <v>-91434275.267631739</v>
      </c>
      <c r="AL38" s="51">
        <f t="shared" si="18"/>
        <v>-91434275.267631739</v>
      </c>
      <c r="AM38" s="51">
        <f t="shared" si="19" ref="AM38">AI38</f>
        <v>-91434275.267631739</v>
      </c>
      <c r="AN38" s="52"/>
      <c r="AO38" s="51">
        <f>(U38+SUM(AB38:AM38))/13</f>
        <v>-91434275.267631754</v>
      </c>
      <c r="AP38" s="40">
        <v>0.95885269951527552</v>
      </c>
      <c r="AQ38" s="51">
        <f>AO38*AP38</f>
        <v>-87672001.668591499</v>
      </c>
    </row>
    <row r="39" spans="1:43" s="37" customFormat="1" ht="15">
      <c r="A39" s="42"/>
      <c r="B39" s="33" t="s">
        <v>40</v>
      </c>
      <c r="C39" s="34"/>
      <c r="D39" s="34"/>
      <c r="E39" s="34">
        <v>108</v>
      </c>
      <c r="F39" s="35" t="s">
        <v>38</v>
      </c>
      <c r="G39" s="36" t="s">
        <v>44</v>
      </c>
      <c r="I39" s="43">
        <v>0</v>
      </c>
      <c r="J39" s="43">
        <f>'Accumulated - Combined'!L25</f>
        <v>107301096.783273</v>
      </c>
      <c r="K39" s="43">
        <f>J39</f>
        <v>107301096.783273</v>
      </c>
      <c r="L39" s="43">
        <f t="shared" si="17"/>
        <v>107301096.783273</v>
      </c>
      <c r="M39" s="43">
        <f t="shared" si="17"/>
        <v>107301096.783273</v>
      </c>
      <c r="N39" s="43">
        <f t="shared" si="17"/>
        <v>107301096.783273</v>
      </c>
      <c r="O39" s="43">
        <f t="shared" si="17"/>
        <v>107301096.783273</v>
      </c>
      <c r="P39" s="43">
        <f t="shared" si="17"/>
        <v>107301096.783273</v>
      </c>
      <c r="Q39" s="43">
        <f t="shared" si="17"/>
        <v>107301096.783273</v>
      </c>
      <c r="R39" s="43">
        <f t="shared" si="17"/>
        <v>107301096.783273</v>
      </c>
      <c r="S39" s="43">
        <f t="shared" si="17"/>
        <v>107301096.783273</v>
      </c>
      <c r="T39" s="43">
        <f t="shared" si="17"/>
        <v>107301096.783273</v>
      </c>
      <c r="U39" s="43">
        <f t="shared" si="17"/>
        <v>107301096.783273</v>
      </c>
      <c r="V39" s="38"/>
      <c r="W39" s="38"/>
      <c r="X39" s="43">
        <f>SUM(I39:U39)/13</f>
        <v>99047166.261482775</v>
      </c>
      <c r="Y39" s="49">
        <v>0.95540350265701879</v>
      </c>
      <c r="Z39" s="44">
        <f>X39*Y39</f>
        <v>94630009.57447274</v>
      </c>
      <c r="AA39" s="69"/>
      <c r="AB39" s="45">
        <f>U39</f>
        <v>107301096.783273</v>
      </c>
      <c r="AC39" s="45">
        <f>AB39</f>
        <v>107301096.783273</v>
      </c>
      <c r="AD39" s="45">
        <f t="shared" si="18"/>
        <v>107301096.783273</v>
      </c>
      <c r="AE39" s="45">
        <f t="shared" si="18"/>
        <v>107301096.783273</v>
      </c>
      <c r="AF39" s="45">
        <f t="shared" si="18"/>
        <v>107301096.783273</v>
      </c>
      <c r="AG39" s="45">
        <f t="shared" si="18"/>
        <v>107301096.783273</v>
      </c>
      <c r="AH39" s="45">
        <f t="shared" si="18"/>
        <v>107301096.783273</v>
      </c>
      <c r="AI39" s="45">
        <f t="shared" si="18"/>
        <v>107301096.783273</v>
      </c>
      <c r="AJ39" s="45">
        <f t="shared" si="18"/>
        <v>107301096.783273</v>
      </c>
      <c r="AK39" s="45">
        <f t="shared" si="18"/>
        <v>107301096.783273</v>
      </c>
      <c r="AL39" s="45">
        <f t="shared" si="18"/>
        <v>107301096.783273</v>
      </c>
      <c r="AM39" s="45">
        <f t="shared" si="18"/>
        <v>107301096.783273</v>
      </c>
      <c r="AN39" s="52"/>
      <c r="AO39" s="43">
        <f>(U39+SUM(AB39:AM39))/13</f>
        <v>107301096.783273</v>
      </c>
      <c r="AP39" s="49">
        <v>0.95515094169939729</v>
      </c>
      <c r="AQ39" s="43">
        <f>AO39*AP39</f>
        <v>102488743.63792138</v>
      </c>
    </row>
    <row r="40" spans="1:43" s="37" customFormat="1" ht="12.75">
      <c r="A40" s="42"/>
      <c r="B40" s="33" t="s">
        <v>36</v>
      </c>
      <c r="C40" s="34"/>
      <c r="D40" s="34"/>
      <c r="E40" s="34"/>
      <c r="F40" s="35"/>
      <c r="G40" s="35"/>
      <c r="I40" s="38">
        <f t="shared" si="20" ref="I40:U40">SUM(I38:I39)</f>
        <v>0</v>
      </c>
      <c r="J40" s="38">
        <f t="shared" si="20"/>
        <v>15866821.515641257</v>
      </c>
      <c r="K40" s="38">
        <f t="shared" si="20"/>
        <v>15866821.515641257</v>
      </c>
      <c r="L40" s="38">
        <f t="shared" si="20"/>
        <v>15866821.515641257</v>
      </c>
      <c r="M40" s="38">
        <f t="shared" si="20"/>
        <v>15866821.515641257</v>
      </c>
      <c r="N40" s="38">
        <f t="shared" si="20"/>
        <v>15866821.515641257</v>
      </c>
      <c r="O40" s="38">
        <f t="shared" si="20"/>
        <v>15866821.515641257</v>
      </c>
      <c r="P40" s="38">
        <f t="shared" si="20"/>
        <v>15866821.515641257</v>
      </c>
      <c r="Q40" s="38">
        <f t="shared" si="20"/>
        <v>15866821.515641257</v>
      </c>
      <c r="R40" s="38">
        <f t="shared" si="20"/>
        <v>15866821.515641257</v>
      </c>
      <c r="S40" s="38">
        <f t="shared" si="20"/>
        <v>15866821.515641257</v>
      </c>
      <c r="T40" s="38">
        <f t="shared" si="20"/>
        <v>15866821.515641257</v>
      </c>
      <c r="U40" s="38">
        <f t="shared" si="20"/>
        <v>15866821.515641257</v>
      </c>
      <c r="V40" s="52"/>
      <c r="W40" s="69" t="s">
        <v>64</v>
      </c>
      <c r="X40" s="38">
        <f t="shared" si="21" ref="X40">SUM(I40:U40)/13</f>
        <v>14646296.783668857</v>
      </c>
      <c r="Y40" s="35"/>
      <c r="Z40" s="41">
        <f>SUM(Z38:Z39)</f>
        <v>13692763.811653644</v>
      </c>
      <c r="AA40" s="69"/>
      <c r="AB40" s="48">
        <f>SUM(AB38:AB39)</f>
        <v>15866821.515641257</v>
      </c>
      <c r="AC40" s="48">
        <f t="shared" si="22" ref="AC40:AL40">SUM(AC38:AC39)</f>
        <v>15866821.515641257</v>
      </c>
      <c r="AD40" s="48">
        <f t="shared" si="22"/>
        <v>15866821.515641257</v>
      </c>
      <c r="AE40" s="48">
        <f t="shared" si="22"/>
        <v>15866821.515641257</v>
      </c>
      <c r="AF40" s="48">
        <f t="shared" si="22"/>
        <v>15866821.515641257</v>
      </c>
      <c r="AG40" s="48">
        <f t="shared" si="22"/>
        <v>15866821.515641257</v>
      </c>
      <c r="AH40" s="48">
        <f t="shared" si="22"/>
        <v>15866821.515641257</v>
      </c>
      <c r="AI40" s="48">
        <f t="shared" si="22"/>
        <v>15866821.515641257</v>
      </c>
      <c r="AJ40" s="48">
        <f t="shared" si="22"/>
        <v>15866821.515641257</v>
      </c>
      <c r="AK40" s="48">
        <f t="shared" si="22"/>
        <v>15866821.515641257</v>
      </c>
      <c r="AL40" s="48">
        <f t="shared" si="22"/>
        <v>15866821.515641257</v>
      </c>
      <c r="AM40" s="48">
        <f>SUM(AM38:AM39)</f>
        <v>15866821.515641257</v>
      </c>
      <c r="AN40" s="52"/>
      <c r="AO40" s="38">
        <f>SUM(AO38:AO39)</f>
        <v>15866821.515641242</v>
      </c>
      <c r="AQ40" s="38">
        <f>SUM(AQ38:AQ39)</f>
        <v>14816741.969329879</v>
      </c>
    </row>
    <row r="41" spans="1:41" s="37" customFormat="1" ht="33.75" customHeight="1">
      <c r="A41" s="42"/>
      <c r="B41" s="33"/>
      <c r="C41" s="34"/>
      <c r="D41" s="34"/>
      <c r="E41" s="34"/>
      <c r="F41" s="35"/>
      <c r="G41" s="35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52"/>
      <c r="W41" s="52"/>
      <c r="X41" s="38"/>
      <c r="Y41" s="35"/>
      <c r="Z41" s="48"/>
      <c r="AA41" s="69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52"/>
      <c r="AO41" s="38"/>
    </row>
    <row r="42" spans="1:41" s="37" customFormat="1" ht="12.75">
      <c r="A42" s="42"/>
      <c r="B42" s="33"/>
      <c r="C42" s="34"/>
      <c r="D42" s="34"/>
      <c r="E42" s="34"/>
      <c r="F42" s="35"/>
      <c r="G42" s="35"/>
      <c r="H42" s="35"/>
      <c r="I42" s="52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51"/>
      <c r="W42" s="51"/>
      <c r="X42" s="71"/>
      <c r="Y42" s="48"/>
      <c r="Z42" s="71"/>
      <c r="AA42" s="71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51"/>
      <c r="AO42" s="48"/>
    </row>
  </sheetData>
  <mergeCells count="5">
    <mergeCell ref="A3:F3"/>
    <mergeCell ref="H3:M3"/>
    <mergeCell ref="V26:Z26"/>
    <mergeCell ref="AN26:AQ26"/>
    <mergeCell ref="B37:F37"/>
  </mergeCells>
  <pageMargins left="0.7" right="0.7" top="0.75" bottom="0.75" header="0.3" footer="0.3"/>
  <pageSetup fitToWidth="2" horizontalDpi="1200" verticalDpi="1200" orientation="landscape" scale="1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5FB3-8220-4258-8DAE-59B8E4AE3415}">
  <sheetPr>
    <pageSetUpPr fitToPage="1"/>
  </sheetPr>
  <dimension ref="A1:Q31"/>
  <sheetViews>
    <sheetView workbookViewId="0" topLeftCell="A1"/>
  </sheetViews>
  <sheetFormatPr defaultColWidth="8.7109375" defaultRowHeight="13"/>
  <cols>
    <col min="1" max="1" width="8" style="1" customWidth="1"/>
    <col min="2" max="2" width="7.45454545454545" style="1" bestFit="1" customWidth="1"/>
    <col min="3" max="3" width="10.1818181818182" style="1" bestFit="1" customWidth="1"/>
    <col min="4" max="4" width="15" style="1" bestFit="1" customWidth="1"/>
    <col min="5" max="5" width="15.1818181818182" style="1" bestFit="1" customWidth="1"/>
    <col min="6" max="6" width="16.2727272727273" style="1" bestFit="1" customWidth="1"/>
    <col min="7" max="7" width="8.72727272727273" style="1"/>
    <col min="8" max="8" width="8.27272727272727" style="1" bestFit="1" customWidth="1"/>
    <col min="9" max="9" width="7.72727272727273" style="1" bestFit="1" customWidth="1"/>
    <col min="10" max="10" width="10.4545454545455" style="1" bestFit="1" customWidth="1"/>
    <col min="11" max="11" width="14.5454545454545" style="1" bestFit="1" customWidth="1"/>
    <col min="12" max="12" width="15.1818181818182" style="1" bestFit="1" customWidth="1"/>
    <col min="13" max="13" width="16.2727272727273" style="1" bestFit="1" customWidth="1"/>
    <col min="14" max="14" width="8.72727272727273" style="1"/>
    <col min="15" max="15" width="13.4545454545455" style="1" bestFit="1" customWidth="1"/>
    <col min="16" max="16" width="16.1818181818182" style="1" customWidth="1"/>
    <col min="17" max="17" width="10.5454545454545" style="1" bestFit="1" customWidth="1"/>
    <col min="18" max="16384" width="8.72727272727273" style="1"/>
  </cols>
  <sheetData>
    <row r="1" ht="12.75">
      <c r="A1" s="75" t="s">
        <v>68</v>
      </c>
    </row>
    <row r="2" ht="12.75">
      <c r="A2" s="75" t="s">
        <v>65</v>
      </c>
    </row>
    <row r="3" spans="1:13" ht="12.75">
      <c r="A3" s="72" t="s">
        <v>0</v>
      </c>
      <c r="B3" s="72"/>
      <c r="C3" s="72"/>
      <c r="D3" s="72"/>
      <c r="E3" s="72"/>
      <c r="F3" s="72"/>
      <c r="H3" s="72" t="s">
        <v>1</v>
      </c>
      <c r="I3" s="72"/>
      <c r="J3" s="72"/>
      <c r="K3" s="72"/>
      <c r="L3" s="72"/>
      <c r="M3" s="72"/>
    </row>
    <row r="4" spans="1:15" s="4" customFormat="1" ht="51">
      <c r="A4" s="2" t="s">
        <v>2</v>
      </c>
      <c r="B4" s="2" t="s">
        <v>3</v>
      </c>
      <c r="C4" s="2" t="s">
        <v>4</v>
      </c>
      <c r="D4" s="3" t="s">
        <v>51</v>
      </c>
      <c r="E4" s="3" t="s">
        <v>52</v>
      </c>
      <c r="F4" s="3" t="s">
        <v>53</v>
      </c>
      <c r="H4" s="2" t="s">
        <v>2</v>
      </c>
      <c r="I4" s="2" t="s">
        <v>3</v>
      </c>
      <c r="J4" s="2" t="s">
        <v>4</v>
      </c>
      <c r="K4" s="3" t="s">
        <v>51</v>
      </c>
      <c r="L4" s="3" t="s">
        <v>52</v>
      </c>
      <c r="M4" s="3" t="s">
        <v>53</v>
      </c>
      <c r="O4" s="5" t="s">
        <v>8</v>
      </c>
    </row>
    <row r="5" spans="1:15" ht="12.75">
      <c r="A5" s="6" t="s">
        <v>9</v>
      </c>
      <c r="B5" s="7" t="s">
        <v>10</v>
      </c>
      <c r="C5" s="7" t="s">
        <v>11</v>
      </c>
      <c r="D5" s="8">
        <v>84468574.217258915</v>
      </c>
      <c r="E5" s="8">
        <v>25831425.782741066</v>
      </c>
      <c r="F5" s="9">
        <f>D5+E5</f>
        <v>110299999.99999999</v>
      </c>
      <c r="H5" s="6" t="s">
        <v>9</v>
      </c>
      <c r="I5" s="7" t="s">
        <v>10</v>
      </c>
      <c r="J5" s="7" t="s">
        <v>11</v>
      </c>
      <c r="K5" s="10">
        <v>84468574.217258915</v>
      </c>
      <c r="L5" s="10">
        <v>25831425.782741066</v>
      </c>
      <c r="M5" s="60">
        <v>110299999.99999997</v>
      </c>
      <c r="O5" s="11">
        <f>L5-E5</f>
        <v>0</v>
      </c>
    </row>
    <row r="6" spans="1:15" ht="12.75">
      <c r="A6" s="13" t="s">
        <v>9</v>
      </c>
      <c r="B6" s="1" t="s">
        <v>10</v>
      </c>
      <c r="C6" s="1" t="s">
        <v>11</v>
      </c>
      <c r="D6" s="14">
        <v>0</v>
      </c>
      <c r="E6" s="14">
        <v>59384141.255338773</v>
      </c>
      <c r="F6" s="15">
        <f t="shared" si="0" ref="F6:F12">D6+E6</f>
        <v>59384141.255338773</v>
      </c>
      <c r="H6" s="13" t="s">
        <v>9</v>
      </c>
      <c r="I6" s="1" t="s">
        <v>10</v>
      </c>
      <c r="J6" s="1" t="s">
        <v>11</v>
      </c>
      <c r="K6" s="16">
        <v>0</v>
      </c>
      <c r="L6" s="16">
        <v>62821861.041096091</v>
      </c>
      <c r="M6" s="61">
        <v>62821861.041096091</v>
      </c>
      <c r="O6" s="17">
        <f t="shared" si="1" ref="O6:O12">L6-E6</f>
        <v>3437719.7857573181</v>
      </c>
    </row>
    <row r="7" spans="1:15" ht="12.75">
      <c r="A7" s="13" t="s">
        <v>9</v>
      </c>
      <c r="B7" s="1" t="s">
        <v>13</v>
      </c>
      <c r="C7" s="1" t="s">
        <v>11</v>
      </c>
      <c r="D7" s="14">
        <v>109990039.61753896</v>
      </c>
      <c r="E7" s="14">
        <v>-106006732.72475806</v>
      </c>
      <c r="F7" s="15">
        <f t="shared" si="0"/>
        <v>3983306.8927809</v>
      </c>
      <c r="H7" s="13" t="s">
        <v>9</v>
      </c>
      <c r="I7" s="1" t="s">
        <v>13</v>
      </c>
      <c r="J7" s="1" t="s">
        <v>11</v>
      </c>
      <c r="K7" s="16">
        <v>109990039.61753896</v>
      </c>
      <c r="L7" s="16">
        <v>-107585706.37613502</v>
      </c>
      <c r="M7" s="61">
        <v>2404333.2414039406</v>
      </c>
      <c r="O7" s="17">
        <f t="shared" si="1"/>
        <v>-1578973.6513769627</v>
      </c>
    </row>
    <row r="8" spans="1:15" ht="12.75">
      <c r="A8" s="13" t="s">
        <v>9</v>
      </c>
      <c r="B8" s="1" t="s">
        <v>13</v>
      </c>
      <c r="C8" s="1" t="s">
        <v>14</v>
      </c>
      <c r="D8" s="14">
        <v>6818667.2000000002</v>
      </c>
      <c r="E8" s="14">
        <v>-5280376.4332233546</v>
      </c>
      <c r="F8" s="15">
        <f t="shared" si="0"/>
        <v>1538290.7667766456</v>
      </c>
      <c r="H8" s="13" t="s">
        <v>9</v>
      </c>
      <c r="I8" s="1" t="s">
        <v>13</v>
      </c>
      <c r="J8" s="1" t="s">
        <v>14</v>
      </c>
      <c r="K8" s="16">
        <v>6818667.2000000002</v>
      </c>
      <c r="L8" s="16">
        <v>-5349377.5660780445</v>
      </c>
      <c r="M8" s="61">
        <v>1469289.6339219553</v>
      </c>
      <c r="O8" s="17">
        <f t="shared" si="1"/>
        <v>-69001.132854689844</v>
      </c>
    </row>
    <row r="9" spans="1:15" ht="12.75">
      <c r="A9" s="13" t="s">
        <v>15</v>
      </c>
      <c r="B9" s="1" t="s">
        <v>10</v>
      </c>
      <c r="C9" s="1" t="s">
        <v>11</v>
      </c>
      <c r="D9" s="14">
        <v>64176155.599999994</v>
      </c>
      <c r="E9" s="14">
        <v>5589724.6763199084</v>
      </c>
      <c r="F9" s="15">
        <f t="shared" si="0"/>
        <v>69765880.276319906</v>
      </c>
      <c r="H9" s="13" t="s">
        <v>15</v>
      </c>
      <c r="I9" s="1" t="s">
        <v>10</v>
      </c>
      <c r="J9" s="1" t="s">
        <v>11</v>
      </c>
      <c r="K9" s="16">
        <v>64176155.599999994</v>
      </c>
      <c r="L9" s="16">
        <v>2780988.4437945709</v>
      </c>
      <c r="M9" s="61">
        <v>66957144.043794572</v>
      </c>
      <c r="O9" s="17">
        <f t="shared" si="1"/>
        <v>-2808736.2325253375</v>
      </c>
    </row>
    <row r="10" spans="1:15" ht="12.75">
      <c r="A10" s="13" t="s">
        <v>15</v>
      </c>
      <c r="B10" s="1" t="s">
        <v>10</v>
      </c>
      <c r="C10" s="1" t="s">
        <v>14</v>
      </c>
      <c r="D10" s="14">
        <v>35335498.028644845</v>
      </c>
      <c r="E10" s="14">
        <v>20090701.509116687</v>
      </c>
      <c r="F10" s="15">
        <f t="shared" si="0"/>
        <v>55426199.537761532</v>
      </c>
      <c r="H10" s="13" t="s">
        <v>15</v>
      </c>
      <c r="I10" s="1" t="s">
        <v>10</v>
      </c>
      <c r="J10" s="1" t="s">
        <v>14</v>
      </c>
      <c r="K10" s="16">
        <v>35335498.028644845</v>
      </c>
      <c r="L10" s="16">
        <v>21216199.081719268</v>
      </c>
      <c r="M10" s="61">
        <v>56551697.110364109</v>
      </c>
      <c r="O10" s="17">
        <f t="shared" si="1"/>
        <v>1125497.5726025812</v>
      </c>
    </row>
    <row r="11" spans="1:15" ht="12.75">
      <c r="A11" s="13" t="s">
        <v>15</v>
      </c>
      <c r="B11" s="1" t="s">
        <v>13</v>
      </c>
      <c r="C11" s="1" t="s">
        <v>11</v>
      </c>
      <c r="D11" s="14">
        <v>0</v>
      </c>
      <c r="E11" s="14">
        <v>391115.93446493259</v>
      </c>
      <c r="F11" s="15">
        <f t="shared" si="0"/>
        <v>391115.93446493259</v>
      </c>
      <c r="H11" s="13" t="s">
        <v>15</v>
      </c>
      <c r="I11" s="1" t="s">
        <v>13</v>
      </c>
      <c r="J11" s="1" t="s">
        <v>11</v>
      </c>
      <c r="K11" s="16">
        <v>0</v>
      </c>
      <c r="L11" s="16">
        <v>284609.5928620302</v>
      </c>
      <c r="M11" s="61">
        <v>284609.5928620302</v>
      </c>
      <c r="O11" s="17">
        <f t="shared" si="1"/>
        <v>-106506.34160290239</v>
      </c>
    </row>
    <row r="12" spans="1:15" ht="12.75">
      <c r="A12" s="18" t="s">
        <v>15</v>
      </c>
      <c r="B12" s="19" t="s">
        <v>13</v>
      </c>
      <c r="C12" s="19" t="s">
        <v>14</v>
      </c>
      <c r="D12" s="20">
        <v>0</v>
      </c>
      <c r="E12" s="20">
        <v>0</v>
      </c>
      <c r="F12" s="21">
        <f t="shared" si="0"/>
        <v>0</v>
      </c>
      <c r="H12" s="18" t="s">
        <v>15</v>
      </c>
      <c r="I12" s="19" t="s">
        <v>13</v>
      </c>
      <c r="J12" s="19" t="s">
        <v>14</v>
      </c>
      <c r="K12" s="22">
        <v>0</v>
      </c>
      <c r="L12" s="22">
        <v>0</v>
      </c>
      <c r="M12" s="62">
        <v>0</v>
      </c>
      <c r="O12" s="23">
        <f t="shared" si="1"/>
        <v>0</v>
      </c>
    </row>
    <row r="13" spans="4:15" ht="13.5" thickBot="1">
      <c r="D13" s="24">
        <f>SUM(D5:D12)</f>
        <v>300788934.66344267</v>
      </c>
      <c r="E13" s="24">
        <f>SUM(E5:E12)</f>
        <v>-4.35975380241871E-08</v>
      </c>
      <c r="F13" s="24">
        <f>SUM(F5:F12)</f>
        <v>300788934.66344267</v>
      </c>
      <c r="K13" s="24">
        <f>SUM(K5:K12)</f>
        <v>300788934.66344267</v>
      </c>
      <c r="L13" s="24">
        <f>SUM(L5:L12)</f>
        <v>-3.56812961399555E-08</v>
      </c>
      <c r="M13" s="24">
        <f>SUM(M5:M12)</f>
        <v>300788934.66344261</v>
      </c>
      <c r="O13" s="24">
        <f>SUM(O5:O12)</f>
        <v>6.98491930961609E-09</v>
      </c>
    </row>
    <row r="14" ht="13.5" thickTop="1"/>
    <row r="15" ht="12.75">
      <c r="A15" s="1" t="s">
        <v>22</v>
      </c>
    </row>
    <row r="17" spans="1:17" ht="12.75">
      <c r="A17" s="63" t="s">
        <v>54</v>
      </c>
      <c r="B17" s="63"/>
      <c r="C17" s="63"/>
      <c r="Q17" s="1" t="s">
        <v>17</v>
      </c>
    </row>
    <row r="18" spans="1:17" ht="12.75">
      <c r="A18" s="64" t="s">
        <v>9</v>
      </c>
      <c r="B18" s="65" t="s">
        <v>10</v>
      </c>
      <c r="C18" s="65" t="s">
        <v>11</v>
      </c>
      <c r="E18" s="66">
        <f>-(E5+E6)</f>
        <v>-85215567.038079843</v>
      </c>
      <c r="F18" s="63" t="s">
        <v>55</v>
      </c>
      <c r="L18" s="66">
        <f>-(L5+L6)</f>
        <v>-88653286.823837161</v>
      </c>
      <c r="M18" s="63" t="s">
        <v>55</v>
      </c>
      <c r="O18" s="66">
        <f>-(O5+O6)</f>
        <v>-3437719.7857573181</v>
      </c>
      <c r="P18" s="63" t="s">
        <v>55</v>
      </c>
      <c r="Q18" s="25">
        <f>L18-E18</f>
        <v>-3437719.7857573181</v>
      </c>
    </row>
    <row r="19" spans="1:17" ht="12.75">
      <c r="A19" s="63" t="s">
        <v>56</v>
      </c>
      <c r="B19" s="63" t="s">
        <v>57</v>
      </c>
      <c r="C19" s="63" t="s">
        <v>11</v>
      </c>
      <c r="E19" s="66">
        <f>-E7</f>
        <v>106006732.72475806</v>
      </c>
      <c r="F19" s="63" t="s">
        <v>58</v>
      </c>
      <c r="L19" s="66">
        <f>-L7</f>
        <v>107585706.37613502</v>
      </c>
      <c r="M19" s="63" t="s">
        <v>58</v>
      </c>
      <c r="O19" s="66">
        <f>-O7</f>
        <v>1578973.6513769627</v>
      </c>
      <c r="P19" s="63" t="s">
        <v>58</v>
      </c>
      <c r="Q19" s="25">
        <f t="shared" si="2" ref="Q19:Q28">L19-E19</f>
        <v>1578973.6513769627</v>
      </c>
    </row>
    <row r="20" spans="1:17" s="4" customFormat="1" ht="12.75">
      <c r="A20" s="63" t="s">
        <v>15</v>
      </c>
      <c r="B20" s="63" t="s">
        <v>10</v>
      </c>
      <c r="C20" s="63" t="s">
        <v>11</v>
      </c>
      <c r="E20" s="66">
        <f>-E9</f>
        <v>-5589724.6763199084</v>
      </c>
      <c r="F20" s="63" t="s">
        <v>55</v>
      </c>
      <c r="L20" s="66">
        <f>-L9</f>
        <v>-2780988.4437945709</v>
      </c>
      <c r="M20" s="63" t="s">
        <v>55</v>
      </c>
      <c r="O20" s="66">
        <f>-O9</f>
        <v>2808736.2325253375</v>
      </c>
      <c r="P20" s="63" t="s">
        <v>58</v>
      </c>
      <c r="Q20" s="25">
        <f t="shared" si="2"/>
        <v>2808736.2325253375</v>
      </c>
    </row>
    <row r="21" spans="1:17" ht="12.75">
      <c r="A21" s="63" t="s">
        <v>15</v>
      </c>
      <c r="B21" s="63" t="s">
        <v>57</v>
      </c>
      <c r="C21" s="63" t="s">
        <v>11</v>
      </c>
      <c r="E21" s="66">
        <f>-E11</f>
        <v>-391115.93446493259</v>
      </c>
      <c r="F21" s="63" t="s">
        <v>55</v>
      </c>
      <c r="L21" s="66">
        <f>-L11</f>
        <v>-284609.5928620302</v>
      </c>
      <c r="M21" s="63" t="s">
        <v>55</v>
      </c>
      <c r="O21" s="66">
        <f>-O11</f>
        <v>106506.34160290239</v>
      </c>
      <c r="P21" s="63" t="s">
        <v>58</v>
      </c>
      <c r="Q21" s="25">
        <f t="shared" si="2"/>
        <v>106506.34160290239</v>
      </c>
    </row>
    <row r="22" spans="5:17" ht="13.5" thickBot="1">
      <c r="E22" s="67">
        <f>SUM(E18:E21)</f>
        <v>14810325.075893374</v>
      </c>
      <c r="F22" s="63"/>
      <c r="L22" s="67">
        <f>SUM(L18:L21)</f>
        <v>15866821.515641259</v>
      </c>
      <c r="M22" s="63"/>
      <c r="O22" s="67">
        <f>SUM(O18:O21)</f>
        <v>1056496.4397478844</v>
      </c>
      <c r="P22" s="63"/>
      <c r="Q22" s="25">
        <f t="shared" si="2"/>
        <v>1056496.4397478849</v>
      </c>
    </row>
    <row r="23" spans="5:17" ht="13.5" thickTop="1">
      <c r="E23" s="66"/>
      <c r="F23" s="63"/>
      <c r="L23" s="66"/>
      <c r="M23" s="63"/>
      <c r="O23" s="66"/>
      <c r="P23" s="63"/>
      <c r="Q23" s="25"/>
    </row>
    <row r="24" spans="1:17" ht="12.75">
      <c r="A24" s="1" t="s">
        <v>59</v>
      </c>
      <c r="B24" s="1" t="s">
        <v>10</v>
      </c>
      <c r="E24" s="25">
        <f>E18+E20</f>
        <v>-90805291.714399755</v>
      </c>
      <c r="F24" s="1" t="s">
        <v>60</v>
      </c>
      <c r="L24" s="25">
        <f>L18+L20</f>
        <v>-91434275.267631739</v>
      </c>
      <c r="M24" s="1" t="s">
        <v>60</v>
      </c>
      <c r="O24" s="25">
        <f>O18+O20</f>
        <v>-628983.55323198065</v>
      </c>
      <c r="P24" s="1" t="s">
        <v>60</v>
      </c>
      <c r="Q24" s="25">
        <f t="shared" si="2"/>
        <v>-628983.55323198438</v>
      </c>
    </row>
    <row r="25" spans="1:17" ht="12.75">
      <c r="A25" s="1" t="s">
        <v>59</v>
      </c>
      <c r="B25" s="1" t="s">
        <v>13</v>
      </c>
      <c r="E25" s="25">
        <f>+E19+E21</f>
        <v>105615616.79029313</v>
      </c>
      <c r="F25" s="1" t="s">
        <v>61</v>
      </c>
      <c r="L25" s="25">
        <f>+L19+L21</f>
        <v>107301096.783273</v>
      </c>
      <c r="M25" s="1" t="s">
        <v>61</v>
      </c>
      <c r="O25" s="25">
        <f>+O19+O21</f>
        <v>1685479.9929798651</v>
      </c>
      <c r="P25" s="1" t="s">
        <v>61</v>
      </c>
      <c r="Q25" s="25">
        <f t="shared" si="2"/>
        <v>1685479.9929798693</v>
      </c>
    </row>
    <row r="26" ht="12.75">
      <c r="Q26" s="25"/>
    </row>
    <row r="27" ht="12.75">
      <c r="Q27" s="25"/>
    </row>
    <row r="28" spans="1:17" ht="12.75">
      <c r="A28" s="1" t="s">
        <v>14</v>
      </c>
      <c r="E28" s="25">
        <f>-(+E8+E10)</f>
        <v>-14810325.075893331</v>
      </c>
      <c r="L28" s="25">
        <f>-(+L8+L10)</f>
        <v>-15866821.515641224</v>
      </c>
      <c r="O28" s="25">
        <f>-(+O8+O10)</f>
        <v>-1056496.4397478914</v>
      </c>
      <c r="Q28" s="25">
        <f t="shared" si="2"/>
        <v>-1056496.4397478923</v>
      </c>
    </row>
    <row r="31" spans="5:17" ht="12.75">
      <c r="E31" s="25">
        <f>E22+E28</f>
        <v>4.2840838432312E-08</v>
      </c>
      <c r="L31" s="25">
        <f>L22+L28</f>
        <v>3.53902578353882E-08</v>
      </c>
      <c r="O31" s="25">
        <f>O22+O28</f>
        <v>-6.98491930961609E-09</v>
      </c>
      <c r="Q31" s="25">
        <f>Q22+Q28</f>
        <v>-7.45058059692383E-09</v>
      </c>
    </row>
  </sheetData>
  <mergeCells count="2">
    <mergeCell ref="A3:F3"/>
    <mergeCell ref="H3:M3"/>
  </mergeCells>
  <pageMargins left="0.7" right="0.7" top="0.75" bottom="0.75" header="0.3" footer="0.3"/>
  <pageSetup orientation="portrait" scale="10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230BD645C4F5458AB3B1B4F3E16B0C" ma:contentTypeVersion="" ma:contentTypeDescription="Create a new document." ma:contentTypeScope="" ma:versionID="536b00586a592178a25dba83fb9ca3e1">
  <xsd:schema xmlns:xsd="http://www.w3.org/2001/XMLSchema" xmlns:xs="http://www.w3.org/2001/XMLSchema" xmlns:p="http://schemas.microsoft.com/office/2006/metadata/properties" xmlns:ns2="c85253b9-0a55-49a1-98ad-b5b6252d7079" xmlns:ns3="F00C1845-29BE-48C1-832D-B1D541D7898D" xmlns:ns4="8b86ae58-4ff9-4300-8876-bb89783e485c" xmlns:ns5="3a6ed07f-74d3-4d6b-b2d6-faf8761c8676" targetNamespace="http://schemas.microsoft.com/office/2006/metadata/properties" ma:root="true" ma:fieldsID="4fba8ed0ba4d74f9eb48a7efdcfd87dd" ns2:_="" ns3:_="" ns4:_="" ns5:_="">
    <xsd:import namespace="c85253b9-0a55-49a1-98ad-b5b6252d7079"/>
    <xsd:import namespace="F00C1845-29BE-48C1-832D-B1D541D7898D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1845-29BE-48C1-832D-B1D541D7898D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quence_x0020_Number xmlns="F00C1845-29BE-48C1-832D-B1D541D7898D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Pgs xmlns="F00C1845-29BE-48C1-832D-B1D541D7898D" xsi:nil="true"/>
    <SRCH_DrSiteId xmlns="8b86ae58-4ff9-4300-8876-bb89783e485c" xsi:nil="true"/>
    <MB xmlns="F00C1845-29BE-48C1-832D-B1D541D7898D" xsi:nil="true"/>
  </documentManagement>
</p:properties>
</file>

<file path=customXml/itemProps1.xml><?xml version="1.0" encoding="utf-8"?>
<ds:datastoreItem xmlns:ds="http://schemas.openxmlformats.org/officeDocument/2006/customXml" ds:itemID="{BC3C3306-77A3-4CDE-A760-3A91AF5CB5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997C4F-B690-4BB6-8A1D-9C3AEA2BE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F00C1845-29BE-48C1-832D-B1D541D7898D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4F2BC6-FEAB-436E-A930-8BD3E1C8E48A}">
  <ds:schemaRefs>
    <ds:schemaRef ds:uri="c85253b9-0a55-49a1-98ad-b5b6252d7079"/>
    <ds:schemaRef ds:uri="http://purl.org/dc/terms/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F00C1845-29BE-48C1-832D-B1D541D7898D"/>
    <ds:schemaRef ds:uri="http://purl.org/dc/elements/1.1/"/>
    <ds:schemaRef ds:uri="http://schemas.microsoft.com/office/2006/metadata/properties"/>
    <ds:schemaRef ds:uri="3a6ed07f-74d3-4d6b-b2d6-faf8761c867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