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bxsf39\2001ratecase\2021 Rate Case Discovery\OPC's Third Set of PODs\OPC's 3rd POD No. 70\"/>
    </mc:Choice>
  </mc:AlternateContent>
  <xr:revisionPtr revIDLastSave="0" documentId="8_{5DB8AC35-9A80-4CBC-88A7-08464E43A3CC}" xr6:coauthVersionLast="45" xr6:coauthVersionMax="45" xr10:uidLastSave="{00000000-0000-0000-0000-000000000000}"/>
  <bookViews>
    <workbookView xWindow="30915" yWindow="2160" windowWidth="21810" windowHeight="12000" activeTab="3" xr2:uid="{00000000-000D-0000-FFFF-FFFF00000000}"/>
  </bookViews>
  <sheets>
    <sheet name="Proxy Group Screen" sheetId="1" r:id="rId1"/>
    <sheet name="Growth Rates" sheetId="2" r:id="rId2"/>
    <sheet name="Business Segment" sheetId="3" r:id="rId3"/>
    <sheet name="FERC Form 1_2 Data" sheetId="4" r:id="rId4"/>
  </sheets>
  <definedNames>
    <definedName name="_xlnm._FilterDatabase" localSheetId="3" hidden="1">'FERC Form 1_2 Data'!$C$6:$C$63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nl__167C122C_C886_44E7_AC84_8D31C89A20BF_" localSheetId="3" hidden="1">'FERC Form 1_2 Data'!$A$6,'FERC Form 1_2 Data'!$C$11:$EY$52</definedName>
    <definedName name="snl__2028487B_11B0_492A_B6C0_6A22278EB14C_" localSheetId="3" hidden="1">'FERC Form 1_2 Data'!$A$6,'FERC Form 1_2 Data'!$C$11:$EY$56</definedName>
    <definedName name="snl__4615B2E2_49EE_4A69_8EFD_5DEDC2C3A8C9_" localSheetId="3" hidden="1">'FERC Form 1_2 Data'!$A$6,'FERC Form 1_2 Data'!$C$11:$EY$56</definedName>
    <definedName name="snl__4C19E2DF_3480_4362_BEE0_0C43C320FE1E_" localSheetId="3" hidden="1">'FERC Form 1_2 Data'!$A$6,'FERC Form 1_2 Data'!$C$11:$EY$56</definedName>
    <definedName name="snl__6D37D540_6F2B_4E9B_9C19_CBE91AA1DA86_" localSheetId="3" hidden="1">'FERC Form 1_2 Data'!$A$6,'FERC Form 1_2 Data'!$C$11:$EY$56</definedName>
    <definedName name="snl__BF4A3876_18F6_4FF6_A23F_C25058BD3A2B_" localSheetId="3" hidden="1">'FERC Form 1_2 Data'!$A$6,'FERC Form 1_2 Data'!$C$11:$EY$56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2" i="1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T556" i="3" l="1"/>
  <c r="S556" i="3"/>
  <c r="T555" i="3"/>
  <c r="S555" i="3"/>
  <c r="T554" i="3"/>
  <c r="S554" i="3"/>
  <c r="T539" i="3"/>
  <c r="S539" i="3"/>
  <c r="T538" i="3"/>
  <c r="S538" i="3"/>
  <c r="T537" i="3"/>
  <c r="S537" i="3"/>
  <c r="T319" i="3"/>
  <c r="S319" i="3"/>
  <c r="T318" i="3"/>
  <c r="S318" i="3"/>
  <c r="T317" i="3"/>
  <c r="S317" i="3"/>
  <c r="T269" i="3"/>
  <c r="S269" i="3"/>
  <c r="T268" i="3"/>
  <c r="S268" i="3"/>
  <c r="T267" i="3"/>
  <c r="S267" i="3"/>
  <c r="T98" i="3"/>
  <c r="S98" i="3"/>
  <c r="T97" i="3"/>
  <c r="S97" i="3"/>
  <c r="T96" i="3"/>
  <c r="S96" i="3"/>
  <c r="T81" i="3"/>
  <c r="S81" i="3"/>
  <c r="T80" i="3"/>
  <c r="S80" i="3"/>
  <c r="T11" i="3"/>
  <c r="S11" i="3"/>
  <c r="T10" i="3"/>
  <c r="S10" i="3"/>
  <c r="T9" i="3"/>
  <c r="S9" i="3"/>
  <c r="EZ56" i="4"/>
  <c r="ET56" i="4"/>
  <c r="EN56" i="4"/>
  <c r="EA56" i="4"/>
  <c r="EE56" i="4" s="1"/>
  <c r="DY56" i="4"/>
  <c r="DL56" i="4"/>
  <c r="CY56" i="4"/>
  <c r="CL56" i="4"/>
  <c r="BY56" i="4"/>
  <c r="BL56" i="4"/>
  <c r="AY56" i="4"/>
  <c r="AL56" i="4"/>
  <c r="EB56" i="4" s="1"/>
  <c r="EF56" i="4" s="1"/>
  <c r="Y56" i="4"/>
  <c r="EZ55" i="4"/>
  <c r="ET55" i="4"/>
  <c r="EN55" i="4"/>
  <c r="EK55" i="4"/>
  <c r="DY55" i="4"/>
  <c r="DL55" i="4"/>
  <c r="CY55" i="4"/>
  <c r="CL55" i="4"/>
  <c r="BY55" i="4"/>
  <c r="BL55" i="4" s="1"/>
  <c r="AY55" i="4"/>
  <c r="EC55" i="4" s="1"/>
  <c r="EG55" i="4" s="1"/>
  <c r="AL55" i="4"/>
  <c r="EB55" i="4" s="1"/>
  <c r="EF55" i="4" s="1"/>
  <c r="Y55" i="4"/>
  <c r="E55" i="4"/>
  <c r="EZ54" i="4"/>
  <c r="ET54" i="4"/>
  <c r="EN54" i="4"/>
  <c r="EK54" i="4"/>
  <c r="DY54" i="4"/>
  <c r="DL54" i="4"/>
  <c r="CY54" i="4"/>
  <c r="CL54" i="4"/>
  <c r="BY54" i="4"/>
  <c r="BL54" i="4" s="1"/>
  <c r="AY54" i="4"/>
  <c r="EC54" i="4" s="1"/>
  <c r="EG54" i="4" s="1"/>
  <c r="AL54" i="4"/>
  <c r="Y54" i="4"/>
  <c r="E54" i="4"/>
  <c r="EZ53" i="4"/>
  <c r="ET53" i="4"/>
  <c r="EN53" i="4"/>
  <c r="DY53" i="4"/>
  <c r="DL53" i="4"/>
  <c r="CY53" i="4"/>
  <c r="CL53" i="4"/>
  <c r="EC53" i="4" s="1"/>
  <c r="EG53" i="4" s="1"/>
  <c r="BY53" i="4"/>
  <c r="BL53" i="4"/>
  <c r="AY53" i="4"/>
  <c r="AL53" i="4"/>
  <c r="Y53" i="4"/>
  <c r="EA53" i="4" s="1"/>
  <c r="EE53" i="4" s="1"/>
  <c r="EZ52" i="4"/>
  <c r="ET52" i="4"/>
  <c r="EN52" i="4"/>
  <c r="EA52" i="4"/>
  <c r="EE52" i="4" s="1"/>
  <c r="DY52" i="4"/>
  <c r="DL52" i="4"/>
  <c r="CY52" i="4"/>
  <c r="CL52" i="4"/>
  <c r="BY52" i="4"/>
  <c r="BL52" i="4"/>
  <c r="AY52" i="4"/>
  <c r="AL52" i="4"/>
  <c r="EB52" i="4" s="1"/>
  <c r="EF52" i="4" s="1"/>
  <c r="Y52" i="4"/>
  <c r="EZ51" i="4"/>
  <c r="ET51" i="4"/>
  <c r="EN51" i="4"/>
  <c r="DY51" i="4"/>
  <c r="DL51" i="4"/>
  <c r="CY51" i="4"/>
  <c r="CL51" i="4"/>
  <c r="BY51" i="4"/>
  <c r="BL51" i="4"/>
  <c r="AY51" i="4"/>
  <c r="EC51" i="4" s="1"/>
  <c r="EG51" i="4" s="1"/>
  <c r="AL51" i="4"/>
  <c r="EB51" i="4" s="1"/>
  <c r="EF51" i="4" s="1"/>
  <c r="Y51" i="4"/>
  <c r="EZ50" i="4"/>
  <c r="ET50" i="4"/>
  <c r="EN50" i="4"/>
  <c r="DY50" i="4"/>
  <c r="DL50" i="4"/>
  <c r="CY50" i="4"/>
  <c r="CL50" i="4"/>
  <c r="BY50" i="4"/>
  <c r="BL50" i="4"/>
  <c r="AY50" i="4"/>
  <c r="AL50" i="4"/>
  <c r="Y50" i="4"/>
  <c r="EA50" i="4" s="1"/>
  <c r="EE50" i="4" s="1"/>
  <c r="EZ49" i="4"/>
  <c r="ET49" i="4"/>
  <c r="EN49" i="4"/>
  <c r="DY49" i="4"/>
  <c r="DL49" i="4"/>
  <c r="CY49" i="4"/>
  <c r="CL49" i="4"/>
  <c r="EC49" i="4" s="1"/>
  <c r="EG49" i="4" s="1"/>
  <c r="BY49" i="4"/>
  <c r="BL49" i="4"/>
  <c r="AY49" i="4"/>
  <c r="AL49" i="4"/>
  <c r="Y49" i="4"/>
  <c r="EZ48" i="4"/>
  <c r="ET48" i="4"/>
  <c r="EN48" i="4"/>
  <c r="EA48" i="4"/>
  <c r="EE48" i="4" s="1"/>
  <c r="DY48" i="4"/>
  <c r="DL48" i="4"/>
  <c r="CY48" i="4"/>
  <c r="CL48" i="4"/>
  <c r="EC48" i="4" s="1"/>
  <c r="EG48" i="4" s="1"/>
  <c r="BY48" i="4"/>
  <c r="BL48" i="4"/>
  <c r="AY48" i="4"/>
  <c r="AL48" i="4"/>
  <c r="EB48" i="4" s="1"/>
  <c r="EF48" i="4" s="1"/>
  <c r="Y48" i="4"/>
  <c r="EZ47" i="4"/>
  <c r="ET47" i="4"/>
  <c r="EN47" i="4"/>
  <c r="DY47" i="4"/>
  <c r="DL47" i="4"/>
  <c r="CY47" i="4"/>
  <c r="CL47" i="4"/>
  <c r="BY47" i="4"/>
  <c r="BL47" i="4"/>
  <c r="AY47" i="4"/>
  <c r="EC47" i="4" s="1"/>
  <c r="EG47" i="4" s="1"/>
  <c r="AL47" i="4"/>
  <c r="EB47" i="4" s="1"/>
  <c r="EF47" i="4" s="1"/>
  <c r="Y47" i="4"/>
  <c r="EZ46" i="4"/>
  <c r="ET46" i="4"/>
  <c r="EN46" i="4"/>
  <c r="EK46" i="4"/>
  <c r="DY46" i="4"/>
  <c r="DL46" i="4"/>
  <c r="CY46" i="4"/>
  <c r="CL46" i="4"/>
  <c r="BY46" i="4"/>
  <c r="BL46" i="4" s="1"/>
  <c r="AY46" i="4"/>
  <c r="EC46" i="4" s="1"/>
  <c r="EG46" i="4" s="1"/>
  <c r="AL46" i="4"/>
  <c r="Y46" i="4"/>
  <c r="E46" i="4"/>
  <c r="EZ45" i="4"/>
  <c r="ET45" i="4"/>
  <c r="EN45" i="4"/>
  <c r="DY45" i="4"/>
  <c r="DL45" i="4"/>
  <c r="CY45" i="4"/>
  <c r="CL45" i="4"/>
  <c r="BY45" i="4"/>
  <c r="BL45" i="4"/>
  <c r="AY45" i="4"/>
  <c r="AL45" i="4"/>
  <c r="Y45" i="4"/>
  <c r="EA45" i="4" s="1"/>
  <c r="EE45" i="4" s="1"/>
  <c r="EZ44" i="4"/>
  <c r="ET44" i="4"/>
  <c r="EK44" i="4"/>
  <c r="EN44" i="4" s="1"/>
  <c r="DY44" i="4"/>
  <c r="DL44" i="4"/>
  <c r="CY44" i="4"/>
  <c r="CL44" i="4"/>
  <c r="BY44" i="4"/>
  <c r="BL44" i="4" s="1"/>
  <c r="AY44" i="4"/>
  <c r="AL44" i="4"/>
  <c r="Y44" i="4"/>
  <c r="EA44" i="4" s="1"/>
  <c r="EE44" i="4" s="1"/>
  <c r="E44" i="4"/>
  <c r="EZ43" i="4"/>
  <c r="ET43" i="4"/>
  <c r="EN43" i="4"/>
  <c r="EK43" i="4"/>
  <c r="DY43" i="4"/>
  <c r="DL43" i="4"/>
  <c r="CY43" i="4"/>
  <c r="CL43" i="4"/>
  <c r="BY43" i="4"/>
  <c r="BL43" i="4" s="1"/>
  <c r="AY43" i="4"/>
  <c r="EC43" i="4" s="1"/>
  <c r="EG43" i="4" s="1"/>
  <c r="AL43" i="4"/>
  <c r="Y43" i="4"/>
  <c r="E43" i="4"/>
  <c r="EZ42" i="4"/>
  <c r="ET42" i="4"/>
  <c r="EN42" i="4"/>
  <c r="DY42" i="4"/>
  <c r="DL42" i="4"/>
  <c r="CY42" i="4"/>
  <c r="CL42" i="4"/>
  <c r="EC42" i="4" s="1"/>
  <c r="EG42" i="4" s="1"/>
  <c r="BY42" i="4"/>
  <c r="BL42" i="4"/>
  <c r="EA42" i="4" s="1"/>
  <c r="AY42" i="4"/>
  <c r="AL42" i="4"/>
  <c r="Y42" i="4"/>
  <c r="E42" i="4"/>
  <c r="EZ41" i="4"/>
  <c r="T615" i="3" s="1"/>
  <c r="ET41" i="4"/>
  <c r="T614" i="3" s="1"/>
  <c r="EK41" i="4"/>
  <c r="EN41" i="4" s="1"/>
  <c r="S613" i="3" s="1"/>
  <c r="DY41" i="4"/>
  <c r="DL41" i="4"/>
  <c r="CY41" i="4"/>
  <c r="CL41" i="4"/>
  <c r="BY41" i="4"/>
  <c r="BL41" i="4"/>
  <c r="AY41" i="4"/>
  <c r="AL41" i="4"/>
  <c r="EB41" i="4" s="1"/>
  <c r="EF41" i="4" s="1"/>
  <c r="Y41" i="4"/>
  <c r="E41" i="4"/>
  <c r="EZ40" i="4"/>
  <c r="T564" i="3" s="1"/>
  <c r="ET40" i="4"/>
  <c r="T563" i="3" s="1"/>
  <c r="EN40" i="4"/>
  <c r="T562" i="3" s="1"/>
  <c r="DY40" i="4"/>
  <c r="DL40" i="4"/>
  <c r="CY40" i="4"/>
  <c r="CL40" i="4"/>
  <c r="BY40" i="4"/>
  <c r="BL40" i="4"/>
  <c r="AY40" i="4"/>
  <c r="AL40" i="4"/>
  <c r="EB40" i="4" s="1"/>
  <c r="EF40" i="4" s="1"/>
  <c r="Y40" i="4"/>
  <c r="EZ39" i="4"/>
  <c r="ET39" i="4"/>
  <c r="EN39" i="4"/>
  <c r="DY39" i="4"/>
  <c r="DL39" i="4"/>
  <c r="CY39" i="4"/>
  <c r="CL39" i="4"/>
  <c r="BY39" i="4"/>
  <c r="BL39" i="4"/>
  <c r="AY39" i="4"/>
  <c r="EC39" i="4" s="1"/>
  <c r="EG39" i="4" s="1"/>
  <c r="AL39" i="4"/>
  <c r="Y39" i="4"/>
  <c r="EZ38" i="4"/>
  <c r="ET38" i="4"/>
  <c r="EN38" i="4"/>
  <c r="DY38" i="4"/>
  <c r="DL38" i="4"/>
  <c r="CY38" i="4"/>
  <c r="CL38" i="4"/>
  <c r="BY38" i="4"/>
  <c r="BL38" i="4"/>
  <c r="AY38" i="4"/>
  <c r="AL38" i="4"/>
  <c r="EB38" i="4" s="1"/>
  <c r="EF38" i="4" s="1"/>
  <c r="Y38" i="4"/>
  <c r="EA38" i="4" s="1"/>
  <c r="EE38" i="4" s="1"/>
  <c r="EZ37" i="4"/>
  <c r="T547" i="3" s="1"/>
  <c r="ET37" i="4"/>
  <c r="T546" i="3" s="1"/>
  <c r="EN37" i="4"/>
  <c r="T545" i="3" s="1"/>
  <c r="DY37" i="4"/>
  <c r="DL37" i="4"/>
  <c r="CY37" i="4"/>
  <c r="CL37" i="4"/>
  <c r="BY37" i="4"/>
  <c r="EB37" i="4" s="1"/>
  <c r="EF37" i="4" s="1"/>
  <c r="BL37" i="4"/>
  <c r="AY37" i="4"/>
  <c r="AL37" i="4"/>
  <c r="Y37" i="4"/>
  <c r="EA37" i="4" s="1"/>
  <c r="EE37" i="4" s="1"/>
  <c r="EZ36" i="4"/>
  <c r="T479" i="3" s="1"/>
  <c r="ET36" i="4"/>
  <c r="T478" i="3" s="1"/>
  <c r="EN36" i="4"/>
  <c r="T477" i="3" s="1"/>
  <c r="DY36" i="4"/>
  <c r="DL36" i="4"/>
  <c r="CY36" i="4"/>
  <c r="CL36" i="4"/>
  <c r="BY36" i="4"/>
  <c r="BL36" i="4"/>
  <c r="T473" i="3" s="1"/>
  <c r="AY36" i="4"/>
  <c r="AL36" i="4"/>
  <c r="Y36" i="4"/>
  <c r="EA36" i="4" s="1"/>
  <c r="EE36" i="4" s="1"/>
  <c r="EZ35" i="4"/>
  <c r="ET35" i="4"/>
  <c r="EN35" i="4"/>
  <c r="DY35" i="4"/>
  <c r="DL35" i="4"/>
  <c r="CY35" i="4"/>
  <c r="CL35" i="4"/>
  <c r="BY35" i="4"/>
  <c r="BL35" i="4"/>
  <c r="AY35" i="4"/>
  <c r="AL35" i="4"/>
  <c r="Y35" i="4"/>
  <c r="EA35" i="4" s="1"/>
  <c r="EE35" i="4" s="1"/>
  <c r="EZ34" i="4"/>
  <c r="ET34" i="4"/>
  <c r="EN34" i="4"/>
  <c r="DY34" i="4"/>
  <c r="DL34" i="4"/>
  <c r="CY34" i="4"/>
  <c r="CL34" i="4"/>
  <c r="BY34" i="4"/>
  <c r="BL34" i="4"/>
  <c r="AY34" i="4"/>
  <c r="EC34" i="4" s="1"/>
  <c r="EG34" i="4" s="1"/>
  <c r="AL34" i="4"/>
  <c r="EB34" i="4" s="1"/>
  <c r="EF34" i="4" s="1"/>
  <c r="Y34" i="4"/>
  <c r="EZ33" i="4"/>
  <c r="ET33" i="4"/>
  <c r="EN33" i="4"/>
  <c r="DY33" i="4"/>
  <c r="DL33" i="4"/>
  <c r="CY33" i="4"/>
  <c r="CL33" i="4"/>
  <c r="BY33" i="4"/>
  <c r="BL33" i="4"/>
  <c r="AY33" i="4"/>
  <c r="EC33" i="4" s="1"/>
  <c r="EG33" i="4" s="1"/>
  <c r="AL33" i="4"/>
  <c r="Y33" i="4"/>
  <c r="EZ32" i="4"/>
  <c r="ET32" i="4"/>
  <c r="EN32" i="4"/>
  <c r="DY32" i="4"/>
  <c r="DL32" i="4"/>
  <c r="CY32" i="4"/>
  <c r="CL32" i="4"/>
  <c r="BY32" i="4"/>
  <c r="BL32" i="4"/>
  <c r="AY32" i="4"/>
  <c r="EC32" i="4" s="1"/>
  <c r="EG32" i="4" s="1"/>
  <c r="AL32" i="4"/>
  <c r="EB32" i="4" s="1"/>
  <c r="EF32" i="4" s="1"/>
  <c r="Y32" i="4"/>
  <c r="EZ31" i="4"/>
  <c r="ET31" i="4"/>
  <c r="EN31" i="4"/>
  <c r="DY31" i="4"/>
  <c r="DL31" i="4"/>
  <c r="CY31" i="4"/>
  <c r="CL31" i="4"/>
  <c r="BY31" i="4"/>
  <c r="BL31" i="4"/>
  <c r="AY31" i="4"/>
  <c r="EC31" i="4" s="1"/>
  <c r="EG31" i="4" s="1"/>
  <c r="AL31" i="4"/>
  <c r="Y31" i="4"/>
  <c r="EZ30" i="4"/>
  <c r="T327" i="3" s="1"/>
  <c r="ET30" i="4"/>
  <c r="T326" i="3" s="1"/>
  <c r="EN30" i="4"/>
  <c r="T325" i="3" s="1"/>
  <c r="DY30" i="4"/>
  <c r="DL30" i="4"/>
  <c r="CY30" i="4"/>
  <c r="CL30" i="4"/>
  <c r="BY30" i="4"/>
  <c r="BL30" i="4"/>
  <c r="AY30" i="4"/>
  <c r="AL30" i="4"/>
  <c r="Y30" i="4"/>
  <c r="EA30" i="4" s="1"/>
  <c r="EE30" i="4" s="1"/>
  <c r="EZ29" i="4"/>
  <c r="ET29" i="4"/>
  <c r="EN29" i="4"/>
  <c r="DY29" i="4"/>
  <c r="DL29" i="4"/>
  <c r="CY29" i="4"/>
  <c r="CL29" i="4"/>
  <c r="BY29" i="4"/>
  <c r="EB29" i="4" s="1"/>
  <c r="EF29" i="4" s="1"/>
  <c r="BL29" i="4"/>
  <c r="AY29" i="4"/>
  <c r="AL29" i="4"/>
  <c r="Y29" i="4"/>
  <c r="EA29" i="4" s="1"/>
  <c r="EE29" i="4" s="1"/>
  <c r="EZ28" i="4"/>
  <c r="ET28" i="4"/>
  <c r="EN28" i="4"/>
  <c r="DY28" i="4"/>
  <c r="DL28" i="4"/>
  <c r="CY28" i="4"/>
  <c r="CL28" i="4"/>
  <c r="BY28" i="4"/>
  <c r="BL28" i="4"/>
  <c r="AY28" i="4"/>
  <c r="AL28" i="4"/>
  <c r="EB28" i="4" s="1"/>
  <c r="EF28" i="4" s="1"/>
  <c r="Y28" i="4"/>
  <c r="EA28" i="4" s="1"/>
  <c r="EE28" i="4" s="1"/>
  <c r="EZ27" i="4"/>
  <c r="ET27" i="4"/>
  <c r="EN27" i="4"/>
  <c r="DY27" i="4"/>
  <c r="DL27" i="4"/>
  <c r="CY27" i="4"/>
  <c r="CL27" i="4"/>
  <c r="BY27" i="4"/>
  <c r="BL27" i="4"/>
  <c r="AY27" i="4"/>
  <c r="AL27" i="4"/>
  <c r="Y27" i="4"/>
  <c r="EA27" i="4" s="1"/>
  <c r="EE27" i="4" s="1"/>
  <c r="EZ26" i="4"/>
  <c r="ET26" i="4"/>
  <c r="EN26" i="4"/>
  <c r="DY26" i="4"/>
  <c r="DL26" i="4"/>
  <c r="CY26" i="4"/>
  <c r="CL26" i="4"/>
  <c r="BY26" i="4"/>
  <c r="BL26" i="4"/>
  <c r="AY26" i="4"/>
  <c r="EC26" i="4" s="1"/>
  <c r="EG26" i="4" s="1"/>
  <c r="AL26" i="4"/>
  <c r="EB26" i="4" s="1"/>
  <c r="EF26" i="4" s="1"/>
  <c r="Y26" i="4"/>
  <c r="EZ25" i="4"/>
  <c r="T277" i="3" s="1"/>
  <c r="ET25" i="4"/>
  <c r="T276" i="3" s="1"/>
  <c r="EN25" i="4"/>
  <c r="T275" i="3" s="1"/>
  <c r="DY25" i="4"/>
  <c r="DL25" i="4"/>
  <c r="CY25" i="4"/>
  <c r="CL25" i="4"/>
  <c r="BY25" i="4"/>
  <c r="BL25" i="4"/>
  <c r="AY25" i="4"/>
  <c r="EC25" i="4" s="1"/>
  <c r="EG25" i="4" s="1"/>
  <c r="AL25" i="4"/>
  <c r="Y25" i="4"/>
  <c r="EZ24" i="4"/>
  <c r="ET24" i="4"/>
  <c r="EN24" i="4"/>
  <c r="DY24" i="4"/>
  <c r="DL24" i="4"/>
  <c r="CY24" i="4"/>
  <c r="CL24" i="4"/>
  <c r="BY24" i="4"/>
  <c r="BL24" i="4"/>
  <c r="AY24" i="4"/>
  <c r="EC24" i="4" s="1"/>
  <c r="EG24" i="4" s="1"/>
  <c r="AL24" i="4"/>
  <c r="EB24" i="4" s="1"/>
  <c r="EF24" i="4" s="1"/>
  <c r="Y24" i="4"/>
  <c r="EZ23" i="4"/>
  <c r="T106" i="3" s="1"/>
  <c r="ET23" i="4"/>
  <c r="T105" i="3" s="1"/>
  <c r="EN23" i="4"/>
  <c r="T104" i="3" s="1"/>
  <c r="DY23" i="4"/>
  <c r="DL23" i="4"/>
  <c r="CY23" i="4"/>
  <c r="CL23" i="4"/>
  <c r="T102" i="3" s="1"/>
  <c r="BY23" i="4"/>
  <c r="BL23" i="4"/>
  <c r="AY23" i="4"/>
  <c r="EC23" i="4" s="1"/>
  <c r="EG23" i="4" s="1"/>
  <c r="AL23" i="4"/>
  <c r="Y23" i="4"/>
  <c r="EZ22" i="4"/>
  <c r="ET22" i="4"/>
  <c r="EN22" i="4"/>
  <c r="DY22" i="4"/>
  <c r="DL22" i="4"/>
  <c r="CY22" i="4"/>
  <c r="CL22" i="4"/>
  <c r="BY22" i="4"/>
  <c r="EB22" i="4" s="1"/>
  <c r="EF22" i="4" s="1"/>
  <c r="BL22" i="4"/>
  <c r="AY22" i="4"/>
  <c r="AL22" i="4"/>
  <c r="Y22" i="4"/>
  <c r="EA22" i="4" s="1"/>
  <c r="EE22" i="4" s="1"/>
  <c r="EZ21" i="4"/>
  <c r="ET21" i="4"/>
  <c r="EK21" i="4"/>
  <c r="EN21" i="4" s="1"/>
  <c r="DY21" i="4"/>
  <c r="DL21" i="4"/>
  <c r="CY21" i="4"/>
  <c r="CL21" i="4"/>
  <c r="EC21" i="4" s="1"/>
  <c r="EG21" i="4" s="1"/>
  <c r="BY21" i="4"/>
  <c r="BL21" i="4" s="1"/>
  <c r="EA21" i="4" s="1"/>
  <c r="EE21" i="4" s="1"/>
  <c r="AY21" i="4"/>
  <c r="AL21" i="4"/>
  <c r="EB21" i="4" s="1"/>
  <c r="EF21" i="4" s="1"/>
  <c r="Y21" i="4"/>
  <c r="E21" i="4"/>
  <c r="EZ20" i="4"/>
  <c r="ET20" i="4"/>
  <c r="EN20" i="4"/>
  <c r="DY20" i="4"/>
  <c r="DL20" i="4"/>
  <c r="CY20" i="4"/>
  <c r="CL20" i="4"/>
  <c r="BY20" i="4"/>
  <c r="BL20" i="4"/>
  <c r="AY20" i="4"/>
  <c r="EC20" i="4" s="1"/>
  <c r="EG20" i="4" s="1"/>
  <c r="AL20" i="4"/>
  <c r="Y20" i="4"/>
  <c r="EZ19" i="4"/>
  <c r="ET19" i="4"/>
  <c r="EN19" i="4"/>
  <c r="DY19" i="4"/>
  <c r="DL19" i="4"/>
  <c r="CY19" i="4"/>
  <c r="CL19" i="4"/>
  <c r="BY19" i="4"/>
  <c r="BL19" i="4"/>
  <c r="AY19" i="4"/>
  <c r="EC19" i="4" s="1"/>
  <c r="EG19" i="4" s="1"/>
  <c r="AL19" i="4"/>
  <c r="EB19" i="4" s="1"/>
  <c r="EF19" i="4" s="1"/>
  <c r="Y19" i="4"/>
  <c r="EZ18" i="4"/>
  <c r="ET18" i="4"/>
  <c r="EK18" i="4"/>
  <c r="EN18" i="4" s="1"/>
  <c r="DY18" i="4"/>
  <c r="DL18" i="4"/>
  <c r="CY18" i="4"/>
  <c r="CL18" i="4"/>
  <c r="BY18" i="4"/>
  <c r="BL18" i="4" s="1"/>
  <c r="AY18" i="4"/>
  <c r="AL18" i="4"/>
  <c r="Y18" i="4"/>
  <c r="EA18" i="4" s="1"/>
  <c r="EE18" i="4" s="1"/>
  <c r="E18" i="4"/>
  <c r="EZ17" i="4"/>
  <c r="ET17" i="4"/>
  <c r="EK17" i="4"/>
  <c r="EN17" i="4" s="1"/>
  <c r="DY17" i="4"/>
  <c r="DL17" i="4"/>
  <c r="CY17" i="4"/>
  <c r="EA17" i="4" s="1"/>
  <c r="EE17" i="4" s="1"/>
  <c r="CL17" i="4"/>
  <c r="BY17" i="4"/>
  <c r="BL17" i="4"/>
  <c r="AY17" i="4"/>
  <c r="AL17" i="4"/>
  <c r="EB17" i="4" s="1"/>
  <c r="EF17" i="4" s="1"/>
  <c r="Y17" i="4"/>
  <c r="E17" i="4"/>
  <c r="EZ16" i="4"/>
  <c r="ET16" i="4"/>
  <c r="EN16" i="4"/>
  <c r="DY16" i="4"/>
  <c r="DL16" i="4"/>
  <c r="CY16" i="4"/>
  <c r="CL16" i="4"/>
  <c r="BY16" i="4"/>
  <c r="BL16" i="4"/>
  <c r="AY16" i="4"/>
  <c r="EC16" i="4" s="1"/>
  <c r="EG16" i="4" s="1"/>
  <c r="AL16" i="4"/>
  <c r="Y16" i="4"/>
  <c r="EZ15" i="4"/>
  <c r="T89" i="3" s="1"/>
  <c r="ET15" i="4"/>
  <c r="T88" i="3" s="1"/>
  <c r="EK15" i="4"/>
  <c r="EN15" i="4" s="1"/>
  <c r="S87" i="3" s="1"/>
  <c r="DY15" i="4"/>
  <c r="EC15" i="4" s="1"/>
  <c r="EG15" i="4" s="1"/>
  <c r="DL15" i="4"/>
  <c r="CY15" i="4"/>
  <c r="CL15" i="4"/>
  <c r="BY15" i="4"/>
  <c r="AY15" i="4"/>
  <c r="AL15" i="4"/>
  <c r="Y15" i="4"/>
  <c r="E15" i="4"/>
  <c r="T79" i="3" s="1"/>
  <c r="EZ14" i="4"/>
  <c r="ET14" i="4"/>
  <c r="EN14" i="4"/>
  <c r="DY14" i="4"/>
  <c r="DL14" i="4"/>
  <c r="CY14" i="4"/>
  <c r="CL14" i="4"/>
  <c r="BY14" i="4"/>
  <c r="BL14" i="4"/>
  <c r="AY14" i="4"/>
  <c r="EC14" i="4" s="1"/>
  <c r="EG14" i="4" s="1"/>
  <c r="AL14" i="4"/>
  <c r="EB14" i="4" s="1"/>
  <c r="EF14" i="4" s="1"/>
  <c r="Y14" i="4"/>
  <c r="EZ13" i="4"/>
  <c r="T54" i="3" s="1"/>
  <c r="ET13" i="4"/>
  <c r="T53" i="3" s="1"/>
  <c r="EN13" i="4"/>
  <c r="T52" i="3" s="1"/>
  <c r="DY13" i="4"/>
  <c r="DL13" i="4"/>
  <c r="CY13" i="4"/>
  <c r="CL13" i="4"/>
  <c r="T50" i="3" s="1"/>
  <c r="BY13" i="4"/>
  <c r="BL13" i="4"/>
  <c r="AY13" i="4"/>
  <c r="EC13" i="4" s="1"/>
  <c r="EG13" i="4" s="1"/>
  <c r="AL13" i="4"/>
  <c r="Y13" i="4"/>
  <c r="EZ12" i="4"/>
  <c r="ET12" i="4"/>
  <c r="EN12" i="4"/>
  <c r="DY12" i="4"/>
  <c r="DL12" i="4"/>
  <c r="CY12" i="4"/>
  <c r="CL12" i="4"/>
  <c r="BY12" i="4"/>
  <c r="BL12" i="4"/>
  <c r="AY12" i="4"/>
  <c r="EC12" i="4" s="1"/>
  <c r="EG12" i="4" s="1"/>
  <c r="AL12" i="4"/>
  <c r="EB12" i="4" s="1"/>
  <c r="EF12" i="4" s="1"/>
  <c r="Y12" i="4"/>
  <c r="EZ11" i="4"/>
  <c r="T19" i="3" s="1"/>
  <c r="ET11" i="4"/>
  <c r="T18" i="3" s="1"/>
  <c r="EN11" i="4"/>
  <c r="T17" i="3" s="1"/>
  <c r="DY11" i="4"/>
  <c r="DL11" i="4"/>
  <c r="CY11" i="4"/>
  <c r="CL11" i="4"/>
  <c r="T15" i="3" s="1"/>
  <c r="BY11" i="4"/>
  <c r="BL11" i="4"/>
  <c r="AY11" i="4"/>
  <c r="EC11" i="4" s="1"/>
  <c r="EG11" i="4" s="1"/>
  <c r="AL11" i="4"/>
  <c r="Y11" i="4"/>
  <c r="T559" i="3" l="1"/>
  <c r="BL15" i="4"/>
  <c r="EC17" i="4"/>
  <c r="EG17" i="4" s="1"/>
  <c r="EB27" i="4"/>
  <c r="EF27" i="4" s="1"/>
  <c r="EB35" i="4"/>
  <c r="EF35" i="4" s="1"/>
  <c r="EC40" i="4"/>
  <c r="EG40" i="4" s="1"/>
  <c r="EB50" i="4"/>
  <c r="EF50" i="4" s="1"/>
  <c r="EC50" i="4"/>
  <c r="EG50" i="4" s="1"/>
  <c r="S15" i="3"/>
  <c r="S18" i="3"/>
  <c r="S50" i="3"/>
  <c r="S53" i="3"/>
  <c r="S79" i="3"/>
  <c r="S89" i="3"/>
  <c r="S102" i="3"/>
  <c r="S105" i="3"/>
  <c r="S275" i="3"/>
  <c r="S277" i="3"/>
  <c r="S326" i="3"/>
  <c r="S473" i="3"/>
  <c r="S478" i="3"/>
  <c r="S545" i="3"/>
  <c r="S547" i="3"/>
  <c r="S560" i="3"/>
  <c r="S563" i="3"/>
  <c r="S614" i="3"/>
  <c r="EB36" i="4"/>
  <c r="EF36" i="4" s="1"/>
  <c r="EC41" i="4"/>
  <c r="EG41" i="4" s="1"/>
  <c r="EE42" i="4"/>
  <c r="EA49" i="4"/>
  <c r="EE49" i="4" s="1"/>
  <c r="EB54" i="4"/>
  <c r="EF54" i="4" s="1"/>
  <c r="EA55" i="4"/>
  <c r="EE55" i="4" s="1"/>
  <c r="T87" i="3"/>
  <c r="EA11" i="4"/>
  <c r="EE11" i="4" s="1"/>
  <c r="EA12" i="4"/>
  <c r="EE12" i="4" s="1"/>
  <c r="EA16" i="4"/>
  <c r="EE16" i="4" s="1"/>
  <c r="EC18" i="4"/>
  <c r="EG18" i="4" s="1"/>
  <c r="EA19" i="4"/>
  <c r="EE19" i="4" s="1"/>
  <c r="EA23" i="4"/>
  <c r="EE23" i="4" s="1"/>
  <c r="EB23" i="4"/>
  <c r="EF23" i="4" s="1"/>
  <c r="EA24" i="4"/>
  <c r="EE24" i="4" s="1"/>
  <c r="EC27" i="4"/>
  <c r="EG27" i="4" s="1"/>
  <c r="EC28" i="4"/>
  <c r="EG28" i="4" s="1"/>
  <c r="EB30" i="4"/>
  <c r="EF30" i="4" s="1"/>
  <c r="EA31" i="4"/>
  <c r="EE31" i="4" s="1"/>
  <c r="EB31" i="4"/>
  <c r="EF31" i="4" s="1"/>
  <c r="EA32" i="4"/>
  <c r="EE32" i="4" s="1"/>
  <c r="EC35" i="4"/>
  <c r="EG35" i="4" s="1"/>
  <c r="EC36" i="4"/>
  <c r="EG36" i="4" s="1"/>
  <c r="EA39" i="4"/>
  <c r="EE39" i="4" s="1"/>
  <c r="EB39" i="4"/>
  <c r="EF39" i="4" s="1"/>
  <c r="EA40" i="4"/>
  <c r="EE40" i="4" s="1"/>
  <c r="EB45" i="4"/>
  <c r="EF45" i="4" s="1"/>
  <c r="EC45" i="4"/>
  <c r="EG45" i="4" s="1"/>
  <c r="S17" i="3"/>
  <c r="S19" i="3"/>
  <c r="S52" i="3"/>
  <c r="S54" i="3"/>
  <c r="S88" i="3"/>
  <c r="S104" i="3"/>
  <c r="S106" i="3"/>
  <c r="S276" i="3"/>
  <c r="S325" i="3"/>
  <c r="S327" i="3"/>
  <c r="S477" i="3"/>
  <c r="S479" i="3"/>
  <c r="S546" i="3"/>
  <c r="S559" i="3"/>
  <c r="S562" i="3"/>
  <c r="S564" i="3"/>
  <c r="S615" i="3"/>
  <c r="EB11" i="4"/>
  <c r="EF11" i="4" s="1"/>
  <c r="EB15" i="4"/>
  <c r="EF15" i="4" s="1"/>
  <c r="EB16" i="4"/>
  <c r="EF16" i="4" s="1"/>
  <c r="EB18" i="4"/>
  <c r="EF18" i="4" s="1"/>
  <c r="EA13" i="4"/>
  <c r="EE13" i="4" s="1"/>
  <c r="EB13" i="4"/>
  <c r="EF13" i="4" s="1"/>
  <c r="EA14" i="4"/>
  <c r="EE14" i="4" s="1"/>
  <c r="EA20" i="4"/>
  <c r="EE20" i="4" s="1"/>
  <c r="EB20" i="4"/>
  <c r="EF20" i="4" s="1"/>
  <c r="EC22" i="4"/>
  <c r="EG22" i="4" s="1"/>
  <c r="EA25" i="4"/>
  <c r="EE25" i="4" s="1"/>
  <c r="EB25" i="4"/>
  <c r="EF25" i="4" s="1"/>
  <c r="EA26" i="4"/>
  <c r="EE26" i="4" s="1"/>
  <c r="EC29" i="4"/>
  <c r="EG29" i="4" s="1"/>
  <c r="EC30" i="4"/>
  <c r="EG30" i="4" s="1"/>
  <c r="EA33" i="4"/>
  <c r="EE33" i="4" s="1"/>
  <c r="EB33" i="4"/>
  <c r="EF33" i="4" s="1"/>
  <c r="EA34" i="4"/>
  <c r="EE34" i="4" s="1"/>
  <c r="EC37" i="4"/>
  <c r="EG37" i="4" s="1"/>
  <c r="EC38" i="4"/>
  <c r="EG38" i="4" s="1"/>
  <c r="EA41" i="4"/>
  <c r="EE41" i="4" s="1"/>
  <c r="EB42" i="4"/>
  <c r="EF42" i="4" s="1"/>
  <c r="EC44" i="4"/>
  <c r="EG44" i="4" s="1"/>
  <c r="EA46" i="4"/>
  <c r="EE46" i="4" s="1"/>
  <c r="EB46" i="4"/>
  <c r="EF46" i="4" s="1"/>
  <c r="EA47" i="4"/>
  <c r="EE47" i="4" s="1"/>
  <c r="EB49" i="4"/>
  <c r="EF49" i="4" s="1"/>
  <c r="EA51" i="4"/>
  <c r="EE51" i="4" s="1"/>
  <c r="EC52" i="4"/>
  <c r="EG52" i="4" s="1"/>
  <c r="EB53" i="4"/>
  <c r="EF53" i="4" s="1"/>
  <c r="EC56" i="4"/>
  <c r="EG56" i="4" s="1"/>
  <c r="T14" i="3"/>
  <c r="T49" i="3"/>
  <c r="T101" i="3"/>
  <c r="T613" i="3"/>
  <c r="EA43" i="4"/>
  <c r="EE43" i="4" s="1"/>
  <c r="EA54" i="4"/>
  <c r="EE54" i="4" s="1"/>
  <c r="EB43" i="4"/>
  <c r="EF43" i="4" s="1"/>
  <c r="EB44" i="4"/>
  <c r="EF44" i="4" s="1"/>
  <c r="S273" i="3" l="1"/>
  <c r="T272" i="3"/>
  <c r="S48" i="3"/>
  <c r="S611" i="3"/>
  <c r="T271" i="3"/>
  <c r="S543" i="3"/>
  <c r="T48" i="3"/>
  <c r="S609" i="3"/>
  <c r="T475" i="3"/>
  <c r="S610" i="3"/>
  <c r="T542" i="3"/>
  <c r="S321" i="3"/>
  <c r="S558" i="3"/>
  <c r="S271" i="3"/>
  <c r="S49" i="3"/>
  <c r="S13" i="3"/>
  <c r="T558" i="3"/>
  <c r="T100" i="3"/>
  <c r="S475" i="3"/>
  <c r="T13" i="3"/>
  <c r="T560" i="3"/>
  <c r="S474" i="3"/>
  <c r="S541" i="3"/>
  <c r="EA15" i="4"/>
  <c r="T474" i="3"/>
  <c r="S100" i="3"/>
  <c r="S14" i="3"/>
  <c r="T273" i="3"/>
  <c r="T541" i="3"/>
  <c r="S101" i="3"/>
  <c r="S323" i="3"/>
  <c r="S84" i="3"/>
  <c r="T543" i="3"/>
  <c r="T323" i="3"/>
  <c r="T609" i="3"/>
  <c r="W611" i="3" s="1"/>
  <c r="T322" i="3"/>
  <c r="T85" i="3"/>
  <c r="T84" i="3"/>
  <c r="S272" i="3"/>
  <c r="T321" i="3"/>
  <c r="T611" i="3"/>
  <c r="S85" i="3"/>
  <c r="T610" i="3"/>
  <c r="S542" i="3"/>
  <c r="S322" i="3"/>
  <c r="Q632" i="3"/>
  <c r="G632" i="3"/>
  <c r="F632" i="3"/>
  <c r="E632" i="3"/>
  <c r="Q631" i="3"/>
  <c r="G631" i="3"/>
  <c r="F631" i="3"/>
  <c r="E631" i="3"/>
  <c r="Q630" i="3"/>
  <c r="G630" i="3"/>
  <c r="F630" i="3"/>
  <c r="E630" i="3"/>
  <c r="Q628" i="3"/>
  <c r="Q627" i="3"/>
  <c r="Q626" i="3"/>
  <c r="AC624" i="3"/>
  <c r="AB624" i="3"/>
  <c r="T624" i="3"/>
  <c r="S624" i="3"/>
  <c r="Q624" i="3"/>
  <c r="D624" i="3"/>
  <c r="R624" i="3" s="1"/>
  <c r="AC623" i="3"/>
  <c r="AB623" i="3"/>
  <c r="T623" i="3"/>
  <c r="S623" i="3"/>
  <c r="Q623" i="3"/>
  <c r="D623" i="3"/>
  <c r="R623" i="3" s="1"/>
  <c r="AC622" i="3"/>
  <c r="T622" i="3"/>
  <c r="S622" i="3"/>
  <c r="Q622" i="3"/>
  <c r="D622" i="3"/>
  <c r="R622" i="3" s="1"/>
  <c r="V622" i="3" s="1"/>
  <c r="Q615" i="3"/>
  <c r="D615" i="3"/>
  <c r="R615" i="3" s="1"/>
  <c r="Q614" i="3"/>
  <c r="Q613" i="3"/>
  <c r="Q611" i="3"/>
  <c r="D611" i="3"/>
  <c r="R611" i="3" s="1"/>
  <c r="Q610" i="3"/>
  <c r="F610" i="3"/>
  <c r="E610" i="3"/>
  <c r="Q609" i="3"/>
  <c r="F609" i="3"/>
  <c r="E609" i="3"/>
  <c r="T607" i="3"/>
  <c r="S607" i="3"/>
  <c r="Q607" i="3"/>
  <c r="D607" i="3"/>
  <c r="R607" i="3" s="1"/>
  <c r="T606" i="3"/>
  <c r="S606" i="3"/>
  <c r="Q606" i="3"/>
  <c r="D606" i="3"/>
  <c r="R606" i="3" s="1"/>
  <c r="T605" i="3"/>
  <c r="S605" i="3"/>
  <c r="Q605" i="3"/>
  <c r="D605" i="3"/>
  <c r="E613" i="3" s="1"/>
  <c r="T598" i="3"/>
  <c r="S598" i="3"/>
  <c r="Q598" i="3"/>
  <c r="D598" i="3"/>
  <c r="R598" i="3" s="1"/>
  <c r="T597" i="3"/>
  <c r="S597" i="3"/>
  <c r="Q597" i="3"/>
  <c r="D597" i="3"/>
  <c r="R597" i="3" s="1"/>
  <c r="T596" i="3"/>
  <c r="S596" i="3"/>
  <c r="Q596" i="3"/>
  <c r="D596" i="3"/>
  <c r="R596" i="3" s="1"/>
  <c r="T594" i="3"/>
  <c r="S594" i="3"/>
  <c r="Q594" i="3"/>
  <c r="D594" i="3"/>
  <c r="R594" i="3" s="1"/>
  <c r="Q593" i="3"/>
  <c r="J593" i="3"/>
  <c r="I593" i="3"/>
  <c r="H593" i="3"/>
  <c r="F593" i="3"/>
  <c r="E593" i="3"/>
  <c r="Q592" i="3"/>
  <c r="J592" i="3"/>
  <c r="I592" i="3"/>
  <c r="H592" i="3"/>
  <c r="F592" i="3"/>
  <c r="E592" i="3"/>
  <c r="T590" i="3"/>
  <c r="S590" i="3"/>
  <c r="Q590" i="3"/>
  <c r="D590" i="3"/>
  <c r="R590" i="3" s="1"/>
  <c r="T589" i="3"/>
  <c r="S589" i="3"/>
  <c r="Q589" i="3"/>
  <c r="D589" i="3"/>
  <c r="R589" i="3" s="1"/>
  <c r="V589" i="3" s="1"/>
  <c r="T588" i="3"/>
  <c r="W590" i="3" s="1"/>
  <c r="S588" i="3"/>
  <c r="Q588" i="3"/>
  <c r="D588" i="3"/>
  <c r="R588" i="3" s="1"/>
  <c r="U588" i="3" s="1"/>
  <c r="Q581" i="3"/>
  <c r="D581" i="3"/>
  <c r="R581" i="3" s="1"/>
  <c r="Q580" i="3"/>
  <c r="G580" i="3"/>
  <c r="D580" i="3" s="1"/>
  <c r="R580" i="3" s="1"/>
  <c r="Q579" i="3"/>
  <c r="G579" i="3"/>
  <c r="D579" i="3" s="1"/>
  <c r="R579" i="3" s="1"/>
  <c r="Q577" i="3"/>
  <c r="M577" i="3"/>
  <c r="K577" i="3"/>
  <c r="J577" i="3"/>
  <c r="I577" i="3"/>
  <c r="H577" i="3"/>
  <c r="G577" i="3"/>
  <c r="F577" i="3"/>
  <c r="E577" i="3"/>
  <c r="Q576" i="3"/>
  <c r="M576" i="3"/>
  <c r="K576" i="3"/>
  <c r="J576" i="3"/>
  <c r="I576" i="3"/>
  <c r="H576" i="3"/>
  <c r="G576" i="3"/>
  <c r="F576" i="3"/>
  <c r="E576" i="3"/>
  <c r="Q575" i="3"/>
  <c r="M575" i="3"/>
  <c r="K575" i="3"/>
  <c r="J575" i="3"/>
  <c r="I575" i="3"/>
  <c r="H575" i="3"/>
  <c r="G575" i="3"/>
  <c r="F575" i="3"/>
  <c r="E575" i="3"/>
  <c r="AJ573" i="3"/>
  <c r="AI573" i="3"/>
  <c r="AH573" i="3"/>
  <c r="AG573" i="3"/>
  <c r="AD573" i="3"/>
  <c r="T581" i="3" s="1"/>
  <c r="AC573" i="3"/>
  <c r="Q573" i="3"/>
  <c r="G573" i="3"/>
  <c r="D573" i="3" s="1"/>
  <c r="R573" i="3" s="1"/>
  <c r="AJ572" i="3"/>
  <c r="AL572" i="3" s="1"/>
  <c r="AI572" i="3"/>
  <c r="AH572" i="3"/>
  <c r="AG572" i="3"/>
  <c r="AD572" i="3"/>
  <c r="T580" i="3" s="1"/>
  <c r="AC572" i="3"/>
  <c r="S580" i="3" s="1"/>
  <c r="Q572" i="3"/>
  <c r="G572" i="3"/>
  <c r="D572" i="3" s="1"/>
  <c r="R572" i="3" s="1"/>
  <c r="AJ571" i="3"/>
  <c r="AI571" i="3"/>
  <c r="AH571" i="3"/>
  <c r="AG571" i="3"/>
  <c r="AD571" i="3"/>
  <c r="AC571" i="3"/>
  <c r="S579" i="3" s="1"/>
  <c r="S571" i="3"/>
  <c r="Q571" i="3"/>
  <c r="G571" i="3"/>
  <c r="D571" i="3" s="1"/>
  <c r="R571" i="3" s="1"/>
  <c r="Q564" i="3"/>
  <c r="D564" i="3"/>
  <c r="R564" i="3" s="1"/>
  <c r="Q563" i="3"/>
  <c r="D563" i="3"/>
  <c r="R563" i="3" s="1"/>
  <c r="Q562" i="3"/>
  <c r="D562" i="3"/>
  <c r="R562" i="3" s="1"/>
  <c r="Q560" i="3"/>
  <c r="D560" i="3"/>
  <c r="R560" i="3" s="1"/>
  <c r="Q559" i="3"/>
  <c r="D559" i="3"/>
  <c r="R559" i="3" s="1"/>
  <c r="Q558" i="3"/>
  <c r="D558" i="3"/>
  <c r="R558" i="3" s="1"/>
  <c r="Q556" i="3"/>
  <c r="D556" i="3"/>
  <c r="R556" i="3" s="1"/>
  <c r="Q555" i="3"/>
  <c r="D555" i="3"/>
  <c r="R555" i="3" s="1"/>
  <c r="Q554" i="3"/>
  <c r="D554" i="3"/>
  <c r="R554" i="3" s="1"/>
  <c r="Q547" i="3"/>
  <c r="D547" i="3"/>
  <c r="R547" i="3" s="1"/>
  <c r="Q546" i="3"/>
  <c r="D546" i="3"/>
  <c r="R546" i="3" s="1"/>
  <c r="Q545" i="3"/>
  <c r="D545" i="3"/>
  <c r="R545" i="3" s="1"/>
  <c r="Q543" i="3"/>
  <c r="D543" i="3"/>
  <c r="R543" i="3" s="1"/>
  <c r="Q542" i="3"/>
  <c r="D542" i="3"/>
  <c r="R542" i="3" s="1"/>
  <c r="V542" i="3" s="1"/>
  <c r="Q541" i="3"/>
  <c r="D541" i="3"/>
  <c r="R541" i="3" s="1"/>
  <c r="V541" i="3" s="1"/>
  <c r="Q539" i="3"/>
  <c r="D539" i="3"/>
  <c r="R539" i="3" s="1"/>
  <c r="Q538" i="3"/>
  <c r="D538" i="3"/>
  <c r="R538" i="3" s="1"/>
  <c r="Q537" i="3"/>
  <c r="D537" i="3"/>
  <c r="R537" i="3" s="1"/>
  <c r="S530" i="3"/>
  <c r="Q530" i="3"/>
  <c r="D530" i="3"/>
  <c r="R530" i="3" s="1"/>
  <c r="V530" i="3" s="1"/>
  <c r="S529" i="3"/>
  <c r="Q529" i="3"/>
  <c r="D529" i="3"/>
  <c r="R529" i="3" s="1"/>
  <c r="V529" i="3" s="1"/>
  <c r="S528" i="3"/>
  <c r="Q528" i="3"/>
  <c r="D528" i="3"/>
  <c r="R528" i="3" s="1"/>
  <c r="S526" i="3"/>
  <c r="Q526" i="3"/>
  <c r="D526" i="3"/>
  <c r="R526" i="3" s="1"/>
  <c r="V526" i="3" s="1"/>
  <c r="S525" i="3"/>
  <c r="Q525" i="3"/>
  <c r="D525" i="3"/>
  <c r="R525" i="3" s="1"/>
  <c r="V525" i="3" s="1"/>
  <c r="S524" i="3"/>
  <c r="Q524" i="3"/>
  <c r="D524" i="3"/>
  <c r="R524" i="3" s="1"/>
  <c r="V524" i="3" s="1"/>
  <c r="S522" i="3"/>
  <c r="Q522" i="3"/>
  <c r="D522" i="3"/>
  <c r="R522" i="3" s="1"/>
  <c r="S521" i="3"/>
  <c r="Q521" i="3"/>
  <c r="D521" i="3"/>
  <c r="R521" i="3" s="1"/>
  <c r="V521" i="3" s="1"/>
  <c r="S520" i="3"/>
  <c r="Q520" i="3"/>
  <c r="D520" i="3"/>
  <c r="R520" i="3" s="1"/>
  <c r="V520" i="3" s="1"/>
  <c r="S513" i="3"/>
  <c r="Q513" i="3"/>
  <c r="G513" i="3"/>
  <c r="D513" i="3" s="1"/>
  <c r="R513" i="3" s="1"/>
  <c r="S512" i="3"/>
  <c r="Q512" i="3"/>
  <c r="G512" i="3"/>
  <c r="D512" i="3" s="1"/>
  <c r="R512" i="3" s="1"/>
  <c r="S511" i="3"/>
  <c r="Q511" i="3"/>
  <c r="G511" i="3"/>
  <c r="D511" i="3" s="1"/>
  <c r="R511" i="3" s="1"/>
  <c r="V511" i="3" s="1"/>
  <c r="S509" i="3"/>
  <c r="Q509" i="3"/>
  <c r="G509" i="3"/>
  <c r="D509" i="3" s="1"/>
  <c r="R509" i="3" s="1"/>
  <c r="S508" i="3"/>
  <c r="Q508" i="3"/>
  <c r="G508" i="3"/>
  <c r="D508" i="3" s="1"/>
  <c r="R508" i="3" s="1"/>
  <c r="S507" i="3"/>
  <c r="Q507" i="3"/>
  <c r="G507" i="3"/>
  <c r="D507" i="3" s="1"/>
  <c r="R507" i="3" s="1"/>
  <c r="S505" i="3"/>
  <c r="Q505" i="3"/>
  <c r="G505" i="3"/>
  <c r="D505" i="3" s="1"/>
  <c r="R505" i="3" s="1"/>
  <c r="V505" i="3" s="1"/>
  <c r="S504" i="3"/>
  <c r="Q504" i="3"/>
  <c r="G504" i="3"/>
  <c r="D504" i="3" s="1"/>
  <c r="R504" i="3" s="1"/>
  <c r="S503" i="3"/>
  <c r="Q503" i="3"/>
  <c r="G503" i="3"/>
  <c r="D503" i="3" s="1"/>
  <c r="R503" i="3" s="1"/>
  <c r="S496" i="3"/>
  <c r="Q496" i="3"/>
  <c r="F496" i="3"/>
  <c r="D496" i="3" s="1"/>
  <c r="R496" i="3" s="1"/>
  <c r="S495" i="3"/>
  <c r="Q495" i="3"/>
  <c r="F495" i="3"/>
  <c r="D495" i="3" s="1"/>
  <c r="R495" i="3" s="1"/>
  <c r="S494" i="3"/>
  <c r="Q494" i="3"/>
  <c r="F494" i="3"/>
  <c r="D494" i="3" s="1"/>
  <c r="R494" i="3" s="1"/>
  <c r="S492" i="3"/>
  <c r="Q492" i="3"/>
  <c r="F492" i="3"/>
  <c r="D492" i="3" s="1"/>
  <c r="R492" i="3" s="1"/>
  <c r="V492" i="3" s="1"/>
  <c r="S491" i="3"/>
  <c r="Q491" i="3"/>
  <c r="F491" i="3"/>
  <c r="D491" i="3" s="1"/>
  <c r="R491" i="3" s="1"/>
  <c r="S490" i="3"/>
  <c r="Q490" i="3"/>
  <c r="F490" i="3"/>
  <c r="D490" i="3" s="1"/>
  <c r="R490" i="3" s="1"/>
  <c r="S488" i="3"/>
  <c r="Q488" i="3"/>
  <c r="F488" i="3"/>
  <c r="D488" i="3" s="1"/>
  <c r="R488" i="3" s="1"/>
  <c r="S487" i="3"/>
  <c r="Q487" i="3"/>
  <c r="F487" i="3"/>
  <c r="D487" i="3" s="1"/>
  <c r="R487" i="3" s="1"/>
  <c r="V487" i="3" s="1"/>
  <c r="S486" i="3"/>
  <c r="Q486" i="3"/>
  <c r="F486" i="3"/>
  <c r="D486" i="3" s="1"/>
  <c r="R486" i="3" s="1"/>
  <c r="Q479" i="3"/>
  <c r="D479" i="3"/>
  <c r="G479" i="3" s="1"/>
  <c r="Q478" i="3"/>
  <c r="D478" i="3"/>
  <c r="G478" i="3" s="1"/>
  <c r="Q477" i="3"/>
  <c r="D477" i="3"/>
  <c r="R475" i="3"/>
  <c r="Q475" i="3"/>
  <c r="D475" i="3"/>
  <c r="G475" i="3" s="1"/>
  <c r="Q474" i="3"/>
  <c r="D474" i="3"/>
  <c r="Q473" i="3"/>
  <c r="D473" i="3"/>
  <c r="G473" i="3" s="1"/>
  <c r="T471" i="3"/>
  <c r="S471" i="3"/>
  <c r="Q471" i="3"/>
  <c r="D471" i="3"/>
  <c r="R471" i="3" s="1"/>
  <c r="T470" i="3"/>
  <c r="S470" i="3"/>
  <c r="Q470" i="3"/>
  <c r="D470" i="3"/>
  <c r="R470" i="3" s="1"/>
  <c r="T469" i="3"/>
  <c r="S469" i="3"/>
  <c r="Q469" i="3"/>
  <c r="D469" i="3"/>
  <c r="R469" i="3" s="1"/>
  <c r="S462" i="3"/>
  <c r="Q462" i="3"/>
  <c r="D462" i="3"/>
  <c r="R462" i="3" s="1"/>
  <c r="S461" i="3"/>
  <c r="Q461" i="3"/>
  <c r="D461" i="3"/>
  <c r="R461" i="3" s="1"/>
  <c r="V461" i="3" s="1"/>
  <c r="S460" i="3"/>
  <c r="Q460" i="3"/>
  <c r="D460" i="3"/>
  <c r="R460" i="3" s="1"/>
  <c r="S458" i="3"/>
  <c r="Q458" i="3"/>
  <c r="D458" i="3"/>
  <c r="R458" i="3" s="1"/>
  <c r="V458" i="3" s="1"/>
  <c r="S457" i="3"/>
  <c r="Q457" i="3"/>
  <c r="D457" i="3"/>
  <c r="R457" i="3" s="1"/>
  <c r="S456" i="3"/>
  <c r="Q456" i="3"/>
  <c r="D456" i="3"/>
  <c r="R456" i="3" s="1"/>
  <c r="V456" i="3" s="1"/>
  <c r="S454" i="3"/>
  <c r="Q454" i="3"/>
  <c r="D454" i="3"/>
  <c r="R454" i="3" s="1"/>
  <c r="S453" i="3"/>
  <c r="Q453" i="3"/>
  <c r="D453" i="3"/>
  <c r="R453" i="3" s="1"/>
  <c r="V453" i="3" s="1"/>
  <c r="S452" i="3"/>
  <c r="Q452" i="3"/>
  <c r="D452" i="3"/>
  <c r="R452" i="3" s="1"/>
  <c r="T445" i="3"/>
  <c r="S445" i="3"/>
  <c r="Q445" i="3"/>
  <c r="D445" i="3"/>
  <c r="R445" i="3" s="1"/>
  <c r="T444" i="3"/>
  <c r="S444" i="3"/>
  <c r="Q444" i="3"/>
  <c r="D444" i="3"/>
  <c r="R444" i="3" s="1"/>
  <c r="T443" i="3"/>
  <c r="S443" i="3"/>
  <c r="Z446" i="3" s="1"/>
  <c r="Q443" i="3"/>
  <c r="D443" i="3"/>
  <c r="R443" i="3" s="1"/>
  <c r="T441" i="3"/>
  <c r="S441" i="3"/>
  <c r="Q441" i="3"/>
  <c r="D441" i="3"/>
  <c r="R441" i="3" s="1"/>
  <c r="T440" i="3"/>
  <c r="S440" i="3"/>
  <c r="R440" i="3"/>
  <c r="V440" i="3" s="1"/>
  <c r="Q440" i="3"/>
  <c r="D440" i="3"/>
  <c r="T439" i="3"/>
  <c r="S439" i="3"/>
  <c r="Q439" i="3"/>
  <c r="D439" i="3"/>
  <c r="R439" i="3" s="1"/>
  <c r="T437" i="3"/>
  <c r="S437" i="3"/>
  <c r="Q437" i="3"/>
  <c r="D437" i="3"/>
  <c r="R437" i="3" s="1"/>
  <c r="T436" i="3"/>
  <c r="S436" i="3"/>
  <c r="Q436" i="3"/>
  <c r="D436" i="3"/>
  <c r="R436" i="3" s="1"/>
  <c r="T435" i="3"/>
  <c r="S435" i="3"/>
  <c r="Q435" i="3"/>
  <c r="D435" i="3"/>
  <c r="R435" i="3" s="1"/>
  <c r="T428" i="3"/>
  <c r="S428" i="3"/>
  <c r="Q428" i="3"/>
  <c r="D428" i="3"/>
  <c r="R428" i="3" s="1"/>
  <c r="T427" i="3"/>
  <c r="S427" i="3"/>
  <c r="Q427" i="3"/>
  <c r="D427" i="3"/>
  <c r="R427" i="3" s="1"/>
  <c r="U427" i="3" s="1"/>
  <c r="T426" i="3"/>
  <c r="S426" i="3"/>
  <c r="Q426" i="3"/>
  <c r="D426" i="3"/>
  <c r="R426" i="3" s="1"/>
  <c r="T424" i="3"/>
  <c r="S424" i="3"/>
  <c r="Q424" i="3"/>
  <c r="D424" i="3"/>
  <c r="R424" i="3" s="1"/>
  <c r="T423" i="3"/>
  <c r="S423" i="3"/>
  <c r="Q423" i="3"/>
  <c r="D423" i="3"/>
  <c r="R423" i="3" s="1"/>
  <c r="T422" i="3"/>
  <c r="S422" i="3"/>
  <c r="Q422" i="3"/>
  <c r="D422" i="3"/>
  <c r="R422" i="3" s="1"/>
  <c r="V422" i="3" s="1"/>
  <c r="T420" i="3"/>
  <c r="S420" i="3"/>
  <c r="Q420" i="3"/>
  <c r="D420" i="3"/>
  <c r="R420" i="3" s="1"/>
  <c r="V420" i="3" s="1"/>
  <c r="T419" i="3"/>
  <c r="S419" i="3"/>
  <c r="R419" i="3"/>
  <c r="Q419" i="3"/>
  <c r="D419" i="3"/>
  <c r="T418" i="3"/>
  <c r="S418" i="3"/>
  <c r="Q418" i="3"/>
  <c r="D418" i="3"/>
  <c r="R418" i="3" s="1"/>
  <c r="S411" i="3"/>
  <c r="Q411" i="3"/>
  <c r="D411" i="3"/>
  <c r="R411" i="3" s="1"/>
  <c r="V411" i="3" s="1"/>
  <c r="S410" i="3"/>
  <c r="Q410" i="3"/>
  <c r="D410" i="3"/>
  <c r="R410" i="3" s="1"/>
  <c r="V410" i="3" s="1"/>
  <c r="S409" i="3"/>
  <c r="Q409" i="3"/>
  <c r="D409" i="3"/>
  <c r="R409" i="3" s="1"/>
  <c r="Q407" i="3"/>
  <c r="H407" i="3"/>
  <c r="G407" i="3"/>
  <c r="E407" i="3"/>
  <c r="S407" i="3" s="1"/>
  <c r="Q406" i="3"/>
  <c r="H406" i="3"/>
  <c r="G406" i="3"/>
  <c r="E406" i="3"/>
  <c r="Q405" i="3"/>
  <c r="H405" i="3"/>
  <c r="G405" i="3"/>
  <c r="F405" i="3"/>
  <c r="E405" i="3"/>
  <c r="S405" i="3" s="1"/>
  <c r="S403" i="3"/>
  <c r="Q403" i="3"/>
  <c r="D403" i="3"/>
  <c r="R403" i="3" s="1"/>
  <c r="S402" i="3"/>
  <c r="Q402" i="3"/>
  <c r="D402" i="3"/>
  <c r="R402" i="3" s="1"/>
  <c r="V402" i="3" s="1"/>
  <c r="S401" i="3"/>
  <c r="Q401" i="3"/>
  <c r="D401" i="3"/>
  <c r="R401" i="3" s="1"/>
  <c r="T394" i="3"/>
  <c r="S394" i="3"/>
  <c r="Q394" i="3"/>
  <c r="D394" i="3"/>
  <c r="R394" i="3" s="1"/>
  <c r="T393" i="3"/>
  <c r="S393" i="3"/>
  <c r="Q393" i="3"/>
  <c r="D393" i="3"/>
  <c r="R393" i="3" s="1"/>
  <c r="V393" i="3" s="1"/>
  <c r="T392" i="3"/>
  <c r="S392" i="3"/>
  <c r="Q392" i="3"/>
  <c r="D392" i="3"/>
  <c r="R392" i="3" s="1"/>
  <c r="U392" i="3" s="1"/>
  <c r="T390" i="3"/>
  <c r="S390" i="3"/>
  <c r="Q390" i="3"/>
  <c r="D390" i="3"/>
  <c r="R390" i="3" s="1"/>
  <c r="T389" i="3"/>
  <c r="S389" i="3"/>
  <c r="Q389" i="3"/>
  <c r="D389" i="3"/>
  <c r="R389" i="3" s="1"/>
  <c r="T388" i="3"/>
  <c r="S388" i="3"/>
  <c r="Q388" i="3"/>
  <c r="D388" i="3"/>
  <c r="R388" i="3" s="1"/>
  <c r="T386" i="3"/>
  <c r="S386" i="3"/>
  <c r="Q386" i="3"/>
  <c r="D386" i="3"/>
  <c r="R386" i="3" s="1"/>
  <c r="U386" i="3" s="1"/>
  <c r="T385" i="3"/>
  <c r="S385" i="3"/>
  <c r="Q385" i="3"/>
  <c r="D385" i="3"/>
  <c r="R385" i="3" s="1"/>
  <c r="T384" i="3"/>
  <c r="S384" i="3"/>
  <c r="Q384" i="3"/>
  <c r="D384" i="3"/>
  <c r="R384" i="3" s="1"/>
  <c r="S378" i="3"/>
  <c r="Q378" i="3"/>
  <c r="D378" i="3"/>
  <c r="R378" i="3" s="1"/>
  <c r="S377" i="3"/>
  <c r="Q377" i="3"/>
  <c r="D377" i="3"/>
  <c r="R377" i="3" s="1"/>
  <c r="S376" i="3"/>
  <c r="Q376" i="3"/>
  <c r="D376" i="3"/>
  <c r="R376" i="3" s="1"/>
  <c r="S374" i="3"/>
  <c r="Q374" i="3"/>
  <c r="D374" i="3"/>
  <c r="R374" i="3" s="1"/>
  <c r="S373" i="3"/>
  <c r="Q373" i="3"/>
  <c r="D373" i="3"/>
  <c r="R373" i="3" s="1"/>
  <c r="S372" i="3"/>
  <c r="Q372" i="3"/>
  <c r="D372" i="3"/>
  <c r="R372" i="3" s="1"/>
  <c r="S370" i="3"/>
  <c r="Q370" i="3"/>
  <c r="D370" i="3"/>
  <c r="R370" i="3" s="1"/>
  <c r="S369" i="3"/>
  <c r="Q369" i="3"/>
  <c r="D369" i="3"/>
  <c r="R369" i="3" s="1"/>
  <c r="S368" i="3"/>
  <c r="Q368" i="3"/>
  <c r="D368" i="3"/>
  <c r="R368" i="3" s="1"/>
  <c r="S361" i="3"/>
  <c r="Q361" i="3"/>
  <c r="D361" i="3"/>
  <c r="R361" i="3" s="1"/>
  <c r="S360" i="3"/>
  <c r="Q360" i="3"/>
  <c r="D360" i="3"/>
  <c r="R360" i="3" s="1"/>
  <c r="S359" i="3"/>
  <c r="Q359" i="3"/>
  <c r="D359" i="3"/>
  <c r="R359" i="3" s="1"/>
  <c r="S357" i="3"/>
  <c r="Q357" i="3"/>
  <c r="D357" i="3"/>
  <c r="R357" i="3" s="1"/>
  <c r="S356" i="3"/>
  <c r="Q356" i="3"/>
  <c r="D356" i="3"/>
  <c r="R356" i="3" s="1"/>
  <c r="S355" i="3"/>
  <c r="Q355" i="3"/>
  <c r="D355" i="3"/>
  <c r="R355" i="3" s="1"/>
  <c r="S353" i="3"/>
  <c r="Q353" i="3"/>
  <c r="D353" i="3"/>
  <c r="R353" i="3" s="1"/>
  <c r="S352" i="3"/>
  <c r="Q352" i="3"/>
  <c r="D352" i="3"/>
  <c r="R352" i="3" s="1"/>
  <c r="S351" i="3"/>
  <c r="Q351" i="3"/>
  <c r="D351" i="3"/>
  <c r="R351" i="3" s="1"/>
  <c r="S344" i="3"/>
  <c r="Q344" i="3"/>
  <c r="D344" i="3"/>
  <c r="R344" i="3" s="1"/>
  <c r="V344" i="3" s="1"/>
  <c r="S343" i="3"/>
  <c r="Q343" i="3"/>
  <c r="D343" i="3"/>
  <c r="R343" i="3" s="1"/>
  <c r="V343" i="3" s="1"/>
  <c r="S342" i="3"/>
  <c r="Q342" i="3"/>
  <c r="D342" i="3"/>
  <c r="R342" i="3" s="1"/>
  <c r="Q340" i="3"/>
  <c r="H340" i="3"/>
  <c r="G340" i="3"/>
  <c r="F340" i="3"/>
  <c r="E340" i="3"/>
  <c r="S339" i="3"/>
  <c r="Q339" i="3"/>
  <c r="H339" i="3"/>
  <c r="D339" i="3" s="1"/>
  <c r="R339" i="3" s="1"/>
  <c r="S338" i="3"/>
  <c r="Q338" i="3"/>
  <c r="H338" i="3"/>
  <c r="D338" i="3" s="1"/>
  <c r="R338" i="3" s="1"/>
  <c r="S336" i="3"/>
  <c r="Q336" i="3"/>
  <c r="D336" i="3"/>
  <c r="R336" i="3" s="1"/>
  <c r="V336" i="3" s="1"/>
  <c r="S335" i="3"/>
  <c r="Q335" i="3"/>
  <c r="D335" i="3"/>
  <c r="R335" i="3" s="1"/>
  <c r="S334" i="3"/>
  <c r="Q334" i="3"/>
  <c r="D334" i="3"/>
  <c r="R334" i="3" s="1"/>
  <c r="R327" i="3"/>
  <c r="Q327" i="3"/>
  <c r="D327" i="3"/>
  <c r="Q326" i="3"/>
  <c r="D326" i="3"/>
  <c r="R326" i="3" s="1"/>
  <c r="Q325" i="3"/>
  <c r="D325" i="3"/>
  <c r="R325" i="3" s="1"/>
  <c r="Q323" i="3"/>
  <c r="D323" i="3"/>
  <c r="R323" i="3" s="1"/>
  <c r="Q322" i="3"/>
  <c r="D322" i="3"/>
  <c r="R322" i="3" s="1"/>
  <c r="Q321" i="3"/>
  <c r="D321" i="3"/>
  <c r="R321" i="3" s="1"/>
  <c r="Q319" i="3"/>
  <c r="D319" i="3"/>
  <c r="R319" i="3" s="1"/>
  <c r="Q318" i="3"/>
  <c r="D318" i="3"/>
  <c r="R318" i="3" s="1"/>
  <c r="Q317" i="3"/>
  <c r="D317" i="3"/>
  <c r="R317" i="3" s="1"/>
  <c r="V317" i="3" s="1"/>
  <c r="Q311" i="3"/>
  <c r="D311" i="3"/>
  <c r="Q310" i="3"/>
  <c r="D310" i="3"/>
  <c r="Q309" i="3"/>
  <c r="D309" i="3"/>
  <c r="R309" i="3" s="1"/>
  <c r="V309" i="3" s="1"/>
  <c r="Q307" i="3"/>
  <c r="D307" i="3"/>
  <c r="Q306" i="3"/>
  <c r="D306" i="3"/>
  <c r="Q305" i="3"/>
  <c r="D305" i="3"/>
  <c r="S305" i="3" s="1"/>
  <c r="Q303" i="3"/>
  <c r="D303" i="3"/>
  <c r="R303" i="3" s="1"/>
  <c r="V303" i="3" s="1"/>
  <c r="Q302" i="3"/>
  <c r="D302" i="3"/>
  <c r="S302" i="3" s="1"/>
  <c r="Q301" i="3"/>
  <c r="D301" i="3"/>
  <c r="T294" i="3"/>
  <c r="S294" i="3"/>
  <c r="Q294" i="3"/>
  <c r="D294" i="3"/>
  <c r="R294" i="3" s="1"/>
  <c r="T293" i="3"/>
  <c r="S293" i="3"/>
  <c r="Q293" i="3"/>
  <c r="D293" i="3"/>
  <c r="R293" i="3" s="1"/>
  <c r="T292" i="3"/>
  <c r="S292" i="3"/>
  <c r="Q292" i="3"/>
  <c r="D292" i="3"/>
  <c r="R292" i="3" s="1"/>
  <c r="T290" i="3"/>
  <c r="S290" i="3"/>
  <c r="Q290" i="3"/>
  <c r="D290" i="3"/>
  <c r="R290" i="3" s="1"/>
  <c r="T289" i="3"/>
  <c r="S289" i="3"/>
  <c r="Q289" i="3"/>
  <c r="D289" i="3"/>
  <c r="R289" i="3" s="1"/>
  <c r="T288" i="3"/>
  <c r="S288" i="3"/>
  <c r="Q288" i="3"/>
  <c r="D288" i="3"/>
  <c r="R288" i="3" s="1"/>
  <c r="V288" i="3" s="1"/>
  <c r="T286" i="3"/>
  <c r="S286" i="3"/>
  <c r="Q286" i="3"/>
  <c r="D286" i="3"/>
  <c r="R286" i="3" s="1"/>
  <c r="T285" i="3"/>
  <c r="S285" i="3"/>
  <c r="Q285" i="3"/>
  <c r="D285" i="3"/>
  <c r="R285" i="3" s="1"/>
  <c r="T284" i="3"/>
  <c r="S284" i="3"/>
  <c r="Q284" i="3"/>
  <c r="D284" i="3"/>
  <c r="R284" i="3" s="1"/>
  <c r="Q277" i="3"/>
  <c r="D277" i="3"/>
  <c r="R277" i="3" s="1"/>
  <c r="R276" i="3"/>
  <c r="Q276" i="3"/>
  <c r="D276" i="3"/>
  <c r="Q275" i="3"/>
  <c r="D275" i="3"/>
  <c r="R275" i="3" s="1"/>
  <c r="Q273" i="3"/>
  <c r="H273" i="3"/>
  <c r="G273" i="3"/>
  <c r="F273" i="3"/>
  <c r="E273" i="3"/>
  <c r="Q272" i="3"/>
  <c r="H272" i="3"/>
  <c r="G272" i="3"/>
  <c r="F272" i="3"/>
  <c r="E272" i="3"/>
  <c r="Q271" i="3"/>
  <c r="G271" i="3"/>
  <c r="F271" i="3"/>
  <c r="E271" i="3"/>
  <c r="Q269" i="3"/>
  <c r="D269" i="3"/>
  <c r="R269" i="3" s="1"/>
  <c r="Q268" i="3"/>
  <c r="D268" i="3"/>
  <c r="R268" i="3" s="1"/>
  <c r="Q267" i="3"/>
  <c r="D267" i="3"/>
  <c r="R267" i="3" s="1"/>
  <c r="S260" i="3"/>
  <c r="Q260" i="3"/>
  <c r="D260" i="3"/>
  <c r="R260" i="3" s="1"/>
  <c r="S259" i="3"/>
  <c r="U259" i="3" s="1"/>
  <c r="Q259" i="3"/>
  <c r="D259" i="3"/>
  <c r="R259" i="3" s="1"/>
  <c r="V259" i="3" s="1"/>
  <c r="S258" i="3"/>
  <c r="Q258" i="3"/>
  <c r="D258" i="3"/>
  <c r="R258" i="3" s="1"/>
  <c r="S256" i="3"/>
  <c r="Q256" i="3"/>
  <c r="D256" i="3"/>
  <c r="R256" i="3" s="1"/>
  <c r="V256" i="3" s="1"/>
  <c r="S255" i="3"/>
  <c r="Q255" i="3"/>
  <c r="D255" i="3"/>
  <c r="R255" i="3" s="1"/>
  <c r="V255" i="3" s="1"/>
  <c r="S254" i="3"/>
  <c r="Q254" i="3"/>
  <c r="D254" i="3"/>
  <c r="R254" i="3" s="1"/>
  <c r="S252" i="3"/>
  <c r="U252" i="3" s="1"/>
  <c r="Q252" i="3"/>
  <c r="D252" i="3"/>
  <c r="R252" i="3" s="1"/>
  <c r="V252" i="3" s="1"/>
  <c r="S251" i="3"/>
  <c r="Q251" i="3"/>
  <c r="D251" i="3"/>
  <c r="R251" i="3" s="1"/>
  <c r="S250" i="3"/>
  <c r="Q250" i="3"/>
  <c r="D250" i="3"/>
  <c r="R250" i="3" s="1"/>
  <c r="S243" i="3"/>
  <c r="R243" i="3"/>
  <c r="V243" i="3" s="1"/>
  <c r="Q243" i="3"/>
  <c r="F243" i="3"/>
  <c r="S242" i="3"/>
  <c r="R242" i="3"/>
  <c r="Q242" i="3"/>
  <c r="F242" i="3"/>
  <c r="S241" i="3"/>
  <c r="R241" i="3"/>
  <c r="V241" i="3" s="1"/>
  <c r="Q241" i="3"/>
  <c r="F241" i="3"/>
  <c r="S239" i="3"/>
  <c r="R239" i="3"/>
  <c r="V239" i="3" s="1"/>
  <c r="Q239" i="3"/>
  <c r="F239" i="3"/>
  <c r="S238" i="3"/>
  <c r="R238" i="3"/>
  <c r="Q238" i="3"/>
  <c r="F238" i="3"/>
  <c r="S237" i="3"/>
  <c r="R237" i="3"/>
  <c r="V237" i="3" s="1"/>
  <c r="Q237" i="3"/>
  <c r="F237" i="3"/>
  <c r="S235" i="3"/>
  <c r="R235" i="3"/>
  <c r="Q235" i="3"/>
  <c r="F235" i="3"/>
  <c r="S234" i="3"/>
  <c r="R234" i="3"/>
  <c r="Q234" i="3"/>
  <c r="F234" i="3"/>
  <c r="S233" i="3"/>
  <c r="R233" i="3"/>
  <c r="V233" i="3" s="1"/>
  <c r="Q233" i="3"/>
  <c r="F233" i="3"/>
  <c r="T226" i="3"/>
  <c r="S226" i="3"/>
  <c r="Q226" i="3"/>
  <c r="D226" i="3"/>
  <c r="R226" i="3" s="1"/>
  <c r="T225" i="3"/>
  <c r="S225" i="3"/>
  <c r="Q225" i="3"/>
  <c r="D225" i="3"/>
  <c r="R225" i="3" s="1"/>
  <c r="T224" i="3"/>
  <c r="S224" i="3"/>
  <c r="Q224" i="3"/>
  <c r="D224" i="3"/>
  <c r="R224" i="3" s="1"/>
  <c r="T222" i="3"/>
  <c r="S222" i="3"/>
  <c r="Q222" i="3"/>
  <c r="D222" i="3"/>
  <c r="R222" i="3" s="1"/>
  <c r="T221" i="3"/>
  <c r="S221" i="3"/>
  <c r="Q221" i="3"/>
  <c r="D221" i="3"/>
  <c r="R221" i="3" s="1"/>
  <c r="T220" i="3"/>
  <c r="S220" i="3"/>
  <c r="Q220" i="3"/>
  <c r="D220" i="3"/>
  <c r="R220" i="3" s="1"/>
  <c r="T218" i="3"/>
  <c r="S218" i="3"/>
  <c r="Q218" i="3"/>
  <c r="D218" i="3"/>
  <c r="R218" i="3" s="1"/>
  <c r="T217" i="3"/>
  <c r="S217" i="3"/>
  <c r="Q217" i="3"/>
  <c r="D217" i="3"/>
  <c r="R217" i="3" s="1"/>
  <c r="V217" i="3" s="1"/>
  <c r="T216" i="3"/>
  <c r="S216" i="3"/>
  <c r="Q216" i="3"/>
  <c r="D216" i="3"/>
  <c r="R216" i="3" s="1"/>
  <c r="T209" i="3"/>
  <c r="S209" i="3"/>
  <c r="Q209" i="3"/>
  <c r="D209" i="3"/>
  <c r="R209" i="3" s="1"/>
  <c r="T208" i="3"/>
  <c r="S208" i="3"/>
  <c r="Q208" i="3"/>
  <c r="D208" i="3"/>
  <c r="R208" i="3" s="1"/>
  <c r="T207" i="3"/>
  <c r="S207" i="3"/>
  <c r="Q207" i="3"/>
  <c r="D207" i="3"/>
  <c r="R207" i="3" s="1"/>
  <c r="T205" i="3"/>
  <c r="S205" i="3"/>
  <c r="Q205" i="3"/>
  <c r="D205" i="3"/>
  <c r="R205" i="3" s="1"/>
  <c r="T204" i="3"/>
  <c r="S204" i="3"/>
  <c r="R204" i="3"/>
  <c r="Q204" i="3"/>
  <c r="D204" i="3"/>
  <c r="T203" i="3"/>
  <c r="S203" i="3"/>
  <c r="Q203" i="3"/>
  <c r="D203" i="3"/>
  <c r="R203" i="3" s="1"/>
  <c r="V203" i="3" s="1"/>
  <c r="T201" i="3"/>
  <c r="S201" i="3"/>
  <c r="Q201" i="3"/>
  <c r="K201" i="3"/>
  <c r="D201" i="3" s="1"/>
  <c r="R201" i="3" s="1"/>
  <c r="T200" i="3"/>
  <c r="S200" i="3"/>
  <c r="Q200" i="3"/>
  <c r="K200" i="3"/>
  <c r="D200" i="3" s="1"/>
  <c r="R200" i="3" s="1"/>
  <c r="T199" i="3"/>
  <c r="S199" i="3"/>
  <c r="Q199" i="3"/>
  <c r="K199" i="3"/>
  <c r="D199" i="3" s="1"/>
  <c r="R199" i="3" s="1"/>
  <c r="AC192" i="3"/>
  <c r="AB192" i="3"/>
  <c r="Q192" i="3"/>
  <c r="D192" i="3"/>
  <c r="Q191" i="3"/>
  <c r="D191" i="3"/>
  <c r="Q190" i="3"/>
  <c r="D190" i="3"/>
  <c r="AC188" i="3"/>
  <c r="T191" i="3" s="1"/>
  <c r="AB188" i="3"/>
  <c r="Q188" i="3"/>
  <c r="J188" i="3"/>
  <c r="I188" i="3"/>
  <c r="G188" i="3"/>
  <c r="F188" i="3"/>
  <c r="E188" i="3"/>
  <c r="Q187" i="3"/>
  <c r="J187" i="3"/>
  <c r="I187" i="3"/>
  <c r="G187" i="3"/>
  <c r="F187" i="3"/>
  <c r="E187" i="3"/>
  <c r="Q186" i="3"/>
  <c r="J186" i="3"/>
  <c r="I186" i="3"/>
  <c r="H186" i="3"/>
  <c r="G186" i="3"/>
  <c r="F186" i="3"/>
  <c r="E186" i="3"/>
  <c r="AC184" i="3"/>
  <c r="R190" i="3" s="1"/>
  <c r="Q184" i="3"/>
  <c r="D184" i="3"/>
  <c r="T183" i="3"/>
  <c r="Q183" i="3"/>
  <c r="D183" i="3"/>
  <c r="Q182" i="3"/>
  <c r="D182" i="3"/>
  <c r="T176" i="3"/>
  <c r="S176" i="3"/>
  <c r="Q176" i="3"/>
  <c r="M176" i="3"/>
  <c r="D176" i="3" s="1"/>
  <c r="R176" i="3" s="1"/>
  <c r="T175" i="3"/>
  <c r="S175" i="3"/>
  <c r="Q175" i="3"/>
  <c r="M175" i="3"/>
  <c r="D175" i="3" s="1"/>
  <c r="R175" i="3" s="1"/>
  <c r="T174" i="3"/>
  <c r="S174" i="3"/>
  <c r="Q174" i="3"/>
  <c r="M174" i="3"/>
  <c r="D174" i="3" s="1"/>
  <c r="R174" i="3" s="1"/>
  <c r="T172" i="3"/>
  <c r="S172" i="3"/>
  <c r="Q172" i="3"/>
  <c r="D172" i="3"/>
  <c r="R172" i="3" s="1"/>
  <c r="T171" i="3"/>
  <c r="S171" i="3"/>
  <c r="Q171" i="3"/>
  <c r="D171" i="3"/>
  <c r="R171" i="3" s="1"/>
  <c r="T170" i="3"/>
  <c r="S170" i="3"/>
  <c r="Q170" i="3"/>
  <c r="D170" i="3"/>
  <c r="R170" i="3" s="1"/>
  <c r="T168" i="3"/>
  <c r="S168" i="3"/>
  <c r="Q168" i="3"/>
  <c r="D168" i="3"/>
  <c r="R168" i="3" s="1"/>
  <c r="T167" i="3"/>
  <c r="S167" i="3"/>
  <c r="Q167" i="3"/>
  <c r="D167" i="3"/>
  <c r="R167" i="3" s="1"/>
  <c r="U167" i="3" s="1"/>
  <c r="T166" i="3"/>
  <c r="S166" i="3"/>
  <c r="Q166" i="3"/>
  <c r="D166" i="3"/>
  <c r="R166" i="3" s="1"/>
  <c r="T157" i="3"/>
  <c r="S157" i="3"/>
  <c r="Q157" i="3"/>
  <c r="D157" i="3"/>
  <c r="R157" i="3" s="1"/>
  <c r="U157" i="3" s="1"/>
  <c r="T156" i="3"/>
  <c r="S156" i="3"/>
  <c r="Q156" i="3"/>
  <c r="D156" i="3"/>
  <c r="R156" i="3" s="1"/>
  <c r="T155" i="3"/>
  <c r="S155" i="3"/>
  <c r="Q155" i="3"/>
  <c r="D155" i="3"/>
  <c r="R155" i="3" s="1"/>
  <c r="U155" i="3" s="1"/>
  <c r="Q153" i="3"/>
  <c r="I153" i="3"/>
  <c r="H153" i="3"/>
  <c r="G153" i="3"/>
  <c r="F153" i="3"/>
  <c r="E153" i="3"/>
  <c r="Q152" i="3"/>
  <c r="I152" i="3"/>
  <c r="H152" i="3"/>
  <c r="G152" i="3"/>
  <c r="F152" i="3"/>
  <c r="E152" i="3"/>
  <c r="Q151" i="3"/>
  <c r="I151" i="3"/>
  <c r="H151" i="3"/>
  <c r="G151" i="3"/>
  <c r="F151" i="3"/>
  <c r="E151" i="3"/>
  <c r="T149" i="3"/>
  <c r="S149" i="3"/>
  <c r="Q149" i="3"/>
  <c r="D149" i="3"/>
  <c r="R149" i="3" s="1"/>
  <c r="T148" i="3"/>
  <c r="S148" i="3"/>
  <c r="Q148" i="3"/>
  <c r="D148" i="3"/>
  <c r="R148" i="3" s="1"/>
  <c r="T147" i="3"/>
  <c r="S147" i="3"/>
  <c r="Q147" i="3"/>
  <c r="D147" i="3"/>
  <c r="R147" i="3" s="1"/>
  <c r="Q140" i="3"/>
  <c r="D140" i="3"/>
  <c r="Q139" i="3"/>
  <c r="D139" i="3"/>
  <c r="T138" i="3"/>
  <c r="S138" i="3"/>
  <c r="Q138" i="3"/>
  <c r="D138" i="3"/>
  <c r="R138" i="3" s="1"/>
  <c r="Q136" i="3"/>
  <c r="D136" i="3"/>
  <c r="Q135" i="3"/>
  <c r="D135" i="3"/>
  <c r="T134" i="3"/>
  <c r="S134" i="3"/>
  <c r="Q134" i="3"/>
  <c r="D134" i="3"/>
  <c r="R134" i="3" s="1"/>
  <c r="Q132" i="3"/>
  <c r="D132" i="3"/>
  <c r="Q131" i="3"/>
  <c r="D131" i="3"/>
  <c r="T130" i="3"/>
  <c r="S130" i="3"/>
  <c r="Q130" i="3"/>
  <c r="D130" i="3"/>
  <c r="R130" i="3" s="1"/>
  <c r="T123" i="3"/>
  <c r="S123" i="3"/>
  <c r="Q123" i="3"/>
  <c r="D123" i="3"/>
  <c r="R123" i="3" s="1"/>
  <c r="T122" i="3"/>
  <c r="S122" i="3"/>
  <c r="Q122" i="3"/>
  <c r="D122" i="3"/>
  <c r="R122" i="3" s="1"/>
  <c r="T121" i="3"/>
  <c r="S121" i="3"/>
  <c r="Q121" i="3"/>
  <c r="D121" i="3"/>
  <c r="R121" i="3" s="1"/>
  <c r="V121" i="3" s="1"/>
  <c r="T119" i="3"/>
  <c r="S119" i="3"/>
  <c r="R119" i="3"/>
  <c r="Q119" i="3"/>
  <c r="D119" i="3"/>
  <c r="T118" i="3"/>
  <c r="S118" i="3"/>
  <c r="R118" i="3"/>
  <c r="Q118" i="3"/>
  <c r="D118" i="3"/>
  <c r="T117" i="3"/>
  <c r="S117" i="3"/>
  <c r="R117" i="3"/>
  <c r="Q117" i="3"/>
  <c r="D117" i="3"/>
  <c r="T115" i="3"/>
  <c r="S115" i="3"/>
  <c r="Q115" i="3"/>
  <c r="D115" i="3"/>
  <c r="R115" i="3" s="1"/>
  <c r="T114" i="3"/>
  <c r="S114" i="3"/>
  <c r="Q114" i="3"/>
  <c r="D114" i="3"/>
  <c r="R114" i="3" s="1"/>
  <c r="T113" i="3"/>
  <c r="S113" i="3"/>
  <c r="Q113" i="3"/>
  <c r="D113" i="3"/>
  <c r="R113" i="3" s="1"/>
  <c r="R106" i="3"/>
  <c r="U106" i="3" s="1"/>
  <c r="Q106" i="3"/>
  <c r="D106" i="3"/>
  <c r="Q105" i="3"/>
  <c r="D105" i="3"/>
  <c r="R105" i="3" s="1"/>
  <c r="Q104" i="3"/>
  <c r="D104" i="3"/>
  <c r="R104" i="3" s="1"/>
  <c r="Q102" i="3"/>
  <c r="D102" i="3"/>
  <c r="R102" i="3" s="1"/>
  <c r="Q101" i="3"/>
  <c r="D101" i="3"/>
  <c r="R101" i="3" s="1"/>
  <c r="Q100" i="3"/>
  <c r="D100" i="3"/>
  <c r="R100" i="3" s="1"/>
  <c r="Q98" i="3"/>
  <c r="D98" i="3"/>
  <c r="R98" i="3" s="1"/>
  <c r="Q97" i="3"/>
  <c r="D97" i="3"/>
  <c r="R97" i="3" s="1"/>
  <c r="Q96" i="3"/>
  <c r="D96" i="3"/>
  <c r="R96" i="3" s="1"/>
  <c r="Q89" i="3"/>
  <c r="D89" i="3"/>
  <c r="R89" i="3" s="1"/>
  <c r="Q88" i="3"/>
  <c r="D88" i="3"/>
  <c r="R88" i="3" s="1"/>
  <c r="Q87" i="3"/>
  <c r="D87" i="3"/>
  <c r="R87" i="3" s="1"/>
  <c r="Q85" i="3"/>
  <c r="D85" i="3"/>
  <c r="R85" i="3" s="1"/>
  <c r="Q84" i="3"/>
  <c r="D84" i="3"/>
  <c r="R84" i="3" s="1"/>
  <c r="Q83" i="3"/>
  <c r="D83" i="3"/>
  <c r="R83" i="3" s="1"/>
  <c r="R81" i="3"/>
  <c r="Q81" i="3"/>
  <c r="D81" i="3"/>
  <c r="Q80" i="3"/>
  <c r="D80" i="3"/>
  <c r="R80" i="3" s="1"/>
  <c r="Q79" i="3"/>
  <c r="D79" i="3"/>
  <c r="R79" i="3" s="1"/>
  <c r="S72" i="3"/>
  <c r="Q72" i="3"/>
  <c r="D72" i="3"/>
  <c r="R72" i="3" s="1"/>
  <c r="S71" i="3"/>
  <c r="Q71" i="3"/>
  <c r="D71" i="3"/>
  <c r="R71" i="3" s="1"/>
  <c r="S70" i="3"/>
  <c r="Q70" i="3"/>
  <c r="D70" i="3"/>
  <c r="R70" i="3" s="1"/>
  <c r="S68" i="3"/>
  <c r="Q68" i="3"/>
  <c r="I68" i="3"/>
  <c r="D68" i="3" s="1"/>
  <c r="R68" i="3" s="1"/>
  <c r="S67" i="3"/>
  <c r="Q67" i="3"/>
  <c r="I67" i="3"/>
  <c r="D67" i="3" s="1"/>
  <c r="R67" i="3" s="1"/>
  <c r="V67" i="3" s="1"/>
  <c r="S66" i="3"/>
  <c r="Q66" i="3"/>
  <c r="I66" i="3"/>
  <c r="D66" i="3"/>
  <c r="R66" i="3" s="1"/>
  <c r="S64" i="3"/>
  <c r="Q64" i="3"/>
  <c r="D64" i="3"/>
  <c r="R64" i="3" s="1"/>
  <c r="S63" i="3"/>
  <c r="Q63" i="3"/>
  <c r="D63" i="3"/>
  <c r="R63" i="3" s="1"/>
  <c r="V63" i="3" s="1"/>
  <c r="S62" i="3"/>
  <c r="Q62" i="3"/>
  <c r="D62" i="3"/>
  <c r="R62" i="3" s="1"/>
  <c r="Q54" i="3"/>
  <c r="J54" i="3"/>
  <c r="E54" i="3"/>
  <c r="Q53" i="3"/>
  <c r="J53" i="3"/>
  <c r="E53" i="3"/>
  <c r="Q52" i="3"/>
  <c r="J52" i="3"/>
  <c r="E52" i="3"/>
  <c r="D52" i="3"/>
  <c r="R52" i="3" s="1"/>
  <c r="Q50" i="3"/>
  <c r="K50" i="3"/>
  <c r="J50" i="3"/>
  <c r="I50" i="3"/>
  <c r="H50" i="3"/>
  <c r="Q49" i="3"/>
  <c r="K49" i="3"/>
  <c r="J49" i="3"/>
  <c r="I49" i="3"/>
  <c r="H49" i="3"/>
  <c r="Q48" i="3"/>
  <c r="K48" i="3"/>
  <c r="J48" i="3"/>
  <c r="I48" i="3"/>
  <c r="H48" i="3"/>
  <c r="T46" i="3"/>
  <c r="S46" i="3"/>
  <c r="Q46" i="3"/>
  <c r="D46" i="3"/>
  <c r="R46" i="3" s="1"/>
  <c r="T45" i="3"/>
  <c r="S45" i="3"/>
  <c r="Q45" i="3"/>
  <c r="D45" i="3"/>
  <c r="R45" i="3" s="1"/>
  <c r="T44" i="3"/>
  <c r="S44" i="3"/>
  <c r="Q44" i="3"/>
  <c r="D44" i="3"/>
  <c r="R44" i="3" s="1"/>
  <c r="T38" i="3"/>
  <c r="S38" i="3"/>
  <c r="Q38" i="3"/>
  <c r="D38" i="3"/>
  <c r="R38" i="3" s="1"/>
  <c r="V38" i="3" s="1"/>
  <c r="T37" i="3"/>
  <c r="S37" i="3"/>
  <c r="Q37" i="3"/>
  <c r="D37" i="3"/>
  <c r="R37" i="3" s="1"/>
  <c r="T36" i="3"/>
  <c r="S36" i="3"/>
  <c r="Q36" i="3"/>
  <c r="D36" i="3"/>
  <c r="R36" i="3" s="1"/>
  <c r="T34" i="3"/>
  <c r="S34" i="3"/>
  <c r="Q34" i="3"/>
  <c r="D34" i="3"/>
  <c r="R34" i="3" s="1"/>
  <c r="T33" i="3"/>
  <c r="S33" i="3"/>
  <c r="Q33" i="3"/>
  <c r="D33" i="3"/>
  <c r="R33" i="3" s="1"/>
  <c r="V33" i="3" s="1"/>
  <c r="T32" i="3"/>
  <c r="S32" i="3"/>
  <c r="Q32" i="3"/>
  <c r="D32" i="3"/>
  <c r="R32" i="3" s="1"/>
  <c r="T30" i="3"/>
  <c r="S30" i="3"/>
  <c r="Q30" i="3"/>
  <c r="D30" i="3"/>
  <c r="R30" i="3" s="1"/>
  <c r="T29" i="3"/>
  <c r="S29" i="3"/>
  <c r="Q29" i="3"/>
  <c r="D29" i="3"/>
  <c r="R29" i="3" s="1"/>
  <c r="T28" i="3"/>
  <c r="S28" i="3"/>
  <c r="Q28" i="3"/>
  <c r="D28" i="3"/>
  <c r="R28" i="3" s="1"/>
  <c r="Q19" i="3"/>
  <c r="D19" i="3"/>
  <c r="R19" i="3" s="1"/>
  <c r="Q18" i="3"/>
  <c r="D18" i="3"/>
  <c r="R18" i="3" s="1"/>
  <c r="Q17" i="3"/>
  <c r="D17" i="3"/>
  <c r="R17" i="3" s="1"/>
  <c r="Q15" i="3"/>
  <c r="H15" i="3"/>
  <c r="D15" i="3" s="1"/>
  <c r="R15" i="3" s="1"/>
  <c r="G15" i="3"/>
  <c r="Q14" i="3"/>
  <c r="H14" i="3"/>
  <c r="G14" i="3"/>
  <c r="Q13" i="3"/>
  <c r="H13" i="3"/>
  <c r="G13" i="3"/>
  <c r="Q11" i="3"/>
  <c r="D11" i="3"/>
  <c r="R11" i="3" s="1"/>
  <c r="Q10" i="3"/>
  <c r="F10" i="3"/>
  <c r="D10" i="3" s="1"/>
  <c r="R10" i="3" s="1"/>
  <c r="Q9" i="3"/>
  <c r="F9" i="3"/>
  <c r="D9" i="3" s="1"/>
  <c r="R9" i="3" s="1"/>
  <c r="EE15" i="4" l="1"/>
  <c r="S83" i="3"/>
  <c r="T83" i="3"/>
  <c r="D340" i="3"/>
  <c r="R340" i="3" s="1"/>
  <c r="U439" i="3"/>
  <c r="V471" i="3"/>
  <c r="V623" i="3"/>
  <c r="K13" i="1"/>
  <c r="K17" i="1"/>
  <c r="K21" i="1"/>
  <c r="J15" i="1"/>
  <c r="J23" i="1"/>
  <c r="H13" i="1"/>
  <c r="H15" i="1"/>
  <c r="H17" i="1"/>
  <c r="H21" i="1"/>
  <c r="H23" i="1"/>
  <c r="H25" i="1"/>
  <c r="K14" i="1"/>
  <c r="K18" i="1"/>
  <c r="K22" i="1"/>
  <c r="K12" i="1"/>
  <c r="J16" i="1"/>
  <c r="J20" i="1"/>
  <c r="J24" i="1"/>
  <c r="I13" i="1"/>
  <c r="I15" i="1"/>
  <c r="I17" i="1"/>
  <c r="I21" i="1"/>
  <c r="I23" i="1"/>
  <c r="K15" i="1"/>
  <c r="K23" i="1"/>
  <c r="J13" i="1"/>
  <c r="J17" i="1"/>
  <c r="J21" i="1"/>
  <c r="J25" i="1"/>
  <c r="H14" i="1"/>
  <c r="H16" i="1"/>
  <c r="H18" i="1"/>
  <c r="H20" i="1"/>
  <c r="H22" i="1"/>
  <c r="H24" i="1"/>
  <c r="K16" i="1"/>
  <c r="K20" i="1"/>
  <c r="K24" i="1"/>
  <c r="J14" i="1"/>
  <c r="J18" i="1"/>
  <c r="J22" i="1"/>
  <c r="J12" i="1"/>
  <c r="I16" i="1"/>
  <c r="I18" i="1"/>
  <c r="I20" i="1"/>
  <c r="I22" i="1"/>
  <c r="I24" i="1"/>
  <c r="H12" i="1"/>
  <c r="V156" i="3"/>
  <c r="V172" i="3"/>
  <c r="V114" i="3"/>
  <c r="U122" i="3"/>
  <c r="U148" i="3"/>
  <c r="V149" i="3"/>
  <c r="R191" i="3"/>
  <c r="U220" i="3"/>
  <c r="U224" i="3"/>
  <c r="R305" i="3"/>
  <c r="I19" i="1" s="1"/>
  <c r="U403" i="3"/>
  <c r="U409" i="3"/>
  <c r="V444" i="3"/>
  <c r="T573" i="3"/>
  <c r="D575" i="3"/>
  <c r="R575" i="3" s="1"/>
  <c r="U121" i="3"/>
  <c r="V37" i="3"/>
  <c r="V168" i="3"/>
  <c r="V171" i="3"/>
  <c r="U233" i="3"/>
  <c r="U243" i="3"/>
  <c r="S303" i="3"/>
  <c r="U303" i="3" s="1"/>
  <c r="D407" i="3"/>
  <c r="R407" i="3" s="1"/>
  <c r="V407" i="3" s="1"/>
  <c r="V19" i="3"/>
  <c r="W50" i="3"/>
  <c r="V83" i="3"/>
  <c r="U87" i="3"/>
  <c r="V96" i="3"/>
  <c r="V268" i="3"/>
  <c r="U81" i="3"/>
  <c r="V327" i="3"/>
  <c r="V547" i="3"/>
  <c r="V555" i="3"/>
  <c r="U556" i="3"/>
  <c r="V558" i="3"/>
  <c r="V106" i="3"/>
  <c r="V475" i="3"/>
  <c r="V543" i="3"/>
  <c r="V563" i="3"/>
  <c r="V208" i="3"/>
  <c r="U208" i="3"/>
  <c r="V321" i="3"/>
  <c r="U321" i="3"/>
  <c r="F613" i="3"/>
  <c r="D613" i="3" s="1"/>
  <c r="R613" i="3" s="1"/>
  <c r="D13" i="3"/>
  <c r="R13" i="3" s="1"/>
  <c r="V13" i="3" s="1"/>
  <c r="V28" i="3"/>
  <c r="U102" i="3"/>
  <c r="T151" i="3"/>
  <c r="W153" i="3" s="1"/>
  <c r="S183" i="3"/>
  <c r="S191" i="3"/>
  <c r="U209" i="3"/>
  <c r="U255" i="3"/>
  <c r="U256" i="3"/>
  <c r="R302" i="3"/>
  <c r="V302" i="3" s="1"/>
  <c r="U322" i="3"/>
  <c r="V325" i="3"/>
  <c r="U388" i="3"/>
  <c r="V560" i="3"/>
  <c r="AM573" i="3"/>
  <c r="AE623" i="3"/>
  <c r="F627" i="3" s="1"/>
  <c r="T630" i="3"/>
  <c r="U113" i="3"/>
  <c r="D187" i="3"/>
  <c r="R187" i="3" s="1"/>
  <c r="U199" i="3"/>
  <c r="U410" i="3"/>
  <c r="U445" i="3"/>
  <c r="U528" i="3"/>
  <c r="S572" i="3"/>
  <c r="D577" i="3"/>
  <c r="R577" i="3" s="1"/>
  <c r="U589" i="3"/>
  <c r="T592" i="3"/>
  <c r="S593" i="3"/>
  <c r="R605" i="3"/>
  <c r="V605" i="3" s="1"/>
  <c r="D609" i="3"/>
  <c r="R609" i="3" s="1"/>
  <c r="V130" i="3"/>
  <c r="T152" i="3"/>
  <c r="R183" i="3"/>
  <c r="U183" i="3" s="1"/>
  <c r="V218" i="3"/>
  <c r="U241" i="3"/>
  <c r="V385" i="3"/>
  <c r="V388" i="3"/>
  <c r="U492" i="3"/>
  <c r="U558" i="3"/>
  <c r="U562" i="3"/>
  <c r="AM572" i="3"/>
  <c r="D610" i="3"/>
  <c r="R610" i="3" s="1"/>
  <c r="AD624" i="3"/>
  <c r="E628" i="3" s="1"/>
  <c r="V46" i="3"/>
  <c r="U46" i="3"/>
  <c r="V222" i="3"/>
  <c r="U222" i="3"/>
  <c r="V11" i="3"/>
  <c r="U11" i="3"/>
  <c r="V174" i="3"/>
  <c r="U174" i="3"/>
  <c r="U251" i="3"/>
  <c r="V251" i="3"/>
  <c r="V32" i="3"/>
  <c r="U32" i="3"/>
  <c r="V101" i="3"/>
  <c r="U101" i="3"/>
  <c r="U138" i="3"/>
  <c r="V138" i="3"/>
  <c r="U72" i="3"/>
  <c r="V72" i="3"/>
  <c r="U175" i="3"/>
  <c r="V175" i="3"/>
  <c r="V470" i="3"/>
  <c r="U470" i="3"/>
  <c r="G474" i="3"/>
  <c r="R474" i="3"/>
  <c r="U490" i="3"/>
  <c r="V490" i="3"/>
  <c r="U610" i="3"/>
  <c r="V610" i="3"/>
  <c r="U66" i="3"/>
  <c r="V66" i="3"/>
  <c r="V286" i="3"/>
  <c r="U286" i="3"/>
  <c r="S307" i="3"/>
  <c r="U307" i="3" s="1"/>
  <c r="R307" i="3"/>
  <c r="V307" i="3" s="1"/>
  <c r="V361" i="3"/>
  <c r="U361" i="3"/>
  <c r="U407" i="3"/>
  <c r="U419" i="3"/>
  <c r="V419" i="3"/>
  <c r="U542" i="3"/>
  <c r="V611" i="3"/>
  <c r="U622" i="3"/>
  <c r="V209" i="3"/>
  <c r="V277" i="3"/>
  <c r="V356" i="3"/>
  <c r="U356" i="3"/>
  <c r="V372" i="3"/>
  <c r="U372" i="3"/>
  <c r="V377" i="3"/>
  <c r="U377" i="3"/>
  <c r="U401" i="3"/>
  <c r="V401" i="3"/>
  <c r="U70" i="3"/>
  <c r="V70" i="3"/>
  <c r="U96" i="3"/>
  <c r="V117" i="3"/>
  <c r="U117" i="3"/>
  <c r="D188" i="3"/>
  <c r="U305" i="3"/>
  <c r="S310" i="3"/>
  <c r="R310" i="3"/>
  <c r="W420" i="3"/>
  <c r="V428" i="3"/>
  <c r="U437" i="3"/>
  <c r="U495" i="3"/>
  <c r="V495" i="3"/>
  <c r="T577" i="3"/>
  <c r="S631" i="3"/>
  <c r="D631" i="3"/>
  <c r="R631" i="3" s="1"/>
  <c r="T631" i="3"/>
  <c r="V537" i="3"/>
  <c r="U537" i="3"/>
  <c r="T576" i="3"/>
  <c r="S576" i="3"/>
  <c r="D14" i="3"/>
  <c r="R14" i="3" s="1"/>
  <c r="U19" i="3"/>
  <c r="U37" i="3"/>
  <c r="D48" i="3"/>
  <c r="R48" i="3" s="1"/>
  <c r="U48" i="3" s="1"/>
  <c r="D49" i="3"/>
  <c r="R49" i="3" s="1"/>
  <c r="D50" i="3"/>
  <c r="R50" i="3" s="1"/>
  <c r="V50" i="3" s="1"/>
  <c r="U118" i="3"/>
  <c r="V118" i="3"/>
  <c r="U149" i="3"/>
  <c r="T186" i="3"/>
  <c r="U191" i="3"/>
  <c r="U239" i="3"/>
  <c r="U267" i="3"/>
  <c r="V293" i="3"/>
  <c r="U293" i="3"/>
  <c r="V353" i="3"/>
  <c r="U353" i="3"/>
  <c r="V359" i="3"/>
  <c r="U359" i="3"/>
  <c r="V369" i="3"/>
  <c r="U369" i="3"/>
  <c r="V374" i="3"/>
  <c r="U374" i="3"/>
  <c r="V409" i="3"/>
  <c r="W46" i="3"/>
  <c r="D53" i="3"/>
  <c r="R53" i="3" s="1"/>
  <c r="U53" i="3" s="1"/>
  <c r="D54" i="3"/>
  <c r="R54" i="3" s="1"/>
  <c r="U54" i="3" s="1"/>
  <c r="W149" i="3"/>
  <c r="V201" i="3"/>
  <c r="U217" i="3"/>
  <c r="V226" i="3"/>
  <c r="U235" i="3"/>
  <c r="D272" i="3"/>
  <c r="R272" i="3" s="1"/>
  <c r="D273" i="3"/>
  <c r="R273" i="3" s="1"/>
  <c r="U273" i="3" s="1"/>
  <c r="U276" i="3"/>
  <c r="U288" i="3"/>
  <c r="U327" i="3"/>
  <c r="U422" i="3"/>
  <c r="V436" i="3"/>
  <c r="V469" i="3"/>
  <c r="U475" i="3"/>
  <c r="R479" i="3"/>
  <c r="U522" i="3"/>
  <c r="V539" i="3"/>
  <c r="T572" i="3"/>
  <c r="V572" i="3" s="1"/>
  <c r="D593" i="3"/>
  <c r="R593" i="3" s="1"/>
  <c r="S340" i="3"/>
  <c r="U340" i="3" s="1"/>
  <c r="V390" i="3"/>
  <c r="U393" i="3"/>
  <c r="V418" i="3"/>
  <c r="W424" i="3"/>
  <c r="U547" i="3"/>
  <c r="U563" i="3"/>
  <c r="T593" i="3"/>
  <c r="W594" i="3" s="1"/>
  <c r="U97" i="3"/>
  <c r="U119" i="3"/>
  <c r="T153" i="3"/>
  <c r="S188" i="3"/>
  <c r="V191" i="3"/>
  <c r="V205" i="3"/>
  <c r="U237" i="3"/>
  <c r="D271" i="3"/>
  <c r="R271" i="3" s="1"/>
  <c r="S309" i="3"/>
  <c r="U309" i="3" s="1"/>
  <c r="U420" i="3"/>
  <c r="V424" i="3"/>
  <c r="V426" i="3"/>
  <c r="U428" i="3"/>
  <c r="Z438" i="3"/>
  <c r="Z497" i="3"/>
  <c r="U541" i="3"/>
  <c r="U543" i="3"/>
  <c r="V545" i="3"/>
  <c r="AK572" i="3"/>
  <c r="D592" i="3"/>
  <c r="R592" i="3" s="1"/>
  <c r="F614" i="3"/>
  <c r="V615" i="3"/>
  <c r="T632" i="3"/>
  <c r="V29" i="3"/>
  <c r="U29" i="3"/>
  <c r="V30" i="3"/>
  <c r="U30" i="3"/>
  <c r="V48" i="3"/>
  <c r="V49" i="3"/>
  <c r="U49" i="3"/>
  <c r="V71" i="3"/>
  <c r="U71" i="3"/>
  <c r="V79" i="3"/>
  <c r="U79" i="3"/>
  <c r="V80" i="3"/>
  <c r="U80" i="3"/>
  <c r="V115" i="3"/>
  <c r="U115" i="3"/>
  <c r="U123" i="3"/>
  <c r="V123" i="3"/>
  <c r="V134" i="3"/>
  <c r="U134" i="3"/>
  <c r="V17" i="3"/>
  <c r="U17" i="3"/>
  <c r="V18" i="3"/>
  <c r="U18" i="3"/>
  <c r="V53" i="3"/>
  <c r="V54" i="3"/>
  <c r="U64" i="3"/>
  <c r="V64" i="3"/>
  <c r="V104" i="3"/>
  <c r="U104" i="3"/>
  <c r="V105" i="3"/>
  <c r="U105" i="3"/>
  <c r="U13" i="3"/>
  <c r="V14" i="3"/>
  <c r="U14" i="3"/>
  <c r="V44" i="3"/>
  <c r="U44" i="3"/>
  <c r="V45" i="3"/>
  <c r="U45" i="3"/>
  <c r="U52" i="3"/>
  <c r="V52" i="3"/>
  <c r="U62" i="3"/>
  <c r="V62" i="3"/>
  <c r="V84" i="3"/>
  <c r="U84" i="3"/>
  <c r="V85" i="3"/>
  <c r="U85" i="3"/>
  <c r="V98" i="3"/>
  <c r="U98" i="3"/>
  <c r="V100" i="3"/>
  <c r="U100" i="3"/>
  <c r="V9" i="3"/>
  <c r="U9" i="3"/>
  <c r="V10" i="3"/>
  <c r="U10" i="3"/>
  <c r="V15" i="3"/>
  <c r="U15" i="3"/>
  <c r="V34" i="3"/>
  <c r="U34" i="3"/>
  <c r="V36" i="3"/>
  <c r="U36" i="3"/>
  <c r="V68" i="3"/>
  <c r="U68" i="3"/>
  <c r="V88" i="3"/>
  <c r="U88" i="3"/>
  <c r="V89" i="3"/>
  <c r="U89" i="3"/>
  <c r="V81" i="3"/>
  <c r="V87" i="3"/>
  <c r="V97" i="3"/>
  <c r="V102" i="3"/>
  <c r="U114" i="3"/>
  <c r="V122" i="3"/>
  <c r="V167" i="3"/>
  <c r="V200" i="3"/>
  <c r="U200" i="3"/>
  <c r="U201" i="3"/>
  <c r="U225" i="3"/>
  <c r="V225" i="3"/>
  <c r="V234" i="3"/>
  <c r="U234" i="3"/>
  <c r="V242" i="3"/>
  <c r="U242" i="3"/>
  <c r="V260" i="3"/>
  <c r="U260" i="3"/>
  <c r="V267" i="3"/>
  <c r="R301" i="3"/>
  <c r="H19" i="1" s="1"/>
  <c r="S301" i="3"/>
  <c r="J19" i="1" s="1"/>
  <c r="V340" i="3"/>
  <c r="U63" i="3"/>
  <c r="U67" i="3"/>
  <c r="V147" i="3"/>
  <c r="U147" i="3"/>
  <c r="V157" i="3"/>
  <c r="V176" i="3"/>
  <c r="U176" i="3"/>
  <c r="S190" i="3"/>
  <c r="U190" i="3" s="1"/>
  <c r="T182" i="3"/>
  <c r="S182" i="3"/>
  <c r="R182" i="3"/>
  <c r="T187" i="3"/>
  <c r="T190" i="3"/>
  <c r="V190" i="3" s="1"/>
  <c r="R184" i="3"/>
  <c r="T184" i="3"/>
  <c r="T192" i="3"/>
  <c r="S184" i="3"/>
  <c r="U205" i="3"/>
  <c r="V273" i="3"/>
  <c r="U284" i="3"/>
  <c r="V284" i="3"/>
  <c r="U289" i="3"/>
  <c r="V289" i="3"/>
  <c r="V292" i="3"/>
  <c r="U292" i="3"/>
  <c r="U294" i="3"/>
  <c r="V294" i="3"/>
  <c r="V322" i="3"/>
  <c r="V339" i="3"/>
  <c r="U339" i="3"/>
  <c r="V351" i="3"/>
  <c r="U351" i="3"/>
  <c r="U28" i="3"/>
  <c r="U33" i="3"/>
  <c r="U38" i="3"/>
  <c r="U83" i="3"/>
  <c r="S151" i="3"/>
  <c r="D151" i="3"/>
  <c r="R151" i="3" s="1"/>
  <c r="S153" i="3"/>
  <c r="D153" i="3"/>
  <c r="R153" i="3" s="1"/>
  <c r="D186" i="3"/>
  <c r="R186" i="3" s="1"/>
  <c r="S186" i="3"/>
  <c r="S187" i="3"/>
  <c r="U187" i="3" s="1"/>
  <c r="T188" i="3"/>
  <c r="R188" i="3"/>
  <c r="R192" i="3"/>
  <c r="U203" i="3"/>
  <c r="U204" i="3"/>
  <c r="V204" i="3"/>
  <c r="V207" i="3"/>
  <c r="U207" i="3"/>
  <c r="V216" i="3"/>
  <c r="U216" i="3"/>
  <c r="V220" i="3"/>
  <c r="V235" i="3"/>
  <c r="V238" i="3"/>
  <c r="U238" i="3"/>
  <c r="V250" i="3"/>
  <c r="U250" i="3"/>
  <c r="R311" i="3"/>
  <c r="S311" i="3"/>
  <c r="U318" i="3"/>
  <c r="V318" i="3"/>
  <c r="U323" i="3"/>
  <c r="V323" i="3"/>
  <c r="U326" i="3"/>
  <c r="V326" i="3"/>
  <c r="V335" i="3"/>
  <c r="U335" i="3"/>
  <c r="V342" i="3"/>
  <c r="U342" i="3"/>
  <c r="V113" i="3"/>
  <c r="V119" i="3"/>
  <c r="U130" i="3"/>
  <c r="V148" i="3"/>
  <c r="V155" i="3"/>
  <c r="U168" i="3"/>
  <c r="U170" i="3"/>
  <c r="V170" i="3"/>
  <c r="U172" i="3"/>
  <c r="V183" i="3"/>
  <c r="S192" i="3"/>
  <c r="V199" i="3"/>
  <c r="V224" i="3"/>
  <c r="V254" i="3"/>
  <c r="U254" i="3"/>
  <c r="V258" i="3"/>
  <c r="U258" i="3"/>
  <c r="U268" i="3"/>
  <c r="U269" i="3"/>
  <c r="V269" i="3"/>
  <c r="V276" i="3"/>
  <c r="R306" i="3"/>
  <c r="S306" i="3"/>
  <c r="K19" i="1" s="1"/>
  <c r="V334" i="3"/>
  <c r="U334" i="3"/>
  <c r="D406" i="3"/>
  <c r="R406" i="3" s="1"/>
  <c r="S406" i="3"/>
  <c r="V423" i="3"/>
  <c r="U423" i="3"/>
  <c r="U424" i="3"/>
  <c r="V452" i="3"/>
  <c r="U452" i="3"/>
  <c r="V454" i="3"/>
  <c r="U454" i="3"/>
  <c r="V457" i="3"/>
  <c r="U457" i="3"/>
  <c r="V460" i="3"/>
  <c r="U460" i="3"/>
  <c r="V462" i="3"/>
  <c r="U462" i="3"/>
  <c r="U486" i="3"/>
  <c r="V486" i="3"/>
  <c r="U491" i="3"/>
  <c r="V491" i="3"/>
  <c r="U496" i="3"/>
  <c r="V496" i="3"/>
  <c r="U513" i="3"/>
  <c r="V513" i="3"/>
  <c r="U598" i="3"/>
  <c r="V598" i="3"/>
  <c r="V275" i="3"/>
  <c r="U275" i="3"/>
  <c r="V384" i="3"/>
  <c r="U384" i="3"/>
  <c r="U385" i="3"/>
  <c r="V389" i="3"/>
  <c r="U389" i="3"/>
  <c r="U390" i="3"/>
  <c r="V394" i="3"/>
  <c r="U394" i="3"/>
  <c r="V403" i="3"/>
  <c r="U426" i="3"/>
  <c r="V435" i="3"/>
  <c r="U435" i="3"/>
  <c r="U436" i="3"/>
  <c r="V439" i="3"/>
  <c r="Z442" i="3"/>
  <c r="U440" i="3"/>
  <c r="V445" i="3"/>
  <c r="U453" i="3"/>
  <c r="U456" i="3"/>
  <c r="U458" i="3"/>
  <c r="U461" i="3"/>
  <c r="U487" i="3"/>
  <c r="V507" i="3"/>
  <c r="U507" i="3"/>
  <c r="U546" i="3"/>
  <c r="V546" i="3"/>
  <c r="U572" i="3"/>
  <c r="U609" i="3"/>
  <c r="V609" i="3"/>
  <c r="S152" i="3"/>
  <c r="D152" i="3"/>
  <c r="R152" i="3" s="1"/>
  <c r="U156" i="3"/>
  <c r="V166" i="3"/>
  <c r="U166" i="3"/>
  <c r="U218" i="3"/>
  <c r="V221" i="3"/>
  <c r="U221" i="3"/>
  <c r="U277" i="3"/>
  <c r="V285" i="3"/>
  <c r="U285" i="3"/>
  <c r="U317" i="3"/>
  <c r="V319" i="3"/>
  <c r="U319" i="3"/>
  <c r="U336" i="3"/>
  <c r="U343" i="3"/>
  <c r="D405" i="3"/>
  <c r="R405" i="3" s="1"/>
  <c r="U418" i="3"/>
  <c r="U469" i="3"/>
  <c r="G477" i="3"/>
  <c r="R477" i="3"/>
  <c r="V488" i="3"/>
  <c r="U488" i="3"/>
  <c r="V494" i="3"/>
  <c r="U494" i="3"/>
  <c r="U503" i="3"/>
  <c r="V503" i="3"/>
  <c r="V504" i="3"/>
  <c r="U504" i="3"/>
  <c r="U505" i="3"/>
  <c r="V512" i="3"/>
  <c r="U512" i="3"/>
  <c r="U539" i="3"/>
  <c r="T579" i="3"/>
  <c r="V579" i="3" s="1"/>
  <c r="T571" i="3"/>
  <c r="T575" i="3"/>
  <c r="AL571" i="3"/>
  <c r="AN571" i="3"/>
  <c r="U171" i="3"/>
  <c r="U226" i="3"/>
  <c r="V290" i="3"/>
  <c r="U290" i="3"/>
  <c r="U302" i="3"/>
  <c r="V305" i="3"/>
  <c r="V310" i="3"/>
  <c r="U325" i="3"/>
  <c r="U338" i="3"/>
  <c r="V338" i="3"/>
  <c r="U344" i="3"/>
  <c r="V352" i="3"/>
  <c r="U352" i="3"/>
  <c r="V355" i="3"/>
  <c r="U355" i="3"/>
  <c r="V357" i="3"/>
  <c r="U357" i="3"/>
  <c r="V360" i="3"/>
  <c r="U360" i="3"/>
  <c r="V368" i="3"/>
  <c r="U368" i="3"/>
  <c r="V370" i="3"/>
  <c r="U370" i="3"/>
  <c r="V373" i="3"/>
  <c r="U373" i="3"/>
  <c r="V376" i="3"/>
  <c r="U376" i="3"/>
  <c r="V378" i="3"/>
  <c r="U378" i="3"/>
  <c r="V386" i="3"/>
  <c r="V392" i="3"/>
  <c r="U402" i="3"/>
  <c r="U411" i="3"/>
  <c r="V427" i="3"/>
  <c r="V437" i="3"/>
  <c r="V441" i="3"/>
  <c r="U441" i="3"/>
  <c r="V443" i="3"/>
  <c r="U443" i="3"/>
  <c r="U444" i="3"/>
  <c r="U508" i="3"/>
  <c r="V508" i="3"/>
  <c r="V509" i="3"/>
  <c r="U509" i="3"/>
  <c r="U511" i="3"/>
  <c r="V522" i="3"/>
  <c r="V528" i="3"/>
  <c r="U538" i="3"/>
  <c r="V538" i="3"/>
  <c r="U471" i="3"/>
  <c r="R473" i="3"/>
  <c r="R478" i="3"/>
  <c r="U520" i="3"/>
  <c r="U521" i="3"/>
  <c r="U525" i="3"/>
  <c r="U526" i="3"/>
  <c r="U530" i="3"/>
  <c r="V556" i="3"/>
  <c r="V562" i="3"/>
  <c r="S575" i="3"/>
  <c r="U579" i="3"/>
  <c r="V580" i="3"/>
  <c r="U580" i="3"/>
  <c r="V581" i="3"/>
  <c r="V588" i="3"/>
  <c r="V594" i="3"/>
  <c r="U594" i="3"/>
  <c r="S630" i="3"/>
  <c r="S581" i="3"/>
  <c r="U581" i="3" s="1"/>
  <c r="S573" i="3"/>
  <c r="U573" i="3" s="1"/>
  <c r="S577" i="3"/>
  <c r="U577" i="3" s="1"/>
  <c r="AL573" i="3"/>
  <c r="AK573" i="3"/>
  <c r="V577" i="3"/>
  <c r="U524" i="3"/>
  <c r="U529" i="3"/>
  <c r="U545" i="3"/>
  <c r="V554" i="3"/>
  <c r="U554" i="3"/>
  <c r="U555" i="3"/>
  <c r="V559" i="3"/>
  <c r="U559" i="3"/>
  <c r="U560" i="3"/>
  <c r="V564" i="3"/>
  <c r="U564" i="3"/>
  <c r="U571" i="3"/>
  <c r="AM571" i="3"/>
  <c r="V573" i="3"/>
  <c r="AN573" i="3"/>
  <c r="U590" i="3"/>
  <c r="V590" i="3"/>
  <c r="AK571" i="3"/>
  <c r="D576" i="3"/>
  <c r="R576" i="3" s="1"/>
  <c r="V596" i="3"/>
  <c r="U596" i="3"/>
  <c r="V597" i="3"/>
  <c r="U597" i="3"/>
  <c r="W607" i="3"/>
  <c r="E614" i="3"/>
  <c r="D632" i="3"/>
  <c r="R632" i="3" s="1"/>
  <c r="AN572" i="3"/>
  <c r="U615" i="3"/>
  <c r="V624" i="3"/>
  <c r="U624" i="3"/>
  <c r="S632" i="3"/>
  <c r="S592" i="3"/>
  <c r="U605" i="3"/>
  <c r="V606" i="3"/>
  <c r="U606" i="3"/>
  <c r="V607" i="3"/>
  <c r="U607" i="3"/>
  <c r="U611" i="3"/>
  <c r="U623" i="3"/>
  <c r="AD623" i="3"/>
  <c r="E627" i="3" s="1"/>
  <c r="AB622" i="3"/>
  <c r="AE624" i="3"/>
  <c r="F628" i="3" s="1"/>
  <c r="D630" i="3"/>
  <c r="R630" i="3" s="1"/>
  <c r="U575" i="3" l="1"/>
  <c r="W577" i="3"/>
  <c r="U50" i="3"/>
  <c r="I14" i="1"/>
  <c r="I12" i="1"/>
  <c r="T627" i="3"/>
  <c r="T628" i="3"/>
  <c r="V187" i="3"/>
  <c r="D614" i="3"/>
  <c r="R614" i="3" s="1"/>
  <c r="V614" i="3" s="1"/>
  <c r="U474" i="3"/>
  <c r="V474" i="3"/>
  <c r="V575" i="3"/>
  <c r="D628" i="3"/>
  <c r="R628" i="3" s="1"/>
  <c r="V628" i="3" s="1"/>
  <c r="W573" i="3"/>
  <c r="U479" i="3"/>
  <c r="V479" i="3"/>
  <c r="V631" i="3"/>
  <c r="U631" i="3"/>
  <c r="U310" i="3"/>
  <c r="U630" i="3"/>
  <c r="V630" i="3"/>
  <c r="V613" i="3"/>
  <c r="U613" i="3"/>
  <c r="U182" i="3"/>
  <c r="V182" i="3"/>
  <c r="S628" i="3"/>
  <c r="V592" i="3"/>
  <c r="U592" i="3"/>
  <c r="U632" i="3"/>
  <c r="V632" i="3"/>
  <c r="U593" i="3"/>
  <c r="V593" i="3"/>
  <c r="V478" i="3"/>
  <c r="U478" i="3"/>
  <c r="U271" i="3"/>
  <c r="V271" i="3"/>
  <c r="U192" i="3"/>
  <c r="V192" i="3"/>
  <c r="V151" i="3"/>
  <c r="U151" i="3"/>
  <c r="V184" i="3"/>
  <c r="U184" i="3"/>
  <c r="AD622" i="3"/>
  <c r="E626" i="3" s="1"/>
  <c r="AE622" i="3"/>
  <c r="F626" i="3" s="1"/>
  <c r="V576" i="3"/>
  <c r="U576" i="3"/>
  <c r="V571" i="3"/>
  <c r="V473" i="3"/>
  <c r="U473" i="3"/>
  <c r="V477" i="3"/>
  <c r="U477" i="3"/>
  <c r="V405" i="3"/>
  <c r="U405" i="3"/>
  <c r="V188" i="3"/>
  <c r="U188" i="3"/>
  <c r="S627" i="3"/>
  <c r="D627" i="3"/>
  <c r="R627" i="3" s="1"/>
  <c r="V272" i="3"/>
  <c r="U272" i="3"/>
  <c r="V186" i="3"/>
  <c r="U186" i="3"/>
  <c r="V152" i="3"/>
  <c r="U152" i="3"/>
  <c r="V406" i="3"/>
  <c r="U406" i="3"/>
  <c r="U306" i="3"/>
  <c r="V306" i="3"/>
  <c r="U311" i="3"/>
  <c r="V311" i="3"/>
  <c r="V153" i="3"/>
  <c r="U153" i="3"/>
  <c r="U301" i="3"/>
  <c r="V301" i="3"/>
  <c r="U614" i="3" l="1"/>
  <c r="U628" i="3"/>
  <c r="T626" i="3"/>
  <c r="D626" i="3"/>
  <c r="R626" i="3" s="1"/>
  <c r="I25" i="1" s="1"/>
  <c r="S626" i="3"/>
  <c r="K25" i="1" s="1"/>
  <c r="V627" i="3"/>
  <c r="U627" i="3"/>
  <c r="U626" i="3" l="1"/>
  <c r="V6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Lieberman</author>
    <author>Peter Hoegler</author>
    <author>Jacob Hurwitz</author>
    <author>Shane Wang</author>
    <author>nstandish</author>
    <author>Bryan Hu</author>
    <author>Olivia Prieto</author>
    <author>Pieter Zwart</author>
  </authors>
  <commentList>
    <comment ref="I8" authorId="0" shapeId="0" xr:uid="{A25E713D-BD21-4DC7-A2D0-64E566383A4E}">
      <text>
        <r>
          <rPr>
            <b/>
            <sz val="9"/>
            <color indexed="81"/>
            <rFont val="Tahoma"/>
            <family val="2"/>
          </rPr>
          <t>Julie Lieberman:</t>
        </r>
        <r>
          <rPr>
            <sz val="9"/>
            <color indexed="81"/>
            <rFont val="Tahoma"/>
            <family val="2"/>
          </rPr>
          <t xml:space="preserve">
Added adjustment to elimination entry so that sum of segment  operating income agreed to consolidated</t>
        </r>
      </text>
    </comment>
    <comment ref="G13" authorId="1" shapeId="0" xr:uid="{E50CDFFD-B2D6-4A29-B66F-CA5D213E472C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Net Income + Income Tax Expense + Interest Expense</t>
        </r>
      </text>
    </comment>
    <comment ref="H13" authorId="2" shapeId="0" xr:uid="{EB264005-4445-4A51-ABD2-28A6B4280C4E}">
      <text>
        <r>
          <rPr>
            <b/>
            <sz val="9"/>
            <color indexed="81"/>
            <rFont val="Tahoma"/>
            <family val="2"/>
          </rPr>
          <t>Jacob Hurwitz:</t>
        </r>
        <r>
          <rPr>
            <sz val="9"/>
            <color indexed="81"/>
            <rFont val="Tahoma"/>
            <family val="2"/>
          </rPr>
          <t xml:space="preserve">
Net Income + Income Tax Expense + Interest Expense</t>
        </r>
      </text>
    </comment>
    <comment ref="I13" authorId="1" shapeId="0" xr:uid="{1F7AF198-71F4-441C-8927-A8584E06C62B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hand-entered to match the operating income on pdf page 119</t>
        </r>
      </text>
    </comment>
    <comment ref="G14" authorId="1" shapeId="0" xr:uid="{FF75D6FF-6C19-4363-ADB2-07AEFB9EDDC8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Net Income + Income Tax Expense + Interest Expense</t>
        </r>
      </text>
    </comment>
    <comment ref="H14" authorId="2" shapeId="0" xr:uid="{FB9A13C8-F08E-48C4-94B5-45704F7A4219}">
      <text>
        <r>
          <rPr>
            <b/>
            <sz val="9"/>
            <color indexed="81"/>
            <rFont val="Tahoma"/>
            <family val="2"/>
          </rPr>
          <t>Jacob Hurwitz:</t>
        </r>
        <r>
          <rPr>
            <sz val="9"/>
            <color indexed="81"/>
            <rFont val="Tahoma"/>
            <family val="2"/>
          </rPr>
          <t xml:space="preserve">
Net Income + Income Tax Expense + Interest Expense</t>
        </r>
      </text>
    </comment>
    <comment ref="I14" authorId="1" shapeId="0" xr:uid="{92241D59-BF74-4E57-A894-370CEC148846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hand-entered to match the operating income on pdf page 119</t>
        </r>
      </text>
    </comment>
    <comment ref="G15" authorId="3" shapeId="0" xr:uid="{1DC00B51-B98B-45CD-924F-1977BE785289}">
      <text>
        <r>
          <rPr>
            <b/>
            <sz val="9"/>
            <color indexed="81"/>
            <rFont val="Tahoma"/>
            <family val="2"/>
          </rPr>
          <t xml:space="preserve">= Net Income + Income Tax Expense + Interest Expense
</t>
        </r>
      </text>
    </comment>
    <comment ref="H15" authorId="3" shapeId="0" xr:uid="{BE59DA83-5E7C-4369-BEBD-E7AD800222E2}">
      <text>
        <r>
          <rPr>
            <b/>
            <sz val="9"/>
            <color indexed="81"/>
            <rFont val="Tahoma"/>
            <family val="2"/>
          </rPr>
          <t xml:space="preserve">= Net Income + Income Tax Expense + Interest Expense
</t>
        </r>
      </text>
    </comment>
    <comment ref="I15" authorId="2" shapeId="0" xr:uid="{3414841A-D808-4AA7-BB53-3F7218813913}">
      <text>
        <r>
          <rPr>
            <b/>
            <sz val="9"/>
            <color indexed="81"/>
            <rFont val="Tahoma"/>
            <family val="2"/>
          </rPr>
          <t>Jacob Hurwitz:</t>
        </r>
        <r>
          <rPr>
            <sz val="9"/>
            <color indexed="81"/>
            <rFont val="Tahoma"/>
            <family val="2"/>
          </rPr>
          <t xml:space="preserve">
hand-entered to match the operating income on pdf page 119</t>
        </r>
      </text>
    </comment>
    <comment ref="E48" authorId="1" shapeId="0" xr:uid="{37EF4DEA-03DD-47DC-80C1-11B8F07FE6BD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Total of Ameren Missouri</t>
        </r>
      </text>
    </comment>
    <comment ref="H48" authorId="1" shapeId="0" xr:uid="{AE0444A0-58A1-42EB-B966-58F955FB9DC7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= Net Income + Income Taxes + Interest Charges + Other Expense (subtract other income)</t>
        </r>
      </text>
    </comment>
    <comment ref="I48" authorId="1" shapeId="0" xr:uid="{FFF588FE-B542-4C3F-9A1F-A60653B8824E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= Net Income + Income Taxes + Interest Charges + Other Expense (subtract other income)</t>
        </r>
      </text>
    </comment>
    <comment ref="J48" authorId="1" shapeId="0" xr:uid="{2F981807-9E0B-4B1A-8DFD-8088FD27DC94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= Net Income + Income Taxes + Interest Charges + Other Expense (subtract other income)</t>
        </r>
      </text>
    </comment>
    <comment ref="D49" authorId="1" shapeId="0" xr:uid="{36F6438E-C529-454C-B292-CFC310ADBAA4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According to page 32 (pdf page 61), the operating income for 2017 should be $1410 </t>
        </r>
      </text>
    </comment>
    <comment ref="E49" authorId="1" shapeId="0" xr:uid="{68E9D13F-FBAC-4F46-9ED4-C9BC71A84A2B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Total of Ameren Missouri</t>
        </r>
      </text>
    </comment>
    <comment ref="H49" authorId="1" shapeId="0" xr:uid="{8BAEA751-F577-44FD-BFD9-9C04089C56FC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= Net Income + Income Taxes + Interest Charges + Other Expense (subtract other income)</t>
        </r>
      </text>
    </comment>
    <comment ref="I49" authorId="1" shapeId="0" xr:uid="{AE84B0BD-2C48-44EC-989B-FB2B459175B5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= Net Income + Income Taxes + Interest Charges + Other Expense (subtract other income)</t>
        </r>
      </text>
    </comment>
    <comment ref="J49" authorId="1" shapeId="0" xr:uid="{3FA90C3D-907F-4193-A547-7A352B436F09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= Net Income + Income Taxes + Interest Charges + Other Expense (subtract other income)</t>
        </r>
      </text>
    </comment>
    <comment ref="D50" authorId="1" shapeId="0" xr:uid="{03878693-BDE8-4705-B30E-8D20220D4CA8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According to page 32 (pdf page 61), the operating income for 2016 should be $1322</t>
        </r>
      </text>
    </comment>
    <comment ref="E50" authorId="3" shapeId="0" xr:uid="{61AF4366-49BD-4571-90F8-BD544D49EC42}">
      <text>
        <r>
          <rPr>
            <b/>
            <sz val="9"/>
            <color indexed="81"/>
            <rFont val="Tahoma"/>
            <family val="2"/>
          </rPr>
          <t xml:space="preserve">Total (electric + gas + other) but the natural gas portion of the business is very small
</t>
        </r>
      </text>
    </comment>
    <comment ref="H50" authorId="4" shapeId="0" xr:uid="{4F781414-5562-40DA-A1A2-03C96F656AD0}">
      <text>
        <r>
          <rPr>
            <b/>
            <sz val="9"/>
            <color indexed="81"/>
            <rFont val="Tahoma"/>
            <family val="2"/>
          </rPr>
          <t>= Net Income + Income Taxes + Interest Charges + Other Expense (subtract other income)</t>
        </r>
      </text>
    </comment>
    <comment ref="I50" authorId="4" shapeId="0" xr:uid="{68BA69CE-1520-42FE-96C5-E6D93A13F577}">
      <text>
        <r>
          <rPr>
            <b/>
            <sz val="9"/>
            <color indexed="81"/>
            <rFont val="Tahoma"/>
            <family val="2"/>
          </rPr>
          <t>= Net Income + Income Taxes + Interest Charges + Other Expense (subtract other income)</t>
        </r>
      </text>
    </comment>
    <comment ref="J50" authorId="4" shapeId="0" xr:uid="{85A000EE-60C4-4405-96F7-95549E7A4730}">
      <text>
        <r>
          <rPr>
            <b/>
            <sz val="9"/>
            <color indexed="81"/>
            <rFont val="Tahoma"/>
            <family val="2"/>
          </rPr>
          <t>= Net Income + Income Taxes + Interest Charges + Other Expense (subtract other income)
Then subtracted by Illinois Other (transmission)</t>
        </r>
      </text>
    </comment>
    <comment ref="K50" authorId="4" shapeId="0" xr:uid="{70F1E3FA-AEBD-4C3C-A6EB-837E4467D824}">
      <text>
        <r>
          <rPr>
            <b/>
            <sz val="9"/>
            <color indexed="81"/>
            <rFont val="Tahoma"/>
            <family val="2"/>
          </rPr>
          <t>= Net Income + Income Taxes + Interest Charges + Other Expense (subtract other income)</t>
        </r>
      </text>
    </comment>
    <comment ref="B53" authorId="3" shapeId="0" xr:uid="{076247CF-E0DD-427D-935E-05765A82246E}">
      <text>
        <r>
          <rPr>
            <sz val="9"/>
            <color indexed="81"/>
            <rFont val="Tahoma"/>
            <family val="2"/>
          </rPr>
          <t>Use Note 3 - Property, Plant and Equipment, 
Used original cost of property because it's broken out in the most helpful way - this is only used to determine the "% Regulated", and the vast majority of Ameren is regulated either way.  May need to revisit if Ameren has a material change in business operations.</t>
        </r>
      </text>
    </comment>
    <comment ref="B67" authorId="4" shapeId="0" xr:uid="{B1479E0B-515B-4DE6-B337-3AE521109C98}">
      <text>
        <r>
          <rPr>
            <sz val="9"/>
            <color indexed="81"/>
            <rFont val="Tahoma"/>
            <family val="2"/>
          </rPr>
          <t>Net Income - Extraordinary Item + Income Taxes (Benefit) + Interest Charges - Carrying Cost Income - Interest Income</t>
        </r>
      </text>
    </comment>
    <comment ref="R68" authorId="3" shapeId="0" xr:uid="{3107EC78-BC6A-4A24-B17B-C1CD7CA529D2}">
      <text>
        <r>
          <rPr>
            <b/>
            <sz val="9"/>
            <color indexed="81"/>
            <rFont val="Tahoma"/>
            <family val="2"/>
          </rPr>
          <t>Adjusted loss on generation and marketing</t>
        </r>
      </text>
    </comment>
    <comment ref="R131" authorId="5" shapeId="0" xr:uid="{D8BF9E22-0139-443B-A601-2F266544F91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All 2017-2018 data removed from calculations due to Vectren acquisition</t>
        </r>
      </text>
    </comment>
    <comment ref="B152" authorId="4" shapeId="0" xr:uid="{200BE217-E6F4-4AE7-AB67-2F7109984546}">
      <text>
        <r>
          <rPr>
            <b/>
            <sz val="9"/>
            <color indexed="81"/>
            <rFont val="Tahoma"/>
            <family val="2"/>
          </rPr>
          <t xml:space="preserve">= </t>
        </r>
        <r>
          <rPr>
            <sz val="9"/>
            <color indexed="81"/>
            <rFont val="Tahoma"/>
            <family val="2"/>
          </rPr>
          <t>Net Income + Income Tax Expense + Interest Charges - Income from Equity Method Investees</t>
        </r>
      </text>
    </comment>
    <comment ref="M165" authorId="2" shapeId="0" xr:uid="{09AF2EA7-C1A9-45C0-9946-EFAE71A4BD87}">
      <text>
        <r>
          <rPr>
            <b/>
            <sz val="9"/>
            <color indexed="81"/>
            <rFont val="Tahoma"/>
            <family val="2"/>
          </rPr>
          <t>Jacob Hurwitz:</t>
        </r>
        <r>
          <rPr>
            <sz val="9"/>
            <color indexed="81"/>
            <rFont val="Tahoma"/>
            <family val="2"/>
          </rPr>
          <t xml:space="preserve">
Includes Con Edison Transmission</t>
        </r>
      </text>
    </comment>
    <comment ref="B187" authorId="4" shapeId="0" xr:uid="{D4D85018-7B11-4F34-A696-32AAB437CDD1}">
      <text>
        <r>
          <rPr>
            <sz val="9"/>
            <color indexed="81"/>
            <rFont val="Tahoma"/>
            <family val="2"/>
          </rPr>
          <t>Net income + Income taxes + Interest and related charges - Interest income - Equity in earnings of equity method investees</t>
        </r>
      </text>
    </comment>
    <comment ref="E198" authorId="1" shapeId="0" xr:uid="{1EB58AD2-9B55-4938-8119-A8AFC602B0A4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Sum of utility and non-utility operations</t>
        </r>
      </text>
    </comment>
    <comment ref="K198" authorId="1" shapeId="0" xr:uid="{D6358840-73B2-428E-AFD5-8963D64FF470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Sum of utility and non-utility operations</t>
        </r>
      </text>
    </comment>
    <comment ref="K203" authorId="1" shapeId="0" xr:uid="{41C1A2CF-233F-4B50-941A-5690D9A6FC62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total operating income on pg 148</t>
        </r>
      </text>
    </comment>
    <comment ref="K204" authorId="1" shapeId="0" xr:uid="{46423762-AD2A-463B-9BC1-DB2A626F4643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total operating income on pg 148</t>
        </r>
      </text>
    </comment>
    <comment ref="K205" authorId="1" shapeId="0" xr:uid="{AABBBB74-735E-4385-B6A6-777170B289F4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total operating income on pg 148</t>
        </r>
      </text>
    </comment>
    <comment ref="I220" authorId="1" shapeId="0" xr:uid="{D4CD00C9-9DB8-48E1-84E6-046BF125F9F9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total operating income on page 39 (2019 10-K)</t>
        </r>
      </text>
    </comment>
    <comment ref="I221" authorId="1" shapeId="0" xr:uid="{5472E927-BE1C-4E39-B24A-35077AEF79BE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total operating income on page 39 (2019 10-K)</t>
        </r>
      </text>
    </comment>
    <comment ref="I222" authorId="1" shapeId="0" xr:uid="{BC8B67CB-64A8-45C0-82E6-9B93950F2457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total operating income on page 39 (2018 10-K)</t>
        </r>
      </text>
    </comment>
    <comment ref="B272" authorId="0" shapeId="0" xr:uid="{631AC1DE-70CA-4BAC-8823-501A1BF46AD0}">
      <text>
        <r>
          <rPr>
            <sz val="9"/>
            <color indexed="81"/>
            <rFont val="Tahoma"/>
            <family val="2"/>
          </rPr>
          <t>= Net Income + Income Taxes + Interest Expense - Interest and Investment Income</t>
        </r>
      </text>
    </comment>
    <comment ref="K321" authorId="1" shapeId="0" xr:uid="{708197A8-0B50-47B9-B5BD-5932FFCEBC67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operating income on page 54</t>
        </r>
      </text>
    </comment>
    <comment ref="K322" authorId="1" shapeId="0" xr:uid="{79CD054A-4D69-4132-8893-441D08968CB5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operating income on page 54</t>
        </r>
      </text>
    </comment>
    <comment ref="K323" authorId="1" shapeId="0" xr:uid="{5F17D15B-AEC4-4B24-8CE9-BA377BD27B08}">
      <text>
        <r>
          <rPr>
            <b/>
            <sz val="9"/>
            <color indexed="81"/>
            <rFont val="Tahoma"/>
            <family val="2"/>
          </rPr>
          <t>Peter Hoegler:</t>
        </r>
        <r>
          <rPr>
            <sz val="9"/>
            <color indexed="81"/>
            <rFont val="Tahoma"/>
            <family val="2"/>
          </rPr>
          <t xml:space="preserve">
plugged to match operating income on page 54</t>
        </r>
      </text>
    </comment>
    <comment ref="B339" authorId="6" shapeId="0" xr:uid="{E6170E41-4A31-411E-9845-88ABBD9AD126}">
      <text>
        <r>
          <rPr>
            <b/>
            <sz val="9"/>
            <color indexed="81"/>
            <rFont val="Tahoma"/>
            <family val="2"/>
          </rPr>
          <t xml:space="preserve">= 2017 Calc: </t>
        </r>
        <r>
          <rPr>
            <sz val="9"/>
            <color indexed="81"/>
            <rFont val="Tahoma"/>
            <family val="2"/>
          </rPr>
          <t>Income (loss) from continuing operations + income taxes (benefits) + interest expense - miscellaneous income (expense), net</t>
        </r>
      </text>
    </comment>
    <comment ref="E400" authorId="5" shapeId="0" xr:uid="{E797E142-1BDD-4029-AA7B-37085FB5276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Rate-regulated utility business</t>
        </r>
      </text>
    </comment>
    <comment ref="F400" authorId="5" shapeId="0" xr:uid="{E345CB2F-B19F-4758-9248-24069560F2B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Rate-regulated utility business acquired in Jan 2019</t>
        </r>
      </text>
    </comment>
    <comment ref="G400" authorId="5" shapeId="0" xr:uid="{3E697379-05AC-4BFA-A10F-E4418E8C6201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Comprised of competitive energy and rate-regulated transmission businesses</t>
        </r>
      </text>
    </comment>
    <comment ref="H400" authorId="5" shapeId="0" xr:uid="{332DE0FC-F084-4293-A33A-73C528A1AB8E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Includes eliminating entries</t>
        </r>
      </text>
    </comment>
    <comment ref="B406" authorId="5" shapeId="0" xr:uid="{37332CE0-9A31-406F-8BE5-515278BD2F3E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Equals Operating Revenues - Operating Expenses Net</t>
        </r>
      </text>
    </comment>
    <comment ref="E473" authorId="5" shapeId="0" xr:uid="{C4E0209D-1C04-4C34-9BFB-ECFF04F21648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Use FERC Form data</t>
        </r>
      </text>
    </comment>
    <comment ref="B474" authorId="3" shapeId="0" xr:uid="{5DD26CEF-E285-49D9-A933-E8C9F46C01F4}">
      <text>
        <r>
          <rPr>
            <b/>
            <sz val="9"/>
            <color indexed="81"/>
            <rFont val="Tahoma"/>
            <family val="2"/>
          </rPr>
          <t>Total Operating Income distributed by electric/gas margin ratio</t>
        </r>
      </text>
    </comment>
    <comment ref="B478" authorId="3" shapeId="0" xr:uid="{7B08D6AD-1819-4E86-B0EE-ECBDF9A812B0}">
      <text>
        <r>
          <rPr>
            <b/>
            <sz val="9"/>
            <color indexed="81"/>
            <rFont val="Tahoma"/>
            <family val="2"/>
          </rPr>
          <t>Distribute total assets by electric and natural gas PPE Ratio</t>
        </r>
      </text>
    </comment>
    <comment ref="B542" authorId="4" shapeId="0" xr:uid="{87A81C45-9050-4AD6-A976-217AFCD5F150}">
      <text>
        <r>
          <rPr>
            <b/>
            <sz val="9"/>
            <color indexed="81"/>
            <rFont val="Tahoma"/>
            <family val="2"/>
          </rPr>
          <t>Use Gross Margin</t>
        </r>
      </text>
    </comment>
    <comment ref="G570" authorId="5" shapeId="0" xr:uid="{6A034C1C-C9E3-4529-BBA9-501D6D80B5CC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Calculated here using 80.25% interest in Oncor and excluding negligible interest in Sharyland Holdings. Do not use 2019 Sempra 10-K reported Segment Information; see instead Oncor Electric Delivery Holding Company LLC Statements of Consolidated Income</t>
        </r>
      </text>
    </comment>
    <comment ref="N570" authorId="5" shapeId="0" xr:uid="{DF9F2358-73D2-4822-845B-CCE8FE5DB99C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Excluded from Total calculations due to lack of representation of future operations</t>
        </r>
      </text>
    </comment>
    <comment ref="S571" authorId="2" shapeId="0" xr:uid="{E47A6AAC-40EC-4FC2-8FB4-8D20B72067F0}">
      <text>
        <r>
          <rPr>
            <b/>
            <sz val="9"/>
            <color indexed="81"/>
            <rFont val="Tahoma"/>
            <family val="2"/>
          </rPr>
          <t>Allocated based on revenue</t>
        </r>
      </text>
    </comment>
    <comment ref="M575" authorId="5" shapeId="0" xr:uid="{C9B71DD2-F97E-4A90-901C-80727351CB6D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Only segment Interest Expense and Interest Income reported</t>
        </r>
      </text>
    </comment>
    <comment ref="N575" authorId="5" shapeId="0" xr:uid="{52DD1BA3-F6F7-497F-A359-A3268EFE59E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No segment Income Tax Expense, Interest Expense, or Interest Income reported</t>
        </r>
      </text>
    </comment>
    <comment ref="S575" authorId="2" shapeId="0" xr:uid="{08B17655-7E6D-47E3-819F-F5724D5D3CCD}">
      <text>
        <r>
          <rPr>
            <b/>
            <sz val="9"/>
            <color indexed="81"/>
            <rFont val="Tahoma"/>
            <family val="2"/>
          </rPr>
          <t>Allocated based on margin</t>
        </r>
      </text>
    </comment>
    <comment ref="B576" authorId="4" shapeId="0" xr:uid="{0838A880-A453-4D68-BA29-D5B55A2F4A46}">
      <text>
        <r>
          <rPr>
            <b/>
            <sz val="9"/>
            <color indexed="81"/>
            <rFont val="Tahoma"/>
            <family val="2"/>
          </rPr>
          <t>= Segment Earnings (Losses) Attributable to Common Shares + Income Taxes + Interest Expense - Interest Income</t>
        </r>
      </text>
    </comment>
    <comment ref="G579" authorId="5" shapeId="0" xr:uid="{92E43517-955A-4CC7-87E5-023E1FCBDC9D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$11,619,000 in 2019 Form 10-K Segment Information</t>
        </r>
      </text>
    </comment>
    <comment ref="S579" authorId="2" shapeId="0" xr:uid="{2477F2E5-64A7-404E-8EBC-5A80E4AD5AAB}">
      <text>
        <r>
          <rPr>
            <b/>
            <sz val="9"/>
            <color indexed="81"/>
            <rFont val="Tahoma"/>
            <family val="2"/>
          </rPr>
          <t>Allocate based on revenue</t>
        </r>
      </text>
    </comment>
    <comment ref="G580" authorId="5" shapeId="0" xr:uid="{AA3C598D-6539-48DE-B15F-E5BF488F7A12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$9,652,000 in 2019 Form 10-K Segment Information</t>
        </r>
      </text>
    </comment>
    <comment ref="G581" authorId="5" shapeId="0" xr:uid="{11431BD3-513F-4699-A0AB-067D280E26C6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Not reported in 2019 Oncor Electric Delivery Holdings Company LLC Consolidated Financial Statements. Also $0 in 2019 Sempra Form 10-K Segment Information</t>
        </r>
      </text>
    </comment>
    <comment ref="B593" authorId="4" shapeId="0" xr:uid="{7CFC9D4A-54C7-4D82-9378-523E64DC06DC}">
      <text>
        <r>
          <rPr>
            <b/>
            <sz val="9"/>
            <color indexed="81"/>
            <rFont val="Tahoma"/>
            <family val="2"/>
          </rPr>
          <t>Segment Net Income (Loss) + Income Taxes + Interest Expense - Earnings from equity investments - Interest Income</t>
        </r>
      </text>
    </comment>
    <comment ref="E604" authorId="3" shapeId="0" xr:uid="{EFEEB289-13F3-4D52-9B1B-E99D21B04CF8}">
      <text>
        <r>
          <rPr>
            <b/>
            <sz val="9"/>
            <color indexed="81"/>
            <rFont val="Tahoma"/>
            <family val="2"/>
          </rPr>
          <t>Operating income and assets are allocated based on revenue %</t>
        </r>
      </text>
    </comment>
    <comment ref="F604" authorId="3" shapeId="0" xr:uid="{F6E278A7-A83F-4436-B2F4-9D1F5B06B603}">
      <text>
        <r>
          <rPr>
            <b/>
            <sz val="9"/>
            <color indexed="81"/>
            <rFont val="Tahoma"/>
            <family val="2"/>
          </rPr>
          <t>Operating income and assets are allocated based on revenue %</t>
        </r>
      </text>
    </comment>
    <comment ref="AB622" authorId="7" shapeId="0" xr:uid="{CF1ED130-9B52-499B-86E3-EE7FDB97549A}">
      <text>
        <r>
          <rPr>
            <b/>
            <sz val="9"/>
            <color indexed="81"/>
            <rFont val="Tahoma"/>
            <family val="2"/>
          </rPr>
          <t>Pieter Zwart:</t>
        </r>
        <r>
          <rPr>
            <sz val="9"/>
            <color indexed="81"/>
            <rFont val="Tahoma"/>
            <family val="2"/>
          </rPr>
          <t xml:space="preserve">
2019 10-K margin increases (pp. 24) </t>
        </r>
      </text>
    </comment>
    <comment ref="AB623" authorId="6" shapeId="0" xr:uid="{D31A7590-6870-4C4D-81B8-E30AF0998867}">
      <text>
        <r>
          <rPr>
            <b/>
            <sz val="9"/>
            <color indexed="81"/>
            <rFont val="Tahoma"/>
            <family val="2"/>
          </rPr>
          <t>Olivia Prieto:</t>
        </r>
        <r>
          <rPr>
            <sz val="9"/>
            <color indexed="81"/>
            <rFont val="Tahoma"/>
            <family val="2"/>
          </rPr>
          <t xml:space="preserve">
Takes into account effect of TCJA. See 10-K PDF p. 47.</t>
        </r>
      </text>
    </comment>
    <comment ref="B627" authorId="4" shapeId="0" xr:uid="{6A64B913-A5C1-4FC3-978B-3142B27B27CE}">
      <text>
        <r>
          <rPr>
            <b/>
            <sz val="9"/>
            <color indexed="81"/>
            <rFont val="Tahoma"/>
            <family val="2"/>
          </rPr>
          <t>Allocated based on  Margins</t>
        </r>
      </text>
    </comment>
    <comment ref="Z628" authorId="6" shapeId="0" xr:uid="{378218E7-A062-43A2-961F-ABB15676FA3B}">
      <text>
        <r>
          <rPr>
            <b/>
            <sz val="9"/>
            <color indexed="81"/>
            <rFont val="Tahoma"/>
            <family val="2"/>
          </rPr>
          <t>Olivia Prieto:</t>
        </r>
        <r>
          <rPr>
            <sz val="9"/>
            <color indexed="81"/>
            <rFont val="Tahoma"/>
            <family val="2"/>
          </rPr>
          <t xml:space="preserve">
2,190,000 in 2017 10-K
</t>
        </r>
      </text>
    </comment>
    <comment ref="B631" authorId="4" shapeId="0" xr:uid="{682952D9-0C5B-4141-BC52-594D75BE28CD}">
      <text>
        <r>
          <rPr>
            <b/>
            <sz val="9"/>
            <color indexed="81"/>
            <rFont val="Tahoma"/>
            <family val="2"/>
          </rPr>
          <t>Allocated based on  revenue 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 Hu</author>
  </authors>
  <commentList>
    <comment ref="C15" authorId="0" shapeId="0" xr:uid="{8DC8AAB8-EB79-4C6F-9BE6-11C1C67220ED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E15" authorId="0" shapeId="0" xr:uid="{52327A75-DD4D-4557-8670-9C8D748DCC09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15" authorId="0" shapeId="0" xr:uid="{E76BBF07-6EB8-4707-830F-5F98AACBD3DC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15" authorId="0" shapeId="0" xr:uid="{4BDA2212-BC87-4DD1-B0B2-6A54F1CEA226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15" authorId="0" shapeId="0" xr:uid="{5499A270-0251-4747-8946-8C6C29D67FE4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200,356. Source: SNL - Natural Gas Utility Balance Sheet - Net Utility Plant (Excluding Nuclear Fuel)</t>
        </r>
      </text>
    </comment>
    <comment ref="EW15" authorId="0" shapeId="0" xr:uid="{813652C6-9B99-4A3C-B5F6-E848EF8B47D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185,768. Source: SNL - Natural Gas Utility Balance Sheet - Net Utility Plant (Excluding Nuclear Fuel)</t>
        </r>
      </text>
    </comment>
    <comment ref="C16" authorId="0" shapeId="0" xr:uid="{FD814BE4-DCFE-4518-9E24-ED7593F2030A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C17" authorId="0" shapeId="0" xr:uid="{B4DECB02-C91A-4BBC-8385-F69C5540B25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E17" authorId="0" shapeId="0" xr:uid="{FFA602F4-5449-4C2F-914D-03E18067DD04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17" authorId="0" shapeId="0" xr:uid="{6A99E3BA-19BF-45B1-8B42-098120779BF8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17" authorId="0" shapeId="0" xr:uid="{9F3F1AAA-ADEB-411A-96D7-E400BF52EE5D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17" authorId="0" shapeId="0" xr:uid="{E09018F4-9B22-480D-BC94-083C7777E2E2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593888. Source: SNL - Natural Gas Utility Balance Sheet - Net Utility Plant (Excluding Nuclear Fuel)</t>
        </r>
      </text>
    </comment>
    <comment ref="EW17" authorId="0" shapeId="0" xr:uid="{E5D9283B-1A6C-441F-9F0E-0C13495BD490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535873. Source: SNL - Natural Gas Utility Balance Sheet - Net Utility Plant (Excluding Nuclear Fuel)</t>
        </r>
      </text>
    </comment>
    <comment ref="C18" authorId="0" shapeId="0" xr:uid="{5EE08AFC-7B92-4018-8045-6619BE92D79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E18" authorId="0" shapeId="0" xr:uid="{72E71B3B-3132-4851-871C-9154C3EB6327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18" authorId="0" shapeId="0" xr:uid="{4DE4F863-A772-439F-9030-6010E9D55F2A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18" authorId="0" shapeId="0" xr:uid="{6D1BF233-0045-440D-9BB0-4EC54F773222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18" authorId="0" shapeId="0" xr:uid="{0821596A-2458-4B78-B891-A628207976F0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87259. Source: SNL - Natural Gas Utility Balance Sheet - Net Utility Plant (Excluding Nuclear Fuel)</t>
        </r>
      </text>
    </comment>
    <comment ref="EW18" authorId="0" shapeId="0" xr:uid="{F8F5E728-FA5F-4AA5-B1B4-D5F4FA4D38C8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84858. Source: SNL - Natural Gas Utility Balance Sheet - Net Utility Plant (Excluding Nuclear Fuel)</t>
        </r>
      </text>
    </comment>
    <comment ref="C19" authorId="0" shapeId="0" xr:uid="{2B2D620C-7C27-43F0-9A7E-BFEFF771849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C20" authorId="0" shapeId="0" xr:uid="{42B99DC0-F497-47DA-AFEF-B421DCA99299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C21" authorId="0" shapeId="0" xr:uid="{A5CC436B-CF0D-41DB-A016-2C0BF933060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E21" authorId="0" shapeId="0" xr:uid="{39F7C7D7-6272-42FF-AE06-DA4262D9F088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21" authorId="0" shapeId="0" xr:uid="{1713CDD7-7165-43BE-ADCD-3B105BCB378B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21" authorId="0" shapeId="0" xr:uid="{63D66905-8734-431B-887F-27CFD7C89996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21" authorId="0" shapeId="0" xr:uid="{2B9F91AD-E15F-4860-BBBF-066C0B9D4CF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778745. Source: SNL - Natural Gas Utility Balance Sheet - Net Utility Plant (Excluding Nuclear Fuel)</t>
        </r>
      </text>
    </comment>
    <comment ref="EW21" authorId="0" shapeId="0" xr:uid="{FB642327-CBE8-45A1-87E5-2328D3510D6E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714445. Source: SNL - Natural Gas Utility Balance Sheet - Net Utility Plant (Excluding Nuclear Fuel)</t>
        </r>
      </text>
    </comment>
    <comment ref="C22" authorId="0" shapeId="0" xr:uid="{F8B52B56-EEF1-43FC-B8ED-872DEDB6ABA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Avangrid, Inc.</t>
        </r>
      </text>
    </comment>
    <comment ref="C24" authorId="0" shapeId="0" xr:uid="{8DACCF54-3135-4311-B503-FF83A4E2DED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Avista Corporation</t>
        </r>
      </text>
    </comment>
    <comment ref="E41" authorId="0" shapeId="0" xr:uid="{788D87E0-2EDD-4B28-81F5-5887120576D2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41" authorId="0" shapeId="0" xr:uid="{3D39C1A8-4481-421C-90BE-DC39F5262BB1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41" authorId="0" shapeId="0" xr:uid="{961A184F-B07B-48C2-84F1-E61DF628934B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41" authorId="0" shapeId="0" xr:uid="{6DA10E0C-8186-4214-A7F7-5F7D7F0B5439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247079. Source: SNL - Natural Gas Utility Balance Sheet - Net Utility Plant (Excluding Nuclear Fuel)</t>
        </r>
      </text>
    </comment>
    <comment ref="EW41" authorId="0" shapeId="0" xr:uid="{850760C1-11C8-4A3F-AD1E-AA0A27285B17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224049. Source: SNL - Natural Gas Utility Balance Sheet - Net Utility Plant (Excluding Nuclear Fuel)</t>
        </r>
      </text>
    </comment>
    <comment ref="E42" authorId="0" shapeId="0" xr:uid="{FC840974-5DCB-42A3-8E07-8D58E49C0E5A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42" authorId="0" shapeId="0" xr:uid="{A070B74F-6644-4B70-B340-6A7A4B3F175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43" authorId="0" shapeId="0" xr:uid="{9A786CC9-8669-4A5B-B7ED-2F5B25F0A8E4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43" authorId="0" shapeId="0" xr:uid="{A6C1E252-7DAE-48D4-8C43-1EEE9FEDCA1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43" authorId="0" shapeId="0" xr:uid="{0D5F8668-B443-4971-B8B9-7A5BB8460BA9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43" authorId="0" shapeId="0" xr:uid="{E2F86854-6904-4A33-AC51-802B24756B5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418899. Source: SNL - Natural Gas Utility Balance Sheet - Net Utility Plant (Excluding Nuclear Fuel)</t>
        </r>
      </text>
    </comment>
    <comment ref="EW43" authorId="0" shapeId="0" xr:uid="{901C211F-A456-424D-B7BF-730D842EEF71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376964. Source: SNL - Natural Gas Utility Balance Sheet - Net Utility Plant (Excluding Nuclear Fuel)</t>
        </r>
      </text>
    </comment>
    <comment ref="E44" authorId="0" shapeId="0" xr:uid="{6097127A-DEB4-4043-835B-1E8FCAC70048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44" authorId="0" shapeId="0" xr:uid="{4FD78E59-9629-4A70-A121-0A01A25E1536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44" authorId="0" shapeId="0" xr:uid="{0C755957-6AB4-416D-A2BA-DEE140F79298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44" authorId="0" shapeId="0" xr:uid="{AA0272DA-E083-4570-BE62-BCED0B7AC2B0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3692292. Source: SNL - Natural Gas Utility Balance Sheet - Net Utility Plant (Excluding Nuclear Fuel)</t>
        </r>
      </text>
    </comment>
    <comment ref="EW44" authorId="0" shapeId="0" xr:uid="{D42D4F7E-A675-4460-912D-B7052F577620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3480473. Source: SNL - Natural Gas Utility Balance Sheet - Net Utility Plant (Excluding Nuclear Fuel)</t>
        </r>
      </text>
    </comment>
    <comment ref="E46" authorId="0" shapeId="0" xr:uid="{74AD86AB-4388-4DEA-A9D7-291B6F93EED0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46" authorId="0" shapeId="0" xr:uid="{44B1F2BA-9780-40E5-BF36-07EF00CB770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46" authorId="0" shapeId="0" xr:uid="{28276896-BF7E-480B-A778-84B514052ABB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46" authorId="0" shapeId="0" xr:uid="{7DC9B82E-C60C-48ED-9C5E-623C3427F0E9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1498452. Source: SNL - Natural Gas Utility Balance Sheet - Net Utility Plant (Excluding Nuclear Fuel)</t>
        </r>
      </text>
    </comment>
    <comment ref="EW46" authorId="0" shapeId="0" xr:uid="{42736E3F-AE68-4B9F-A74D-C9EB0A9486AB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1372974. Source: SNL - Natural Gas Utility Balance Sheet - Net Utility Plant (Excluding Nuclear Fuel)</t>
        </r>
      </text>
    </comment>
    <comment ref="E54" authorId="0" shapeId="0" xr:uid="{766FB71D-A54A-4899-9009-A1B2E6D2D3DD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54" authorId="0" shapeId="0" xr:uid="{B699F704-5D5B-4E09-98F7-9EBC84FB9047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54" authorId="0" shapeId="0" xr:uid="{D8AF8515-AE74-47CE-A77D-380A28CDD26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54" authorId="0" shapeId="0" xr:uid="{1123B840-44FA-406D-902D-B13226C4D4A6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643300. Source: SNL - Natural Gas Utility Balance Sheet - Net Utility Plant (Excluding Nuclear Fuel)</t>
        </r>
      </text>
    </comment>
    <comment ref="EW54" authorId="0" shapeId="0" xr:uid="{15BC4B2F-1FB2-41B8-A497-EFA915EB34AF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605137. Source: SNL - Natural Gas Utility Balance Sheet - Net Utility Plant (Excluding Nuclear Fuel)</t>
        </r>
      </text>
    </comment>
    <comment ref="E55" authorId="0" shapeId="0" xr:uid="{29EB35BA-528B-4261-91D5-DE5E6AE3A21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BL55" authorId="0" shapeId="0" xr:uid="{AFCDC8C7-3413-4892-987D-EE94ED2F0D30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</t>
        </r>
      </text>
    </comment>
    <comment ref="EK55" authorId="0" shapeId="0" xr:uid="{55F3A70F-7470-4DFD-8D8A-65B352CE23B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2018 used as proxy for 2019. Source: SNL - Natural Gas Utility Balance Sheet - Net Utility Plant (Excluding Nuclear Fuel)</t>
        </r>
      </text>
    </comment>
    <comment ref="EQ55" authorId="0" shapeId="0" xr:uid="{CECDE86A-C462-406C-BB44-FDEB3182DA5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1043602. Source: SNL - Natural Gas Utility Balance Sheet - Net Utility Plant (Excluding Nuclear Fuel)</t>
        </r>
      </text>
    </comment>
    <comment ref="EW55" authorId="0" shapeId="0" xr:uid="{F0EB1742-A99C-4CF0-8A19-75CB37601095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Manually entered: 923242. Source: SNL - Natural Gas Utility Balance Sheet - Net Utility Plant (Excluding Nuclear Fuel)</t>
        </r>
      </text>
    </comment>
  </commentList>
</comments>
</file>

<file path=xl/sharedStrings.xml><?xml version="1.0" encoding="utf-8"?>
<sst xmlns="http://schemas.openxmlformats.org/spreadsheetml/2006/main" count="2510" uniqueCount="447">
  <si>
    <t>PROXY GROUP SCREENING DATA AND RESULTS - FINAL PROXY GROUP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</si>
  <si>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</si>
  <si>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</si>
  <si>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</si>
  <si>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</si>
  <si>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</si>
  <si>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</si>
  <si>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</si>
  <si>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</si>
  <si>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</si>
  <si>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</si>
  <si>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Company</t>
  </si>
  <si>
    <t>Ticker</t>
  </si>
  <si>
    <t>Dividends</t>
  </si>
  <si>
    <t>S&amp;P Credit Rating Between BBB- and AAA</t>
  </si>
  <si>
    <t>Covered by More Than 1 Analyst</t>
  </si>
  <si>
    <t xml:space="preserve">Postive Growth Rates From At Least 2 Sources </t>
  </si>
  <si>
    <t>Company-Owned Generation Assets Included in Rate Base</t>
  </si>
  <si>
    <t xml:space="preserve">% Regulated Revenue of Total Utility Revenue 
&gt; 60% </t>
  </si>
  <si>
    <t xml:space="preserve">% Regulated Operating Income of Total Income 
&gt; 60% </t>
  </si>
  <si>
    <t xml:space="preserve">% Regulated Electric Revenue of Total Regulated Revenue 
&gt; 80% </t>
  </si>
  <si>
    <t xml:space="preserve">% Regulated Electric Income of Total Regulated Income 
&gt; 80% </t>
  </si>
  <si>
    <t>Announced Merger within 180 days from 2/28/21</t>
  </si>
  <si>
    <t>ALLETE, Inc.</t>
  </si>
  <si>
    <t>ALE</t>
  </si>
  <si>
    <t>Yes</t>
  </si>
  <si>
    <t>BBB</t>
  </si>
  <si>
    <t>No</t>
  </si>
  <si>
    <t>Alliant Energy Corporation</t>
  </si>
  <si>
    <t>LNT</t>
  </si>
  <si>
    <t>A-</t>
  </si>
  <si>
    <t>Ameren Corporation</t>
  </si>
  <si>
    <t>AEE</t>
  </si>
  <si>
    <t>BBB+</t>
  </si>
  <si>
    <t>American Electric Power Company, Inc.</t>
  </si>
  <si>
    <t>AEP</t>
  </si>
  <si>
    <t>Duke Energy Corporation</t>
  </si>
  <si>
    <t>DUK</t>
  </si>
  <si>
    <t>Edison International</t>
  </si>
  <si>
    <t>EIX</t>
  </si>
  <si>
    <t>Entergy Corporation</t>
  </si>
  <si>
    <t>ETR</t>
  </si>
  <si>
    <t xml:space="preserve">Evergy, Inc. </t>
  </si>
  <si>
    <t>EVRG</t>
  </si>
  <si>
    <t>Hawaiian Electric Industries, Inc.</t>
  </si>
  <si>
    <t>HE</t>
  </si>
  <si>
    <t>BBB-</t>
  </si>
  <si>
    <t>IDACORP, Inc.</t>
  </si>
  <si>
    <t>IDA</t>
  </si>
  <si>
    <t>OGE Energy Corp.</t>
  </si>
  <si>
    <t>OGE</t>
  </si>
  <si>
    <t>Pinnacle West Capital Corporation</t>
  </si>
  <si>
    <t>PNW</t>
  </si>
  <si>
    <t>Portland General Electric Company</t>
  </si>
  <si>
    <t>POR</t>
  </si>
  <si>
    <t>Xcel Energy Inc.</t>
  </si>
  <si>
    <t>XEL</t>
  </si>
  <si>
    <t>Notes:</t>
  </si>
  <si>
    <t>[1] Source: Bloomberg Professional</t>
  </si>
  <si>
    <t>[2] Source: SNL Financial</t>
  </si>
  <si>
    <t>[3] Source: Yahoo! Finance and Zacks</t>
  </si>
  <si>
    <t>[4] Source: Yahoo! Finance, Value Line Investment Survey, and Zacks</t>
  </si>
  <si>
    <t>[5] Source: SNL Financial</t>
  </si>
  <si>
    <t>[6] - [9] Source: Form 10-Ks for 2017, 2018 &amp; 2019, three-year average</t>
  </si>
  <si>
    <t>[10] SNL Financial News Releases</t>
  </si>
  <si>
    <t>Yahoo! Finance Earnings Growth</t>
  </si>
  <si>
    <t>Zacks Earnings Growth</t>
  </si>
  <si>
    <t>Value Line Earnings Growth</t>
  </si>
  <si>
    <t>NA%</t>
  </si>
  <si>
    <t>Negative</t>
  </si>
  <si>
    <t>[1] Source: Yahoo! Finance, as of February 28, 2021</t>
  </si>
  <si>
    <t>[2] Source: Zacks, as of February 28, 2021</t>
  </si>
  <si>
    <t>[3] Source: Value Line reports as of February 28, 2021</t>
  </si>
  <si>
    <t xml:space="preserve">Positive Growth Rates From At Least 2 Sources </t>
  </si>
  <si>
    <t>(In thousands)</t>
  </si>
  <si>
    <t>Total</t>
  </si>
  <si>
    <t>Eliminations</t>
  </si>
  <si>
    <t>Percent Regulated</t>
  </si>
  <si>
    <t>Percent Electric Regulated / Total Regulated</t>
  </si>
  <si>
    <t>Percent Gas Dist. / Regulated</t>
  </si>
  <si>
    <t>Percent Electric T&amp;D / Total</t>
  </si>
  <si>
    <t>Percent Gas Dist. / Total</t>
  </si>
  <si>
    <t>Revenue</t>
  </si>
  <si>
    <t>Operating Income</t>
  </si>
  <si>
    <t>Assets</t>
  </si>
  <si>
    <t>Natural Gas Distribution</t>
  </si>
  <si>
    <t>Electric Distribution</t>
  </si>
  <si>
    <t>Gas Utility</t>
  </si>
  <si>
    <t>Other</t>
  </si>
  <si>
    <t>Energy Services</t>
  </si>
  <si>
    <t>Corporate and Other</t>
  </si>
  <si>
    <t>-</t>
  </si>
  <si>
    <t>NA</t>
  </si>
  <si>
    <t>Discontinued Operations</t>
  </si>
  <si>
    <t>2019 Form 10-K, page 32-38, 119 (pdf page 57-68, 204); 2018 Form 10-K, page130 (pdf page 230);</t>
  </si>
  <si>
    <t>Regulated Operations Total</t>
  </si>
  <si>
    <t>ALLETE clean Energy</t>
  </si>
  <si>
    <t>US Water Services</t>
  </si>
  <si>
    <t>2019 Form 10-K, page 92-93 (pdf page 179-181)</t>
  </si>
  <si>
    <t>Utility</t>
  </si>
  <si>
    <t>Non-Regulated</t>
  </si>
  <si>
    <t>Utility Electric Operations</t>
  </si>
  <si>
    <t>Utility Gas Operations</t>
  </si>
  <si>
    <t>Utility Other</t>
  </si>
  <si>
    <t>ATC Holdings, Non-utility, Parent and Other</t>
  </si>
  <si>
    <t>2019 Form 10-K, pages 78 (pdf 108), 82 (pdf 114), 99 (pdf 138), 14 (pdf 23), 38 (pdf 53); 2018 Form 10-K, pages 103 (pdf 186)</t>
  </si>
  <si>
    <t>Ameren Missouri Electic</t>
  </si>
  <si>
    <t>Ameren Missouri Natural Gas</t>
  </si>
  <si>
    <t>Ameren Missouri 
Trans. (Other)</t>
  </si>
  <si>
    <t>Ameren Illinois Electric</t>
  </si>
  <si>
    <t>Ameren Illinois Natural Gas</t>
  </si>
  <si>
    <t>Ameren Transmission</t>
  </si>
  <si>
    <t>Other / Intersegment Eliminations</t>
  </si>
  <si>
    <t>2019 Form 10-K, page 5 (pdf page 15), 18 (pdf page 211), 24 (pdf page 217), 30 (pdf page 223), 33 (pdf page 226), 243-245 (pdf page 436-438);  Form 10-K page 5,, AEP-2 10K page 19, 27, 35 269; 2017 Form 10-K, pages 5, and Annual Reports (AEP-2) page 262-264. 2016 Form 10-K, pages 5-6, 219-221</t>
  </si>
  <si>
    <t>Vertically Integrated Utilities</t>
  </si>
  <si>
    <t>Transmission and Distribution Utilities</t>
  </si>
  <si>
    <t>AEP Transmission Holdco</t>
  </si>
  <si>
    <t>Generation and Marketing</t>
  </si>
  <si>
    <t>Reconciling Adjustments</t>
  </si>
  <si>
    <t>Avangrid, Inc.</t>
  </si>
  <si>
    <t>Form 10-K for year ended 12/31/19, page 60-61 (pdf page 63-64), 152-153 (pdf page 157-158); Form 10-K for year ended 12/31/18, page 155 (pdf page 291)</t>
  </si>
  <si>
    <t>AGR</t>
  </si>
  <si>
    <t>Networks</t>
  </si>
  <si>
    <t>Renewables</t>
  </si>
  <si>
    <t>Avista Corporation</t>
  </si>
  <si>
    <t xml:space="preserve">2019 Form 10-K, page 31-32 (pdf page 40-41); </t>
  </si>
  <si>
    <t>AVA</t>
  </si>
  <si>
    <t>Avista Utilities</t>
  </si>
  <si>
    <t>Alaska Electric Light and Power Company</t>
  </si>
  <si>
    <t>Intersegment Eliminations</t>
  </si>
  <si>
    <t>Black Hills Corporation</t>
  </si>
  <si>
    <t>2019 Form 10-K, pages 98-101; 2018 Form 10-K, page 115; $ thousands</t>
  </si>
  <si>
    <t>BKH</t>
  </si>
  <si>
    <t>Electric Utility</t>
  </si>
  <si>
    <t>Power Generation</t>
  </si>
  <si>
    <t>Mining</t>
  </si>
  <si>
    <t>Corporate</t>
  </si>
  <si>
    <t>Inter-company Eliminations</t>
  </si>
  <si>
    <t>CenterPoint Energy, Inc.</t>
  </si>
  <si>
    <t>2019 Form 10-K, page 196; $ millions</t>
  </si>
  <si>
    <t>CNP</t>
  </si>
  <si>
    <t>Houston Electric Transmission &amp; Distribution</t>
  </si>
  <si>
    <t>Indiana Electric Integrated</t>
  </si>
  <si>
    <t>Infrastructure Services</t>
  </si>
  <si>
    <t>Midstream Investments</t>
  </si>
  <si>
    <t>CMS Energy Corporation</t>
  </si>
  <si>
    <t>2019 Form 10-K, page 168-170;  $ millions</t>
  </si>
  <si>
    <t>CMS</t>
  </si>
  <si>
    <t>Enterprises</t>
  </si>
  <si>
    <t>Enerbank</t>
  </si>
  <si>
    <t>Other Reconciling Items</t>
  </si>
  <si>
    <t>Consolidated Edison, Inc.</t>
  </si>
  <si>
    <t>2019 Form 10-K, page 159-160; $ millions</t>
  </si>
  <si>
    <t>CECONY</t>
  </si>
  <si>
    <t>O&amp;R</t>
  </si>
  <si>
    <t>ED</t>
  </si>
  <si>
    <t>Electric</t>
  </si>
  <si>
    <t>Gas</t>
  </si>
  <si>
    <t>Steam</t>
  </si>
  <si>
    <t>Consolidation Adjustments</t>
  </si>
  <si>
    <t>Clean Energy Businesses</t>
  </si>
  <si>
    <t>Dominion Resources, Inc.</t>
  </si>
  <si>
    <t>2019 Form 10-K, page 191; 2017 Form 10-K, page 187; $ millions</t>
  </si>
  <si>
    <t>D</t>
  </si>
  <si>
    <t>Dominion Energy Virginia</t>
  </si>
  <si>
    <t>Gas Transmission and Storage</t>
  </si>
  <si>
    <t>Gas Distribution</t>
  </si>
  <si>
    <t>Dominion Energy South Carolina</t>
  </si>
  <si>
    <t>Contracted Generation</t>
  </si>
  <si>
    <t>Adjustments and Elimination</t>
  </si>
  <si>
    <t>Power Delivery</t>
  </si>
  <si>
    <t>Gas Infrastructure</t>
  </si>
  <si>
    <t>TWh</t>
  </si>
  <si>
    <t>Regulated Generation</t>
  </si>
  <si>
    <t>2019 Form 10-K, page 54. 56</t>
  </si>
  <si>
    <t>Merchant Generation</t>
  </si>
  <si>
    <t>2018 Form 10-K, page 39,40, 55</t>
  </si>
  <si>
    <t>2017 Form 10-K, pages 53</t>
  </si>
  <si>
    <t>DTE Energy Company</t>
  </si>
  <si>
    <t>2019 Form 10-K, pages 145-146, 32,34,36-37,39; $ millions</t>
  </si>
  <si>
    <t>Non-utility Operations</t>
  </si>
  <si>
    <t>DTE</t>
  </si>
  <si>
    <t>Gas Storage and Pipelines</t>
  </si>
  <si>
    <t>Power and Industrial Projects</t>
  </si>
  <si>
    <t>Energy Trading</t>
  </si>
  <si>
    <t>Corporate &amp; Other</t>
  </si>
  <si>
    <t>Reclassifications and Eliminations</t>
  </si>
  <si>
    <t>2019 Form 10-K, page 130-131, 44, 2018 Form 10-K, 45-51 ; $ millions</t>
  </si>
  <si>
    <t>Electric Utilities and Infrastructure</t>
  </si>
  <si>
    <t>Gas Utilities and Infrastructure</t>
  </si>
  <si>
    <t>Commercial Renewables</t>
  </si>
  <si>
    <t>2019 Form 10-K, page 125, 50; $ millions</t>
  </si>
  <si>
    <t>Parent and Other</t>
  </si>
  <si>
    <t>El Paso Electric Company</t>
  </si>
  <si>
    <t>2019 Form 10-K, page 24</t>
  </si>
  <si>
    <t>EE</t>
  </si>
  <si>
    <t>2019 Form 10-K, page 195-196, 2; $ thousands</t>
  </si>
  <si>
    <t>Entergy Wholesale Commodities</t>
  </si>
  <si>
    <t>Parent &amp; Other</t>
  </si>
  <si>
    <t>Eversource Energy</t>
  </si>
  <si>
    <t>2019 Form 10-K, page 120; 2018 Form 10-K, page 136; $ millions</t>
  </si>
  <si>
    <t>ES</t>
  </si>
  <si>
    <t>Electric Transmission</t>
  </si>
  <si>
    <t>Water Distribution</t>
  </si>
  <si>
    <t>2019 Form 10-K, page 37, 63; 2018 10-K, page 61</t>
  </si>
  <si>
    <t>Electric Generation, Transmission and Distribution Services</t>
  </si>
  <si>
    <t>Exelon Corporation</t>
  </si>
  <si>
    <t>2019 Form 10-K, page 256-257, 55-59; $ millions</t>
  </si>
  <si>
    <t>EXC</t>
  </si>
  <si>
    <t>Generation</t>
  </si>
  <si>
    <t>ComEd</t>
  </si>
  <si>
    <t>PECO</t>
  </si>
  <si>
    <t>BGE</t>
  </si>
  <si>
    <t>PHI</t>
  </si>
  <si>
    <t>FirstEnergy Corp.</t>
  </si>
  <si>
    <t>2019 Form 10-K, page 40-42, 132; $ millions</t>
  </si>
  <si>
    <t>FE</t>
  </si>
  <si>
    <t>Regulated Distribution</t>
  </si>
  <si>
    <t>Regulated Transmission</t>
  </si>
  <si>
    <t>Corporate/Other</t>
  </si>
  <si>
    <t>2019 Form 10-K, page 78, 100; $ thousands</t>
  </si>
  <si>
    <t>Bank</t>
  </si>
  <si>
    <t>2019 Form 10-K, pp. 124-125; 2018 Form 10-K, p. 126-127; 2017 Form 10-K, pages 122-123</t>
  </si>
  <si>
    <t>($ thousands)</t>
  </si>
  <si>
    <t>Utility Operations</t>
  </si>
  <si>
    <t>All Other</t>
  </si>
  <si>
    <t>MGE Energy, Inc.</t>
  </si>
  <si>
    <t>2019 Form 10-K, pp. 105, 107; 2018 Form 10-K, pages 103, 105; 2017 Form 10-K, page 101, 103</t>
  </si>
  <si>
    <t>MGEE</t>
  </si>
  <si>
    <t>Non Regulated Energy</t>
  </si>
  <si>
    <t>Transmission Investment</t>
  </si>
  <si>
    <t>All Others</t>
  </si>
  <si>
    <t>Consolidation/ Elimination Entries</t>
  </si>
  <si>
    <t>NextEra Energy, Inc.</t>
  </si>
  <si>
    <t>2019 Form 10-K, pp. 107-108; 2018 Form 10-K, pages 66-67, 110; 2017 Form 10-K, page 65, 108</t>
  </si>
  <si>
    <t>NEE</t>
  </si>
  <si>
    <t>FPL</t>
  </si>
  <si>
    <t>Gulf Power</t>
  </si>
  <si>
    <t>NextEra Energy Resources</t>
  </si>
  <si>
    <t>NorthWestern Corporation</t>
  </si>
  <si>
    <t>2019 Form 10-K, pp. F-45; 2018 Form 10-K, page F-46; 2017 Form 10-K, page F-44</t>
  </si>
  <si>
    <t>NWE</t>
  </si>
  <si>
    <t>Regulated Electric Operations</t>
  </si>
  <si>
    <t>Regulated Natural Gas Operations</t>
  </si>
  <si>
    <t>2019 Form 10-K, pp. 108-109; 2018 Form 10-K, pages 110-111; 2017 Form 10-K, pages 122-123</t>
  </si>
  <si>
    <t>Natural Gas Midstream Operations</t>
  </si>
  <si>
    <t>Other Operations</t>
  </si>
  <si>
    <t>Otter Tail Corporation</t>
  </si>
  <si>
    <t>2019 Form 10-K, pp. 79-80; 2018 Form 10-K, pages 79-80; 2017 Form 10-K, pages 78-79.</t>
  </si>
  <si>
    <t xml:space="preserve">  </t>
  </si>
  <si>
    <t>OTTR</t>
  </si>
  <si>
    <t>Manufacturing</t>
  </si>
  <si>
    <t>Plastics</t>
  </si>
  <si>
    <t>Corporate and Intersegment Eliminations</t>
  </si>
  <si>
    <t>Assets of Discontinued Operations</t>
  </si>
  <si>
    <t>PG&amp;E Corporation</t>
  </si>
  <si>
    <t>2019 Form 10-K, pp. 122; 2018 Form 10-K, pages 50, 61, 94-96; 2017 Form 10-K, pages 86-88.</t>
  </si>
  <si>
    <t>PCG</t>
  </si>
  <si>
    <t>Natural Gas Utility</t>
  </si>
  <si>
    <t>Corporate Other</t>
  </si>
  <si>
    <t>($thousands)</t>
  </si>
  <si>
    <t>PG&amp;E Corporate Total</t>
  </si>
  <si>
    <t>Pacific Gas and E Total</t>
  </si>
  <si>
    <t>Source: 2019 Form 10-K, pp. 65</t>
  </si>
  <si>
    <t>2019 Form 10-K, pp. 81, 83, 90, 92; 2018 Form 10-K, pages 49-50; 2017 Form 10-K, pages 86, 88, 95</t>
  </si>
  <si>
    <t>Arizona Public Service Co.</t>
  </si>
  <si>
    <t>Pinnacle West Corporate Total</t>
  </si>
  <si>
    <t>PNM Resources, Inc.</t>
  </si>
  <si>
    <t>2019 Form 10-K, pp. B-16 - B-26; 2018 Form 10-K, pages B-16 - B-26; 2017 Form 10-K, page B-38</t>
  </si>
  <si>
    <t>PNM</t>
  </si>
  <si>
    <t>PNM Electric</t>
  </si>
  <si>
    <t>TNMP Electric</t>
  </si>
  <si>
    <t>PNM Resources &amp; Subsidiaries Consolidated</t>
  </si>
  <si>
    <t>2019 Form 10-K, pp. 54, 56; 2018 Form 10-K, pages 30; 2017 Form 10-K, pages 31</t>
  </si>
  <si>
    <t>PPL Corporation</t>
  </si>
  <si>
    <t>2019 Form 10-K, pp. 43, 49, 130; 2018 Form 10-K, pages 13, 50, 57-58, 151-152; 2017 Form 10-K, pages 53-55, 149-150</t>
  </si>
  <si>
    <t>PPL</t>
  </si>
  <si>
    <t>U.K. Regulated</t>
  </si>
  <si>
    <t>Kentucky Regulated</t>
  </si>
  <si>
    <t>Pennsylvania Regulated</t>
  </si>
  <si>
    <t>Public Service Enterprise Group Incorporated</t>
  </si>
  <si>
    <t>2019 Form 10-K, pp. 172; 2018 Form 10-K, pp. 173-174; 2017 Form 10-K, page 172</t>
  </si>
  <si>
    <t>PEG</t>
  </si>
  <si>
    <t>Power</t>
  </si>
  <si>
    <t>PSE&amp;G</t>
  </si>
  <si>
    <t>Sempra Energy</t>
  </si>
  <si>
    <t>2019 Form 10-K, pp. F-146 - F-147, 2019 Oncor Electric Delivery Holdings Company LLC Consolidated Financial Statements, pp. 7-9; 2018 Annual Report, pages F-159-F-160; 2017 Annual Report, pages F-146-F-147</t>
  </si>
  <si>
    <t>SRE</t>
  </si>
  <si>
    <t>SDG&amp;E</t>
  </si>
  <si>
    <t>SoCalGas</t>
  </si>
  <si>
    <t>Sempra Texas Utilities</t>
  </si>
  <si>
    <t>Sempra Mexico</t>
  </si>
  <si>
    <t>Sempra Renewables</t>
  </si>
  <si>
    <t>Sempra LNG</t>
  </si>
  <si>
    <t>Adjustments and eliminations</t>
  </si>
  <si>
    <t>Intersegment Revenues/ Eliminations</t>
  </si>
  <si>
    <t>($millions)</t>
  </si>
  <si>
    <t>SDG&amp;E Electric Revenues</t>
  </si>
  <si>
    <t>SDG&amp;E Gas Revenues</t>
  </si>
  <si>
    <t>% Electric</t>
  </si>
  <si>
    <t>% Gas</t>
  </si>
  <si>
    <t>SDG&amp;E Electric Costs</t>
  </si>
  <si>
    <t>SDG&amp;E Gas Costs</t>
  </si>
  <si>
    <t>SDG&amp;E Electric Avg.</t>
  </si>
  <si>
    <t>SDG&amp;E Gas Avg.</t>
  </si>
  <si>
    <t>Source: 2019 SRE 10-K, pp. 64</t>
  </si>
  <si>
    <t>Southern Company</t>
  </si>
  <si>
    <t>2019 Form 10-K, pp. II-322; 2018 Form 10-K, page II-426; 2017 Form 10-K, page II-150</t>
  </si>
  <si>
    <t>SO</t>
  </si>
  <si>
    <t>Traditional Operating Companies</t>
  </si>
  <si>
    <t>Southern Power</t>
  </si>
  <si>
    <t>Southern Company Gas</t>
  </si>
  <si>
    <t>WEC Energy Group, Inc.</t>
  </si>
  <si>
    <t>2019 Form 10-K, pp. 44, 122; 2018 Form 10-K, pages 47, 124; Updated 6/8/2018, 2017 Form 10-K, pages 4, 11, 14, 16, 46, 117</t>
  </si>
  <si>
    <t>WEC</t>
  </si>
  <si>
    <t xml:space="preserve">Wisconsin Electric </t>
  </si>
  <si>
    <t>Wisconsin Natural Gas</t>
  </si>
  <si>
    <t>Illinois Natural Gas</t>
  </si>
  <si>
    <t>Other States Natural Gas</t>
  </si>
  <si>
    <t>Non-Utility Energy Infrastructure</t>
  </si>
  <si>
    <t xml:space="preserve">Corporate and Other </t>
  </si>
  <si>
    <t>Reconciling Eliminations</t>
  </si>
  <si>
    <t>Wisconsin total</t>
  </si>
  <si>
    <t>2019 Form 10-K, pages 24, 44, 57; 2018 Form 10-K, page 47</t>
  </si>
  <si>
    <t>Regulated Electric Utility</t>
  </si>
  <si>
    <t>Regulated Natural Gas Utility</t>
  </si>
  <si>
    <t>Xcel Total</t>
  </si>
  <si>
    <t>Electric Margin</t>
  </si>
  <si>
    <t>Gas Margin</t>
  </si>
  <si>
    <t xml:space="preserve"> </t>
  </si>
  <si>
    <t>Emera Maine</t>
  </si>
  <si>
    <t>=@SNLTable(11,$B$6:$B$51,$C$3:$EY$3)</t>
  </si>
  <si>
    <t xml:space="preserve">Company Name </t>
  </si>
  <si>
    <t xml:space="preserve">SNL Institution Key </t>
  </si>
  <si>
    <t xml:space="preserve">Ultimate Parent Company Name </t>
  </si>
  <si>
    <t>Operating Revenue: Electric ($000)</t>
  </si>
  <si>
    <t>Operating Revenue: Gas ($000)</t>
  </si>
  <si>
    <t>Operating Revenue: Other ($000)</t>
  </si>
  <si>
    <t>Operating Expense - Electric ($000)</t>
  </si>
  <si>
    <t>Maintenance Expense: Electric ($000)</t>
  </si>
  <si>
    <t>Depreciation Expense - Electric ($000)</t>
  </si>
  <si>
    <t>Dep Exp for Asset Ret Cost-Elec ($000)</t>
  </si>
  <si>
    <t>Amort &amp; Depl of Utility Plant - Electric ($000)</t>
  </si>
  <si>
    <t>Amortization of Utility Plant Acq Adj - Electric ($000)</t>
  </si>
  <si>
    <t>Amortization of Property Losses - Electric ($000)</t>
  </si>
  <si>
    <t>Amortization of Conversion Expense - Electric ($000)</t>
  </si>
  <si>
    <t>Regulatory Debits, Electric ($000)</t>
  </si>
  <si>
    <t>Regulatory Credits, Electric ($000)</t>
  </si>
  <si>
    <t>Taxes Other Than Inc Taxes - Electric ($000)</t>
  </si>
  <si>
    <t>Electric Operating Income</t>
  </si>
  <si>
    <t>Operating Expense: Gas ($000)</t>
  </si>
  <si>
    <t>Maintenance Expense: Gas ($000)</t>
  </si>
  <si>
    <t>Depreciation Expense: Gas ($000)</t>
  </si>
  <si>
    <t>Dep Exp for Asset Ret Cost-Gas ($000)</t>
  </si>
  <si>
    <t>Amortization &amp; Depletion of Utility Plant: Gas ($000)</t>
  </si>
  <si>
    <t>Amort of Utility Plant Acquisition Adjustment-Gas ($000)</t>
  </si>
  <si>
    <t>Amortization of Property Losses: Gas ($000)</t>
  </si>
  <si>
    <t>Amortization of Conversion Expense: Gas ($000)</t>
  </si>
  <si>
    <t>Regulatory Debits, Gas ($000)</t>
  </si>
  <si>
    <t>Regulatory Credits, Gas ($000)</t>
  </si>
  <si>
    <t>Taxes Other Than Inc Taxes: Gas ($000)</t>
  </si>
  <si>
    <t>Gas Operating Income</t>
  </si>
  <si>
    <t>Other Operating Expense ($000)</t>
  </si>
  <si>
    <t>Maintenance Expense: Other ($000)</t>
  </si>
  <si>
    <t>Depreciation Expense - Other ($000)</t>
  </si>
  <si>
    <t>Dep Exp for Asset Ret Cost-Other ($000)</t>
  </si>
  <si>
    <t>Amort &amp; Depl of Utility Plant - Other ($000)</t>
  </si>
  <si>
    <t>Amort of Utility Plant Acquisition Adj - Other ($000)</t>
  </si>
  <si>
    <t>Amortization of Property Losses - Other ($000)</t>
  </si>
  <si>
    <t>Amortization of Conversion Expense - Other ($000)</t>
  </si>
  <si>
    <t>Regulatory Debits, Other ($000)</t>
  </si>
  <si>
    <t>Regulatory Credits, Other ($000)</t>
  </si>
  <si>
    <t>Taxes Other Than Inc Taxes - Other ($000)</t>
  </si>
  <si>
    <t>Other Operating Income</t>
  </si>
  <si>
    <t>Total Operating Income</t>
  </si>
  <si>
    <t>Check</t>
  </si>
  <si>
    <t>Net Utility Plant: Total ($000)</t>
  </si>
  <si>
    <t>Net Utility Plant: Electric ($000)</t>
  </si>
  <si>
    <t>Net Utility Plant: Gas ($000)</t>
  </si>
  <si>
    <t>Net Utility Plant: Other ($000)</t>
  </si>
  <si>
    <t>Net Utility Plant: Common ($000)</t>
  </si>
  <si>
    <t>Net Utility Plant before Common ($000)</t>
  </si>
  <si>
    <t>2019Y</t>
  </si>
  <si>
    <t>2018Y</t>
  </si>
  <si>
    <t>2017Y</t>
  </si>
  <si>
    <t>ALLETE (Minnesota Power)</t>
  </si>
  <si>
    <t>Superior Water, Light and Power Company</t>
  </si>
  <si>
    <t>Ameren Illinois Company</t>
  </si>
  <si>
    <t>Union Electric Company</t>
  </si>
  <si>
    <t>Berkshire Gas Company</t>
  </si>
  <si>
    <t>Central Maine Power Company</t>
  </si>
  <si>
    <t>Connecticut Natural Gas Corporation</t>
  </si>
  <si>
    <t>Maine Natural Gas</t>
  </si>
  <si>
    <t>New York State Electric &amp; Gas Corporation</t>
  </si>
  <si>
    <t>Rochester Gas and Electric Corporation</t>
  </si>
  <si>
    <t>Southern Connecticut Gas Company</t>
  </si>
  <si>
    <t>United Illuminating Company</t>
  </si>
  <si>
    <t>Entergy Arkansas, Inc.</t>
  </si>
  <si>
    <t>Entergy Louisiana, LLC</t>
  </si>
  <si>
    <t>Entergy Mississippi, Inc.</t>
  </si>
  <si>
    <t>Entergy New Orleans, Inc.</t>
  </si>
  <si>
    <t>Entergy Texas, Inc.</t>
  </si>
  <si>
    <t>Atlantic City Electric Company</t>
  </si>
  <si>
    <t>Baltimore Gas and Electric Company</t>
  </si>
  <si>
    <t>Commonwealth Edison Company</t>
  </si>
  <si>
    <t>Delmarva Power &amp; Light Company</t>
  </si>
  <si>
    <t>PECO Energy Company</t>
  </si>
  <si>
    <t>Potomac Electric Power Company</t>
  </si>
  <si>
    <t>Pacific Gas and Electric Company</t>
  </si>
  <si>
    <t>Kentucky Utilities Company</t>
  </si>
  <si>
    <t>Louisville Gas and Electric Company</t>
  </si>
  <si>
    <t>PPL Electric Utilities Corporation</t>
  </si>
  <si>
    <t>Public Service Electric and Gas Company</t>
  </si>
  <si>
    <t>Michigan Gas Utilities Corporation</t>
  </si>
  <si>
    <t>Minnesota Energy Resources Corporation</t>
  </si>
  <si>
    <t>North Shore Gas Company</t>
  </si>
  <si>
    <t>Peoples Gas Light and Coke Company</t>
  </si>
  <si>
    <t>Wisconsin Electric Power Company</t>
  </si>
  <si>
    <t>Wisconsin Gas LLC</t>
  </si>
  <si>
    <t>Wisconsin Public Service Corporation</t>
  </si>
  <si>
    <t>Upper Michigan Energy Resources Corporation</t>
  </si>
  <si>
    <t>Northern States Power Company - MN</t>
  </si>
  <si>
    <t>Northern States Power Company - WI</t>
  </si>
  <si>
    <t>Public Service Company of Colorado</t>
  </si>
  <si>
    <t>Southwestern Public Service Company</t>
  </si>
  <si>
    <t>ENMAX Corporation</t>
  </si>
  <si>
    <t>New Mexico Gas Company, Inc.</t>
  </si>
  <si>
    <t>Emera Incorporated</t>
  </si>
  <si>
    <t>Peoples Gas System</t>
  </si>
  <si>
    <t>Tampa Electric Company</t>
  </si>
  <si>
    <t>GROWTH RATES - FINAL PROXY GROUP</t>
  </si>
  <si>
    <t>FirstEnergy Corporation</t>
  </si>
  <si>
    <t>Public Service Enterprise Group Inc.</t>
  </si>
  <si>
    <t>Wisconsin Energy Corporation</t>
  </si>
  <si>
    <t>[11]</t>
  </si>
  <si>
    <t>Pass Screen?</t>
  </si>
  <si>
    <t>BB *-</t>
  </si>
  <si>
    <t>AA-</t>
  </si>
  <si>
    <t>BB-</t>
  </si>
  <si>
    <t>n/a</t>
  </si>
  <si>
    <t>No*</t>
  </si>
  <si>
    <t>[11] NextEra Energy, Inc. was excluded on the basis of it being the parent company of FPL.</t>
  </si>
  <si>
    <t>20210015-EI</t>
  </si>
  <si>
    <t>FPL 025423</t>
  </si>
  <si>
    <t>FPL 025424</t>
  </si>
  <si>
    <t>FPL 025425</t>
  </si>
  <si>
    <t>FPL 025426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</si>
</sst>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_);_(* \(#,##0\);_(* &quot;-&quot;?_);_(@_)"/>
    <numFmt numFmtId="167" formatCode="_(* #,##0.0_);_(* \(#,##0.0\);_(* &quot;-&quot;?_);_(@_)"/>
    <numFmt numFmtId="168" formatCode="#,##0.0_);\(#,##0.0\)"/>
    <numFmt numFmtId="169" formatCode="_(* #,##0.0_);_(* \(#,##0.0\);_(* &quot;-&quot;??_);_(@_)"/>
    <numFmt numFmtId="170" formatCode="_(* #,##0.0000_);_(* \(#,##0.0000\);_(* &quot;-&quot;??_);_(@_)"/>
    <numFmt numFmtId="171" formatCode="_(* #,##0.00000_);_(* \(#,##0.0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0" fontId="3" fillId="0" borderId="0"/>
  </cellStyleXfs>
  <cellXfs count="20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3" applyFont="1" applyAlignment="1">
      <alignment horizontal="center"/>
    </xf>
    <xf numFmtId="9" fontId="3" fillId="0" borderId="0" xfId="1" applyFont="1" applyFill="1" applyBorder="1" applyAlignment="1">
      <alignment horizontal="center"/>
    </xf>
    <xf numFmtId="0" fontId="3" fillId="0" borderId="2" xfId="0" applyFont="1" applyBorder="1"/>
    <xf numFmtId="0" fontId="3" fillId="0" borderId="2" xfId="3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9" fontId="3" fillId="0" borderId="2" xfId="1" applyFont="1" applyFill="1" applyBorder="1" applyAlignment="1">
      <alignment horizontal="center"/>
    </xf>
    <xf numFmtId="0" fontId="3" fillId="0" borderId="3" xfId="2" applyFont="1" applyBorder="1"/>
    <xf numFmtId="10" fontId="3" fillId="0" borderId="0" xfId="1" applyNumberFormat="1" applyFont="1" applyAlignment="1">
      <alignment horizontal="center"/>
    </xf>
    <xf numFmtId="0" fontId="5" fillId="0" borderId="0" xfId="4" applyFont="1"/>
    <xf numFmtId="0" fontId="3" fillId="0" borderId="0" xfId="4" applyFont="1" applyAlignment="1">
      <alignment horizontal="right"/>
    </xf>
    <xf numFmtId="0" fontId="3" fillId="0" borderId="0" xfId="4" applyFont="1" applyAlignment="1">
      <alignment horizontal="center"/>
    </xf>
    <xf numFmtId="0" fontId="3" fillId="0" borderId="0" xfId="4" applyFont="1"/>
    <xf numFmtId="165" fontId="2" fillId="0" borderId="0" xfId="5" applyNumberFormat="1" applyFont="1"/>
    <xf numFmtId="0" fontId="3" fillId="0" borderId="0" xfId="6"/>
    <xf numFmtId="0" fontId="3" fillId="0" borderId="0" xfId="4" applyFont="1" applyAlignment="1">
      <alignment horizontal="left"/>
    </xf>
    <xf numFmtId="165" fontId="3" fillId="0" borderId="0" xfId="5" applyNumberFormat="1" applyFont="1" applyAlignment="1">
      <alignment horizontal="center" wrapText="1"/>
    </xf>
    <xf numFmtId="165" fontId="3" fillId="0" borderId="0" xfId="5" applyNumberFormat="1" applyFont="1" applyAlignment="1">
      <alignment horizontal="center"/>
    </xf>
    <xf numFmtId="165" fontId="3" fillId="0" borderId="0" xfId="7" applyNumberFormat="1" applyFont="1"/>
    <xf numFmtId="165" fontId="3" fillId="0" borderId="0" xfId="5" applyNumberFormat="1" applyFont="1"/>
    <xf numFmtId="0" fontId="3" fillId="0" borderId="3" xfId="4" applyFont="1" applyBorder="1"/>
    <xf numFmtId="0" fontId="3" fillId="0" borderId="3" xfId="4" applyFont="1" applyBorder="1" applyAlignment="1">
      <alignment horizontal="center" wrapText="1"/>
    </xf>
    <xf numFmtId="0" fontId="3" fillId="0" borderId="0" xfId="4" applyFont="1" applyAlignment="1">
      <alignment horizontal="center" wrapText="1"/>
    </xf>
    <xf numFmtId="41" fontId="3" fillId="0" borderId="0" xfId="4" applyNumberFormat="1" applyFont="1"/>
    <xf numFmtId="165" fontId="3" fillId="0" borderId="0" xfId="8" applyNumberFormat="1" applyFont="1"/>
    <xf numFmtId="9" fontId="3" fillId="0" borderId="0" xfId="4" applyNumberFormat="1" applyFont="1" applyAlignment="1">
      <alignment horizontal="center"/>
    </xf>
    <xf numFmtId="165" fontId="3" fillId="0" borderId="0" xfId="8" applyNumberFormat="1" applyFont="1" applyAlignment="1">
      <alignment horizontal="center" wrapText="1"/>
    </xf>
    <xf numFmtId="165" fontId="3" fillId="0" borderId="0" xfId="8" applyNumberFormat="1" applyFont="1" applyFill="1" applyAlignment="1">
      <alignment horizontal="center" wrapText="1"/>
    </xf>
    <xf numFmtId="9" fontId="2" fillId="0" borderId="0" xfId="4" applyNumberFormat="1" applyFont="1" applyAlignment="1">
      <alignment horizontal="center"/>
    </xf>
    <xf numFmtId="165" fontId="3" fillId="0" borderId="0" xfId="8" applyNumberFormat="1" applyFont="1" applyFill="1"/>
    <xf numFmtId="0" fontId="3" fillId="0" borderId="0" xfId="6" applyAlignment="1">
      <alignment horizontal="center"/>
    </xf>
    <xf numFmtId="165" fontId="3" fillId="0" borderId="0" xfId="7" applyNumberFormat="1" applyFont="1" applyFill="1"/>
    <xf numFmtId="9" fontId="2" fillId="0" borderId="0" xfId="9" applyFont="1"/>
    <xf numFmtId="165" fontId="2" fillId="0" borderId="0" xfId="5" applyNumberFormat="1" applyFont="1" applyAlignment="1">
      <alignment horizontal="center"/>
    </xf>
    <xf numFmtId="165" fontId="2" fillId="0" borderId="0" xfId="8" applyNumberFormat="1" applyFont="1" applyFill="1"/>
    <xf numFmtId="165" fontId="2" fillId="0" borderId="0" xfId="8" applyNumberFormat="1" applyFont="1" applyAlignment="1">
      <alignment horizontal="center" wrapText="1"/>
    </xf>
    <xf numFmtId="165" fontId="2" fillId="0" borderId="0" xfId="8" applyNumberFormat="1" applyFont="1" applyAlignment="1">
      <alignment horizontal="center"/>
    </xf>
    <xf numFmtId="165" fontId="2" fillId="0" borderId="0" xfId="8" applyNumberFormat="1" applyFont="1" applyFill="1" applyAlignment="1">
      <alignment horizontal="center" wrapText="1"/>
    </xf>
    <xf numFmtId="165" fontId="2" fillId="0" borderId="0" xfId="8" applyNumberFormat="1" applyFont="1" applyFill="1" applyAlignment="1">
      <alignment horizontal="center"/>
    </xf>
    <xf numFmtId="165" fontId="2" fillId="0" borderId="0" xfId="8" applyNumberFormat="1" applyFont="1"/>
    <xf numFmtId="165" fontId="2" fillId="0" borderId="0" xfId="5" applyNumberFormat="1" applyFont="1" applyFill="1"/>
    <xf numFmtId="165" fontId="5" fillId="0" borderId="0" xfId="5" applyNumberFormat="1" applyFont="1"/>
    <xf numFmtId="165" fontId="3" fillId="0" borderId="0" xfId="8" applyNumberFormat="1" applyFont="1" applyAlignment="1">
      <alignment horizontal="center"/>
    </xf>
    <xf numFmtId="165" fontId="2" fillId="0" borderId="0" xfId="5" applyNumberFormat="1" applyFont="1" applyAlignment="1">
      <alignment horizontal="center" wrapText="1"/>
    </xf>
    <xf numFmtId="0" fontId="3" fillId="0" borderId="0" xfId="4" applyFont="1" applyAlignment="1">
      <alignment wrapText="1"/>
    </xf>
    <xf numFmtId="165" fontId="3" fillId="0" borderId="0" xfId="7" applyNumberFormat="1" applyFont="1" applyAlignment="1">
      <alignment horizontal="center"/>
    </xf>
    <xf numFmtId="165" fontId="2" fillId="0" borderId="0" xfId="7" applyNumberFormat="1" applyFont="1"/>
    <xf numFmtId="165" fontId="3" fillId="0" borderId="0" xfId="4" applyNumberFormat="1" applyFont="1"/>
    <xf numFmtId="167" fontId="3" fillId="0" borderId="0" xfId="4" applyNumberFormat="1" applyFont="1"/>
    <xf numFmtId="0" fontId="3" fillId="0" borderId="0" xfId="6" applyAlignment="1">
      <alignment horizontal="right"/>
    </xf>
    <xf numFmtId="0" fontId="3" fillId="0" borderId="3" xfId="6" applyBorder="1" applyAlignment="1">
      <alignment horizontal="center" wrapText="1"/>
    </xf>
    <xf numFmtId="0" fontId="3" fillId="0" borderId="0" xfId="6" applyAlignment="1">
      <alignment horizontal="center" wrapText="1"/>
    </xf>
    <xf numFmtId="9" fontId="2" fillId="0" borderId="0" xfId="9" applyFont="1" applyAlignment="1">
      <alignment horizontal="center"/>
    </xf>
    <xf numFmtId="9" fontId="6" fillId="4" borderId="0" xfId="9" applyFont="1" applyFill="1" applyAlignment="1">
      <alignment horizontal="center"/>
    </xf>
    <xf numFmtId="9" fontId="3" fillId="0" borderId="0" xfId="6" applyNumberFormat="1" applyAlignment="1">
      <alignment horizontal="center"/>
    </xf>
    <xf numFmtId="164" fontId="3" fillId="0" borderId="0" xfId="6" applyNumberFormat="1"/>
    <xf numFmtId="167" fontId="3" fillId="0" borderId="0" xfId="6" applyNumberFormat="1"/>
    <xf numFmtId="9" fontId="3" fillId="0" borderId="0" xfId="9" applyFont="1" applyAlignment="1">
      <alignment horizontal="center"/>
    </xf>
    <xf numFmtId="9" fontId="7" fillId="0" borderId="0" xfId="9" applyFont="1" applyAlignment="1">
      <alignment horizontal="center"/>
    </xf>
    <xf numFmtId="168" fontId="3" fillId="0" borderId="0" xfId="6" applyNumberFormat="1"/>
    <xf numFmtId="165" fontId="3" fillId="0" borderId="0" xfId="8" applyNumberFormat="1" applyFont="1" applyAlignment="1">
      <alignment horizontal="centerContinuous"/>
    </xf>
    <xf numFmtId="165" fontId="2" fillId="0" borderId="0" xfId="8" applyNumberFormat="1" applyFont="1" applyAlignment="1">
      <alignment horizontal="centerContinuous"/>
    </xf>
    <xf numFmtId="165" fontId="7" fillId="0" borderId="0" xfId="5" applyNumberFormat="1" applyFont="1"/>
    <xf numFmtId="165" fontId="3" fillId="0" borderId="0" xfId="8" applyNumberFormat="1" applyFont="1" applyAlignment="1">
      <alignment wrapText="1"/>
    </xf>
    <xf numFmtId="165" fontId="3" fillId="0" borderId="0" xfId="8" applyNumberFormat="1" applyFont="1" applyFill="1" applyAlignment="1">
      <alignment wrapText="1"/>
    </xf>
    <xf numFmtId="165" fontId="2" fillId="0" borderId="0" xfId="8" applyNumberFormat="1" applyFont="1" applyFill="1" applyAlignment="1">
      <alignment horizontal="centerContinuous"/>
    </xf>
    <xf numFmtId="165" fontId="3" fillId="0" borderId="0" xfId="8" applyNumberFormat="1" applyFont="1" applyFill="1" applyAlignment="1">
      <alignment horizontal="centerContinuous"/>
    </xf>
    <xf numFmtId="41" fontId="3" fillId="0" borderId="0" xfId="6" applyNumberFormat="1"/>
    <xf numFmtId="37" fontId="3" fillId="0" borderId="0" xfId="6" applyNumberFormat="1"/>
    <xf numFmtId="10" fontId="3" fillId="0" borderId="0" xfId="9" applyNumberFormat="1" applyFont="1" applyAlignment="1">
      <alignment horizontal="center" wrapText="1"/>
    </xf>
    <xf numFmtId="10" fontId="3" fillId="0" borderId="0" xfId="9" applyNumberFormat="1" applyFont="1"/>
    <xf numFmtId="37" fontId="3" fillId="0" borderId="0" xfId="4" applyNumberFormat="1" applyFont="1"/>
    <xf numFmtId="165" fontId="2" fillId="0" borderId="0" xfId="5" applyNumberFormat="1" applyFont="1" applyAlignment="1">
      <alignment wrapText="1"/>
    </xf>
    <xf numFmtId="165" fontId="2" fillId="0" borderId="0" xfId="7" applyNumberFormat="1" applyFont="1" applyAlignment="1">
      <alignment wrapText="1"/>
    </xf>
    <xf numFmtId="165" fontId="2" fillId="0" borderId="0" xfId="7" applyNumberFormat="1" applyFont="1" applyAlignment="1">
      <alignment horizontal="center" vertical="center" wrapText="1"/>
    </xf>
    <xf numFmtId="165" fontId="3" fillId="0" borderId="0" xfId="7" applyNumberFormat="1" applyFont="1" applyAlignment="1">
      <alignment horizontal="center" vertical="center"/>
    </xf>
    <xf numFmtId="0" fontId="7" fillId="0" borderId="0" xfId="4" applyFont="1" applyAlignment="1">
      <alignment wrapText="1"/>
    </xf>
    <xf numFmtId="0" fontId="3" fillId="0" borderId="0" xfId="10" applyFont="1"/>
    <xf numFmtId="0" fontId="3" fillId="5" borderId="0" xfId="4" applyFont="1" applyFill="1" applyAlignment="1">
      <alignment horizontal="center"/>
    </xf>
    <xf numFmtId="41" fontId="3" fillId="5" borderId="0" xfId="6" applyNumberFormat="1" applyFill="1"/>
    <xf numFmtId="165" fontId="3" fillId="5" borderId="0" xfId="8" applyNumberFormat="1" applyFont="1" applyFill="1"/>
    <xf numFmtId="165" fontId="3" fillId="5" borderId="0" xfId="8" applyNumberFormat="1" applyFont="1" applyFill="1" applyAlignment="1">
      <alignment horizontal="center"/>
    </xf>
    <xf numFmtId="165" fontId="3" fillId="5" borderId="0" xfId="7" applyNumberFormat="1" applyFont="1" applyFill="1"/>
    <xf numFmtId="165" fontId="2" fillId="5" borderId="0" xfId="5" applyNumberFormat="1" applyFont="1" applyFill="1"/>
    <xf numFmtId="0" fontId="3" fillId="5" borderId="0" xfId="4" applyFont="1" applyFill="1"/>
    <xf numFmtId="9" fontId="2" fillId="5" borderId="0" xfId="9" applyFont="1" applyFill="1" applyAlignment="1">
      <alignment horizontal="center"/>
    </xf>
    <xf numFmtId="9" fontId="3" fillId="5" borderId="0" xfId="4" applyNumberFormat="1" applyFont="1" applyFill="1" applyAlignment="1">
      <alignment horizontal="center"/>
    </xf>
    <xf numFmtId="165" fontId="3" fillId="0" borderId="4" xfId="8" applyNumberFormat="1" applyFont="1" applyBorder="1" applyAlignment="1">
      <alignment horizontal="centerContinuous"/>
    </xf>
    <xf numFmtId="165" fontId="3" fillId="0" borderId="5" xfId="8" applyNumberFormat="1" applyFont="1" applyBorder="1" applyAlignment="1">
      <alignment horizontal="centerContinuous"/>
    </xf>
    <xf numFmtId="165" fontId="3" fillId="0" borderId="6" xfId="8" applyNumberFormat="1" applyFont="1" applyBorder="1" applyAlignment="1">
      <alignment horizontal="centerContinuous"/>
    </xf>
    <xf numFmtId="165" fontId="3" fillId="0" borderId="0" xfId="7" applyNumberFormat="1" applyFont="1" applyAlignment="1">
      <alignment wrapText="1"/>
    </xf>
    <xf numFmtId="165" fontId="3" fillId="0" borderId="0" xfId="7" applyNumberFormat="1" applyFont="1" applyAlignment="1"/>
    <xf numFmtId="0" fontId="3" fillId="0" borderId="3" xfId="4" applyFont="1" applyBorder="1" applyAlignment="1">
      <alignment horizontal="center"/>
    </xf>
    <xf numFmtId="165" fontId="2" fillId="0" borderId="0" xfId="7" applyNumberFormat="1" applyFont="1" applyAlignment="1">
      <alignment horizontal="center" wrapText="1"/>
    </xf>
    <xf numFmtId="9" fontId="3" fillId="0" borderId="0" xfId="9" applyAlignment="1">
      <alignment horizontal="center"/>
    </xf>
    <xf numFmtId="165" fontId="3" fillId="0" borderId="0" xfId="7" applyNumberFormat="1" applyFont="1" applyAlignment="1">
      <alignment horizontal="center" wrapText="1"/>
    </xf>
    <xf numFmtId="165" fontId="3" fillId="0" borderId="0" xfId="7" applyNumberFormat="1" applyFont="1" applyAlignment="1">
      <alignment horizontal="left"/>
    </xf>
    <xf numFmtId="41" fontId="3" fillId="0" borderId="3" xfId="4" applyNumberFormat="1" applyFont="1" applyBorder="1"/>
    <xf numFmtId="167" fontId="3" fillId="0" borderId="3" xfId="4" applyNumberFormat="1" applyFont="1" applyBorder="1"/>
    <xf numFmtId="9" fontId="3" fillId="3" borderId="0" xfId="9" applyFill="1" applyAlignment="1">
      <alignment horizontal="center"/>
    </xf>
    <xf numFmtId="165" fontId="5" fillId="0" borderId="0" xfId="5" applyNumberFormat="1" applyFont="1" applyAlignment="1">
      <alignment wrapText="1"/>
    </xf>
    <xf numFmtId="9" fontId="6" fillId="0" borderId="0" xfId="9" applyFont="1" applyAlignment="1">
      <alignment horizontal="center"/>
    </xf>
    <xf numFmtId="165" fontId="5" fillId="0" borderId="0" xfId="8" applyNumberFormat="1" applyFont="1"/>
    <xf numFmtId="41" fontId="3" fillId="0" borderId="0" xfId="4" applyNumberFormat="1" applyFont="1" applyAlignment="1">
      <alignment horizontal="right"/>
    </xf>
    <xf numFmtId="165" fontId="2" fillId="0" borderId="0" xfId="7" applyNumberFormat="1" applyFont="1" applyAlignment="1">
      <alignment horizontal="right"/>
    </xf>
    <xf numFmtId="41" fontId="3" fillId="5" borderId="0" xfId="4" applyNumberFormat="1" applyFont="1" applyFill="1" applyAlignment="1">
      <alignment horizontal="right"/>
    </xf>
    <xf numFmtId="165" fontId="3" fillId="5" borderId="0" xfId="8" applyNumberFormat="1" applyFont="1" applyFill="1" applyAlignment="1">
      <alignment horizontal="right"/>
    </xf>
    <xf numFmtId="165" fontId="2" fillId="5" borderId="0" xfId="7" applyNumberFormat="1" applyFont="1" applyFill="1" applyAlignment="1">
      <alignment horizontal="right"/>
    </xf>
    <xf numFmtId="165" fontId="3" fillId="5" borderId="0" xfId="8" applyNumberFormat="1" applyFont="1" applyFill="1" applyAlignment="1">
      <alignment horizontal="left"/>
    </xf>
    <xf numFmtId="9" fontId="3" fillId="5" borderId="0" xfId="9" applyFont="1" applyFill="1" applyAlignment="1">
      <alignment horizontal="center"/>
    </xf>
    <xf numFmtId="165" fontId="3" fillId="0" borderId="0" xfId="8" applyNumberFormat="1" applyFont="1" applyAlignment="1">
      <alignment horizontal="right"/>
    </xf>
    <xf numFmtId="165" fontId="3" fillId="0" borderId="0" xfId="4" applyNumberFormat="1" applyFont="1" applyAlignment="1">
      <alignment horizontal="right"/>
    </xf>
    <xf numFmtId="167" fontId="3" fillId="0" borderId="0" xfId="4" applyNumberFormat="1" applyFont="1" applyAlignment="1">
      <alignment horizontal="right"/>
    </xf>
    <xf numFmtId="166" fontId="3" fillId="0" borderId="0" xfId="4" applyNumberFormat="1" applyFont="1" applyAlignment="1">
      <alignment horizontal="right"/>
    </xf>
    <xf numFmtId="0" fontId="3" fillId="0" borderId="3" xfId="6" applyBorder="1"/>
    <xf numFmtId="0" fontId="6" fillId="0" borderId="0" xfId="4" applyFont="1"/>
    <xf numFmtId="0" fontId="9" fillId="0" borderId="0" xfId="6" applyFont="1"/>
    <xf numFmtId="0" fontId="2" fillId="0" borderId="0" xfId="6" applyFont="1"/>
    <xf numFmtId="0" fontId="2" fillId="0" borderId="0" xfId="6" applyFont="1" applyAlignment="1">
      <alignment horizontal="center"/>
    </xf>
    <xf numFmtId="0" fontId="2" fillId="0" borderId="0" xfId="4" applyFont="1"/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left"/>
    </xf>
    <xf numFmtId="165" fontId="3" fillId="0" borderId="0" xfId="8" applyNumberFormat="1" applyFont="1" applyFill="1" applyAlignment="1">
      <alignment horizontal="center" vertical="center" wrapText="1"/>
    </xf>
    <xf numFmtId="165" fontId="3" fillId="0" borderId="0" xfId="8" applyNumberFormat="1" applyFont="1" applyFill="1" applyAlignment="1">
      <alignment horizontal="center"/>
    </xf>
    <xf numFmtId="0" fontId="3" fillId="0" borderId="0" xfId="6" applyAlignment="1">
      <alignment wrapText="1"/>
    </xf>
    <xf numFmtId="9" fontId="2" fillId="0" borderId="0" xfId="6" applyNumberFormat="1" applyFont="1" applyAlignment="1">
      <alignment horizontal="center"/>
    </xf>
    <xf numFmtId="169" fontId="3" fillId="0" borderId="0" xfId="8" applyNumberFormat="1" applyFont="1" applyFill="1"/>
    <xf numFmtId="169" fontId="3" fillId="0" borderId="0" xfId="8" applyNumberFormat="1" applyFont="1" applyFill="1" applyAlignment="1">
      <alignment horizontal="center" wrapText="1"/>
    </xf>
    <xf numFmtId="169" fontId="3" fillId="0" borderId="0" xfId="8" applyNumberFormat="1" applyFont="1" applyFill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/>
    </xf>
    <xf numFmtId="0" fontId="2" fillId="0" borderId="3" xfId="4" applyFont="1" applyBorder="1"/>
    <xf numFmtId="0" fontId="2" fillId="0" borderId="3" xfId="4" applyFont="1" applyBorder="1" applyAlignment="1">
      <alignment horizontal="center" wrapText="1"/>
    </xf>
    <xf numFmtId="41" fontId="2" fillId="0" borderId="0" xfId="4" applyNumberFormat="1" applyFont="1"/>
    <xf numFmtId="0" fontId="2" fillId="0" borderId="0" xfId="4" applyFont="1" applyAlignment="1">
      <alignment horizontal="center" wrapText="1"/>
    </xf>
    <xf numFmtId="165" fontId="10" fillId="0" borderId="0" xfId="8" applyNumberFormat="1" applyFont="1"/>
    <xf numFmtId="167" fontId="2" fillId="0" borderId="0" xfId="4" applyNumberFormat="1" applyFont="1"/>
    <xf numFmtId="0" fontId="9" fillId="0" borderId="0" xfId="4" applyFont="1"/>
    <xf numFmtId="0" fontId="5" fillId="0" borderId="0" xfId="4" applyFont="1" applyAlignment="1">
      <alignment wrapText="1"/>
    </xf>
    <xf numFmtId="165" fontId="2" fillId="0" borderId="7" xfId="8" applyNumberFormat="1" applyFont="1" applyBorder="1" applyAlignment="1">
      <alignment horizontal="center" wrapText="1"/>
    </xf>
    <xf numFmtId="0" fontId="2" fillId="0" borderId="0" xfId="6" applyFont="1" applyAlignment="1">
      <alignment wrapText="1"/>
    </xf>
    <xf numFmtId="165" fontId="2" fillId="6" borderId="7" xfId="8" applyNumberFormat="1" applyFont="1" applyFill="1" applyBorder="1" applyAlignment="1">
      <alignment horizontal="center"/>
    </xf>
    <xf numFmtId="165" fontId="2" fillId="0" borderId="7" xfId="8" applyNumberFormat="1" applyFont="1" applyBorder="1"/>
    <xf numFmtId="165" fontId="3" fillId="3" borderId="0" xfId="5" applyNumberFormat="1" applyFont="1" applyFill="1"/>
    <xf numFmtId="0" fontId="2" fillId="0" borderId="0" xfId="6" applyFont="1" applyAlignment="1">
      <alignment horizontal="right"/>
    </xf>
    <xf numFmtId="165" fontId="11" fillId="0" borderId="0" xfId="8" applyNumberFormat="1" applyFont="1"/>
    <xf numFmtId="165" fontId="11" fillId="0" borderId="0" xfId="5" applyNumberFormat="1" applyFont="1"/>
    <xf numFmtId="0" fontId="3" fillId="0" borderId="3" xfId="6" applyBorder="1" applyAlignment="1">
      <alignment wrapText="1"/>
    </xf>
    <xf numFmtId="165" fontId="2" fillId="7" borderId="0" xfId="5" applyNumberFormat="1" applyFont="1" applyFill="1"/>
    <xf numFmtId="9" fontId="3" fillId="0" borderId="0" xfId="9" applyFont="1" applyFill="1"/>
    <xf numFmtId="9" fontId="3" fillId="0" borderId="0" xfId="6" applyNumberFormat="1"/>
    <xf numFmtId="165" fontId="3" fillId="7" borderId="0" xfId="5" applyNumberFormat="1" applyFont="1" applyFill="1" applyAlignment="1">
      <alignment horizontal="center" wrapText="1"/>
    </xf>
    <xf numFmtId="165" fontId="2" fillId="7" borderId="0" xfId="5" applyNumberFormat="1" applyFont="1" applyFill="1" applyAlignment="1">
      <alignment horizontal="center"/>
    </xf>
    <xf numFmtId="170" fontId="3" fillId="0" borderId="0" xfId="4" applyNumberFormat="1" applyFont="1"/>
    <xf numFmtId="165" fontId="3" fillId="7" borderId="0" xfId="5" applyNumberFormat="1" applyFont="1" applyFill="1"/>
    <xf numFmtId="165" fontId="3" fillId="0" borderId="0" xfId="7" applyNumberFormat="1" applyFont="1" applyAlignment="1">
      <alignment horizontal="centerContinuous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right"/>
    </xf>
    <xf numFmtId="165" fontId="2" fillId="0" borderId="3" xfId="8" applyNumberFormat="1" applyFont="1" applyBorder="1" applyAlignment="1">
      <alignment horizontal="center" wrapText="1"/>
    </xf>
    <xf numFmtId="171" fontId="3" fillId="0" borderId="0" xfId="8" applyNumberFormat="1" applyFont="1"/>
    <xf numFmtId="165" fontId="3" fillId="0" borderId="0" xfId="6" applyNumberFormat="1"/>
    <xf numFmtId="3" fontId="3" fillId="0" borderId="0" xfId="6" applyNumberFormat="1"/>
    <xf numFmtId="3" fontId="3" fillId="0" borderId="0" xfId="4" applyNumberFormat="1" applyFont="1"/>
    <xf numFmtId="0" fontId="3" fillId="2" borderId="0" xfId="12" quotePrefix="1" applyFill="1"/>
    <xf numFmtId="0" fontId="3" fillId="2" borderId="0" xfId="12" applyFill="1"/>
    <xf numFmtId="0" fontId="3" fillId="2" borderId="0" xfId="12" applyFill="1" applyAlignment="1">
      <alignment horizontal="right"/>
    </xf>
    <xf numFmtId="0" fontId="2" fillId="2" borderId="0" xfId="12" applyFont="1" applyFill="1" applyAlignment="1">
      <alignment horizontal="right"/>
    </xf>
    <xf numFmtId="0" fontId="7" fillId="2" borderId="0" xfId="12" applyFont="1" applyFill="1" applyAlignment="1">
      <alignment horizontal="right"/>
    </xf>
    <xf numFmtId="0" fontId="3" fillId="2" borderId="0" xfId="12" applyFill="1" applyAlignment="1">
      <alignment horizontal="center" wrapText="1"/>
    </xf>
    <xf numFmtId="0" fontId="3" fillId="2" borderId="0" xfId="12" applyFill="1" applyAlignment="1">
      <alignment horizontal="right" wrapText="1"/>
    </xf>
    <xf numFmtId="0" fontId="7" fillId="2" borderId="0" xfId="12" applyFont="1" applyFill="1" applyAlignment="1">
      <alignment horizontal="right" wrapText="1"/>
    </xf>
    <xf numFmtId="0" fontId="2" fillId="2" borderId="0" xfId="12" applyFont="1" applyFill="1" applyAlignment="1">
      <alignment horizontal="right" wrapText="1"/>
    </xf>
    <xf numFmtId="0" fontId="3" fillId="2" borderId="0" xfId="12" applyFill="1" applyAlignment="1">
      <alignment horizontal="left"/>
    </xf>
    <xf numFmtId="3" fontId="7" fillId="2" borderId="0" xfId="12" applyNumberFormat="1" applyFont="1" applyFill="1" applyAlignment="1">
      <alignment horizontal="right"/>
    </xf>
    <xf numFmtId="0" fontId="7" fillId="2" borderId="0" xfId="12" applyFont="1" applyFill="1"/>
    <xf numFmtId="0" fontId="3" fillId="2" borderId="0" xfId="12" applyFill="1" applyAlignment="1">
      <alignment horizontal="center"/>
    </xf>
    <xf numFmtId="3" fontId="3" fillId="2" borderId="0" xfId="12" applyNumberFormat="1" applyFill="1" applyAlignment="1">
      <alignment horizontal="right"/>
    </xf>
    <xf numFmtId="3" fontId="7" fillId="2" borderId="0" xfId="12" applyNumberFormat="1" applyFont="1" applyFill="1"/>
    <xf numFmtId="0" fontId="7" fillId="2" borderId="0" xfId="12" applyFont="1" applyFill="1" applyAlignment="1">
      <alignment horizontal="left"/>
    </xf>
    <xf numFmtId="9" fontId="3" fillId="2" borderId="0" xfId="9" applyFill="1" applyAlignment="1">
      <alignment horizontal="left"/>
    </xf>
    <xf numFmtId="3" fontId="3" fillId="2" borderId="0" xfId="12" applyNumberFormat="1" applyFill="1"/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/>
    <xf numFmtId="0" fontId="3" fillId="0" borderId="1" xfId="2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0" xfId="6" applyAlignment="1">
      <alignment horizontal="center" wrapText="1"/>
    </xf>
    <xf numFmtId="0" fontId="3" fillId="0" borderId="3" xfId="6" applyBorder="1" applyAlignment="1">
      <alignment horizontal="center" wrapText="1"/>
    </xf>
    <xf numFmtId="0" fontId="2" fillId="0" borderId="0" xfId="6" applyFont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0" xfId="6" applyFont="1" applyAlignment="1">
      <alignment horizontal="center" wrapText="1"/>
    </xf>
    <xf numFmtId="0" fontId="2" fillId="0" borderId="3" xfId="6" applyFont="1" applyBorder="1" applyAlignment="1">
      <alignment horizontal="center" wrapText="1"/>
    </xf>
    <xf numFmtId="0" fontId="14" fillId="0" borderId="0" xfId="0" applyFont="1"/>
  </cellXfs>
  <cellStyles count="13">
    <cellStyle name="Comma 2" xfId="7" xr:uid="{CA7C3CA6-6E14-4AF1-ADC2-E84B411464D2}"/>
    <cellStyle name="Comma 2 2" xfId="8" xr:uid="{39ED702F-3C0D-4BA7-BE63-7DF483EF549A}"/>
    <cellStyle name="Comma 3" xfId="5" xr:uid="{10E28087-4FFB-44F5-A9E0-2EEF1987AF3B}"/>
    <cellStyle name="Currency 2" xfId="11" xr:uid="{3BE02282-A70D-4ABC-9599-4413B6C342EC}"/>
    <cellStyle name="Normal" xfId="0" builtinId="0"/>
    <cellStyle name="Normal 10 21 3" xfId="12" xr:uid="{4B5D8B3C-1220-400E-AE38-36329503CCF4}"/>
    <cellStyle name="Normal 195" xfId="2" xr:uid="{DB346E1F-E0D0-4E1E-94EF-BCC4577A9928}"/>
    <cellStyle name="Normal 2" xfId="4" xr:uid="{48E49BF4-98B0-4CAF-B16E-5CDA977C4CA2}"/>
    <cellStyle name="Normal 3" xfId="6" xr:uid="{DEC5941F-5235-4B45-8B56-F8AEFE7F058A}"/>
    <cellStyle name="Normal 3 2 2" xfId="10" xr:uid="{33A9716C-EDA3-4449-B6B0-C6285261CA33}"/>
    <cellStyle name="Normal 6" xfId="3" xr:uid="{C759E12F-C2AA-4A2B-8538-3E88F7473928}"/>
    <cellStyle name="Percent" xfId="1" builtinId="5"/>
    <cellStyle name="Percent 2" xfId="9" xr:uid="{E1F07314-45A7-4CFA-8BE1-9D599A0200D0}"/>
  </cellStyles>
  <dxfs count="17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zoomScaleNormal="100" workbookViewId="0">
      <selection sqref="A1:A2"/>
    </sheetView>
  </sheetViews>
  <sheetFormatPr defaultRowHeight="15" x14ac:dyDescent="0.25"/>
  <cols>
    <col min="1" max="1" width="32.7109375" style="1" customWidth="1"/>
    <col min="2" max="2" width="10.7109375" style="1" customWidth="1"/>
    <col min="3" max="3" width="10.7109375" style="196" customWidth="1"/>
    <col min="4" max="4" width="10.7109375" style="1" customWidth="1"/>
    <col min="5" max="6" width="10.7109375" style="196" customWidth="1"/>
    <col min="7" max="13" width="10.7109375" style="1" customWidth="1"/>
  </cols>
  <sheetData>
    <row r="1" spans="1:13" x14ac:dyDescent="0.25">
      <c r="A1" s="207" t="s">
        <v>443</v>
      </c>
    </row>
    <row r="2" spans="1:13" x14ac:dyDescent="0.25">
      <c r="A2" s="207" t="s">
        <v>442</v>
      </c>
    </row>
    <row r="5" spans="1:13" x14ac:dyDescent="0.25">
      <c r="L5" s="199"/>
    </row>
    <row r="6" spans="1:13" x14ac:dyDescent="0.25">
      <c r="L6" s="199"/>
    </row>
    <row r="7" spans="1:13" x14ac:dyDescent="0.25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9" spans="1:13" ht="15.75" thickBot="1" x14ac:dyDescent="0.3">
      <c r="C9" s="192" t="s">
        <v>1</v>
      </c>
      <c r="D9" s="2" t="s">
        <v>2</v>
      </c>
      <c r="E9" s="192" t="s">
        <v>3</v>
      </c>
      <c r="F9" s="19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191" t="s">
        <v>10</v>
      </c>
      <c r="M9" s="191" t="s">
        <v>434</v>
      </c>
    </row>
    <row r="10" spans="1:13" ht="102.75" x14ac:dyDescent="0.25">
      <c r="A10" s="3" t="s">
        <v>11</v>
      </c>
      <c r="B10" s="4" t="s">
        <v>12</v>
      </c>
      <c r="C10" s="197" t="s">
        <v>13</v>
      </c>
      <c r="D10" s="5" t="s">
        <v>14</v>
      </c>
      <c r="E10" s="193" t="s">
        <v>15</v>
      </c>
      <c r="F10" s="193" t="s">
        <v>16</v>
      </c>
      <c r="G10" s="6" t="s">
        <v>17</v>
      </c>
      <c r="H10" s="5" t="s">
        <v>18</v>
      </c>
      <c r="I10" s="5" t="s">
        <v>19</v>
      </c>
      <c r="J10" s="5" t="s">
        <v>20</v>
      </c>
      <c r="K10" s="5" t="s">
        <v>21</v>
      </c>
      <c r="L10" s="5" t="s">
        <v>22</v>
      </c>
      <c r="M10" s="5" t="s">
        <v>435</v>
      </c>
    </row>
    <row r="11" spans="1:13" x14ac:dyDescent="0.25">
      <c r="C11" s="192"/>
      <c r="D11" s="7"/>
      <c r="E11" s="194"/>
      <c r="F11" s="194"/>
      <c r="G11" s="8"/>
      <c r="H11" s="8"/>
      <c r="I11" s="7"/>
      <c r="J11" s="7"/>
      <c r="K11" s="7"/>
      <c r="L11" s="7"/>
      <c r="M11" s="7"/>
    </row>
    <row r="12" spans="1:13" x14ac:dyDescent="0.25">
      <c r="A12" s="9" t="s">
        <v>23</v>
      </c>
      <c r="B12" s="10" t="s">
        <v>24</v>
      </c>
      <c r="C12" s="192" t="s">
        <v>25</v>
      </c>
      <c r="D12" s="2" t="s">
        <v>26</v>
      </c>
      <c r="E12" s="192" t="s">
        <v>25</v>
      </c>
      <c r="F12" s="192" t="str">
        <f>_xlfn.XLOOKUP(B12, 'Growth Rates'!$B:$B, 'Growth Rates'!$F:$F)</f>
        <v>Yes</v>
      </c>
      <c r="G12" s="2" t="s">
        <v>25</v>
      </c>
      <c r="H12" s="11">
        <f>AVERAGE(_xlfn.XLOOKUP($B12&amp;"2019REV", 'Business Segment'!$Q:$Q, 'Business Segment'!R:R), _xlfn.XLOOKUP($B12&amp;"2018REV", 'Business Segment'!$Q:$Q, 'Business Segment'!R:R), _xlfn.XLOOKUP($B12&amp;"2017REV", 'Business Segment'!$Q:$Q, 'Business Segment'!R:R))</f>
        <v>0.7656079783947205</v>
      </c>
      <c r="I12" s="11">
        <f>AVERAGE(_xlfn.XLOOKUP($B12&amp;"2019INC", 'Business Segment'!$Q:$Q, 'Business Segment'!R:R), _xlfn.XLOOKUP($B12&amp;"2018INC", 'Business Segment'!$Q:$Q, 'Business Segment'!R:R), _xlfn.XLOOKUP($B12&amp;"2017INC", 'Business Segment'!$Q:$Q, 'Business Segment'!R:R))</f>
        <v>0.84277711153239665</v>
      </c>
      <c r="J12" s="11">
        <f>AVERAGE(_xlfn.XLOOKUP($B12&amp;"2019REV", 'Business Segment'!$Q:$Q, 'Business Segment'!S:S), _xlfn.XLOOKUP($B12&amp;"2018REV", 'Business Segment'!$Q:$Q, 'Business Segment'!S:S), _xlfn.XLOOKUP($B12&amp;"2017REV", 'Business Segment'!$Q:$Q, 'Business Segment'!S:S))</f>
        <v>0.97659556670472547</v>
      </c>
      <c r="K12" s="11">
        <f>AVERAGE(_xlfn.XLOOKUP($B12&amp;"2019INC", 'Business Segment'!$Q:$Q, 'Business Segment'!S:S), _xlfn.XLOOKUP($B12&amp;"2018INC", 'Business Segment'!$Q:$Q, 'Business Segment'!S:S), _xlfn.XLOOKUP($B12&amp;"2017INC", 'Business Segment'!$Q:$Q, 'Business Segment'!S:S))</f>
        <v>0.97397237124561986</v>
      </c>
      <c r="L12" s="191" t="s">
        <v>27</v>
      </c>
      <c r="M12" s="191" t="s">
        <v>25</v>
      </c>
    </row>
    <row r="13" spans="1:13" x14ac:dyDescent="0.25">
      <c r="A13" s="9" t="s">
        <v>28</v>
      </c>
      <c r="B13" s="10" t="s">
        <v>29</v>
      </c>
      <c r="C13" s="192" t="s">
        <v>25</v>
      </c>
      <c r="D13" s="2" t="s">
        <v>30</v>
      </c>
      <c r="E13" s="192" t="s">
        <v>25</v>
      </c>
      <c r="F13" s="192" t="str">
        <f>_xlfn.XLOOKUP(B13, 'Growth Rates'!$B:$B, 'Growth Rates'!$F:$F)</f>
        <v>Yes</v>
      </c>
      <c r="G13" s="2" t="s">
        <v>25</v>
      </c>
      <c r="H13" s="11">
        <f>AVERAGE(_xlfn.XLOOKUP($B13&amp;"2019REV", 'Business Segment'!$Q:$Q, 'Business Segment'!R:R), _xlfn.XLOOKUP($B13&amp;"2018REV", 'Business Segment'!$Q:$Q, 'Business Segment'!R:R), _xlfn.XLOOKUP($B13&amp;"2017REV", 'Business Segment'!$Q:$Q, 'Business Segment'!R:R))</f>
        <v>0.98488201749449633</v>
      </c>
      <c r="I13" s="11">
        <f>AVERAGE(_xlfn.XLOOKUP($B13&amp;"2019INC", 'Business Segment'!$Q:$Q, 'Business Segment'!R:R), _xlfn.XLOOKUP($B13&amp;"2018INC", 'Business Segment'!$Q:$Q, 'Business Segment'!R:R), _xlfn.XLOOKUP($B13&amp;"2017INC", 'Business Segment'!$Q:$Q, 'Business Segment'!R:R))</f>
        <v>0.96008566150393837</v>
      </c>
      <c r="J13" s="11">
        <f>AVERAGE(_xlfn.XLOOKUP($B13&amp;"2019REV", 'Business Segment'!$Q:$Q, 'Business Segment'!S:S), _xlfn.XLOOKUP($B13&amp;"2018REV", 'Business Segment'!$Q:$Q, 'Business Segment'!S:S), _xlfn.XLOOKUP($B13&amp;"2017REV", 'Business Segment'!$Q:$Q, 'Business Segment'!S:S))</f>
        <v>0.8612116732168692</v>
      </c>
      <c r="K13" s="11">
        <f>AVERAGE(_xlfn.XLOOKUP($B13&amp;"2019INC", 'Business Segment'!$Q:$Q, 'Business Segment'!S:S), _xlfn.XLOOKUP($B13&amp;"2018INC", 'Business Segment'!$Q:$Q, 'Business Segment'!S:S), _xlfn.XLOOKUP($B13&amp;"2017INC", 'Business Segment'!$Q:$Q, 'Business Segment'!S:S))</f>
        <v>0.92266349198114739</v>
      </c>
      <c r="L13" s="191" t="s">
        <v>27</v>
      </c>
      <c r="M13" s="191" t="s">
        <v>25</v>
      </c>
    </row>
    <row r="14" spans="1:13" x14ac:dyDescent="0.25">
      <c r="A14" s="9" t="s">
        <v>31</v>
      </c>
      <c r="B14" s="10" t="s">
        <v>32</v>
      </c>
      <c r="C14" s="192" t="s">
        <v>25</v>
      </c>
      <c r="D14" s="2" t="s">
        <v>33</v>
      </c>
      <c r="E14" s="192" t="s">
        <v>25</v>
      </c>
      <c r="F14" s="192" t="str">
        <f>_xlfn.XLOOKUP(B14, 'Growth Rates'!$B:$B, 'Growth Rates'!$F:$F)</f>
        <v>Yes</v>
      </c>
      <c r="G14" s="2" t="s">
        <v>25</v>
      </c>
      <c r="H14" s="11">
        <f>AVERAGE(_xlfn.XLOOKUP($B14&amp;"2019REV", 'Business Segment'!$Q:$Q, 'Business Segment'!R:R), _xlfn.XLOOKUP($B14&amp;"2018REV", 'Business Segment'!$Q:$Q, 'Business Segment'!R:R), _xlfn.XLOOKUP($B14&amp;"2017REV", 'Business Segment'!$Q:$Q, 'Business Segment'!R:R))</f>
        <v>1.0150375771331881</v>
      </c>
      <c r="I14" s="11">
        <f>AVERAGE(_xlfn.XLOOKUP($B14&amp;"2019INC", 'Business Segment'!$Q:$Q, 'Business Segment'!R:R), _xlfn.XLOOKUP($B14&amp;"2018INC", 'Business Segment'!$Q:$Q, 'Business Segment'!R:R), _xlfn.XLOOKUP($B14&amp;"2017INC", 'Business Segment'!$Q:$Q, 'Business Segment'!R:R))</f>
        <v>1</v>
      </c>
      <c r="J14" s="11">
        <f>AVERAGE(_xlfn.XLOOKUP($B14&amp;"2019REV", 'Business Segment'!$Q:$Q, 'Business Segment'!S:S), _xlfn.XLOOKUP($B14&amp;"2018REV", 'Business Segment'!$Q:$Q, 'Business Segment'!S:S), _xlfn.XLOOKUP($B14&amp;"2017REV", 'Business Segment'!$Q:$Q, 'Business Segment'!S:S))</f>
        <v>0.85607544084505915</v>
      </c>
      <c r="K14" s="11">
        <f>AVERAGE(_xlfn.XLOOKUP($B14&amp;"2019INC", 'Business Segment'!$Q:$Q, 'Business Segment'!S:S), _xlfn.XLOOKUP($B14&amp;"2018INC", 'Business Segment'!$Q:$Q, 'Business Segment'!S:S), _xlfn.XLOOKUP($B14&amp;"2017INC", 'Business Segment'!$Q:$Q, 'Business Segment'!S:S))</f>
        <v>0.87725436086321018</v>
      </c>
      <c r="L14" s="191" t="s">
        <v>27</v>
      </c>
      <c r="M14" s="191" t="s">
        <v>25</v>
      </c>
    </row>
    <row r="15" spans="1:13" x14ac:dyDescent="0.25">
      <c r="A15" s="9" t="s">
        <v>34</v>
      </c>
      <c r="B15" s="10" t="s">
        <v>35</v>
      </c>
      <c r="C15" s="192" t="s">
        <v>25</v>
      </c>
      <c r="D15" s="2" t="s">
        <v>30</v>
      </c>
      <c r="E15" s="192" t="s">
        <v>25</v>
      </c>
      <c r="F15" s="192" t="str">
        <f>_xlfn.XLOOKUP(B15, 'Growth Rates'!$B:$B, 'Growth Rates'!$F:$F)</f>
        <v>Yes</v>
      </c>
      <c r="G15" s="2" t="s">
        <v>25</v>
      </c>
      <c r="H15" s="11">
        <f>AVERAGE(_xlfn.XLOOKUP($B15&amp;"2019REV", 'Business Segment'!$Q:$Q, 'Business Segment'!R:R), _xlfn.XLOOKUP($B15&amp;"2018REV", 'Business Segment'!$Q:$Q, 'Business Segment'!R:R), _xlfn.XLOOKUP($B15&amp;"2017REV", 'Business Segment'!$Q:$Q, 'Business Segment'!R:R))</f>
        <v>0.94120157727199649</v>
      </c>
      <c r="I15" s="11">
        <f>AVERAGE(_xlfn.XLOOKUP($B15&amp;"2019INC", 'Business Segment'!$Q:$Q, 'Business Segment'!R:R), _xlfn.XLOOKUP($B15&amp;"2018INC", 'Business Segment'!$Q:$Q, 'Business Segment'!R:R), _xlfn.XLOOKUP($B15&amp;"2017INC", 'Business Segment'!$Q:$Q, 'Business Segment'!R:R))</f>
        <v>0.9806737794992344</v>
      </c>
      <c r="J15" s="11">
        <f>AVERAGE(_xlfn.XLOOKUP($B15&amp;"2019REV", 'Business Segment'!$Q:$Q, 'Business Segment'!S:S), _xlfn.XLOOKUP($B15&amp;"2018REV", 'Business Segment'!$Q:$Q, 'Business Segment'!S:S), _xlfn.XLOOKUP($B15&amp;"2017REV", 'Business Segment'!$Q:$Q, 'Business Segment'!S:S))</f>
        <v>1</v>
      </c>
      <c r="K15" s="11">
        <f>AVERAGE(_xlfn.XLOOKUP($B15&amp;"2019INC", 'Business Segment'!$Q:$Q, 'Business Segment'!S:S), _xlfn.XLOOKUP($B15&amp;"2018INC", 'Business Segment'!$Q:$Q, 'Business Segment'!S:S), _xlfn.XLOOKUP($B15&amp;"2017INC", 'Business Segment'!$Q:$Q, 'Business Segment'!S:S))</f>
        <v>1</v>
      </c>
      <c r="L15" s="191" t="s">
        <v>27</v>
      </c>
      <c r="M15" s="191" t="s">
        <v>25</v>
      </c>
    </row>
    <row r="16" spans="1:13" x14ac:dyDescent="0.25">
      <c r="A16" s="9" t="s">
        <v>36</v>
      </c>
      <c r="B16" s="10" t="s">
        <v>37</v>
      </c>
      <c r="C16" s="192" t="s">
        <v>25</v>
      </c>
      <c r="D16" s="2" t="s">
        <v>33</v>
      </c>
      <c r="E16" s="192" t="s">
        <v>25</v>
      </c>
      <c r="F16" s="192" t="str">
        <f>_xlfn.XLOOKUP(B16, 'Growth Rates'!$B:$B, 'Growth Rates'!$F:$F)</f>
        <v>Yes</v>
      </c>
      <c r="G16" s="2" t="s">
        <v>25</v>
      </c>
      <c r="H16" s="11">
        <f>AVERAGE(_xlfn.XLOOKUP($B16&amp;"2019REV", 'Business Segment'!$Q:$Q, 'Business Segment'!R:R), _xlfn.XLOOKUP($B16&amp;"2018REV", 'Business Segment'!$Q:$Q, 'Business Segment'!R:R), _xlfn.XLOOKUP($B16&amp;"2017REV", 'Business Segment'!$Q:$Q, 'Business Segment'!R:R))</f>
        <v>0.98430397160610694</v>
      </c>
      <c r="I16" s="11">
        <f>AVERAGE(_xlfn.XLOOKUP($B16&amp;"2019INC", 'Business Segment'!$Q:$Q, 'Business Segment'!R:R), _xlfn.XLOOKUP($B16&amp;"2018INC", 'Business Segment'!$Q:$Q, 'Business Segment'!R:R), _xlfn.XLOOKUP($B16&amp;"2017INC", 'Business Segment'!$Q:$Q, 'Business Segment'!R:R))</f>
        <v>1</v>
      </c>
      <c r="J16" s="11">
        <f>AVERAGE(_xlfn.XLOOKUP($B16&amp;"2019REV", 'Business Segment'!$Q:$Q, 'Business Segment'!S:S), _xlfn.XLOOKUP($B16&amp;"2018REV", 'Business Segment'!$Q:$Q, 'Business Segment'!S:S), _xlfn.XLOOKUP($B16&amp;"2017REV", 'Business Segment'!$Q:$Q, 'Business Segment'!S:S))</f>
        <v>0.92243943535477724</v>
      </c>
      <c r="K16" s="11">
        <f>AVERAGE(_xlfn.XLOOKUP($B16&amp;"2019INC", 'Business Segment'!$Q:$Q, 'Business Segment'!S:S), _xlfn.XLOOKUP($B16&amp;"2018INC", 'Business Segment'!$Q:$Q, 'Business Segment'!S:S), _xlfn.XLOOKUP($B16&amp;"2017INC", 'Business Segment'!$Q:$Q, 'Business Segment'!S:S))</f>
        <v>0.92079550146080302</v>
      </c>
      <c r="L16" s="191" t="s">
        <v>27</v>
      </c>
      <c r="M16" s="191" t="s">
        <v>25</v>
      </c>
    </row>
    <row r="17" spans="1:13" x14ac:dyDescent="0.25">
      <c r="A17" s="9" t="s">
        <v>38</v>
      </c>
      <c r="B17" s="10" t="s">
        <v>39</v>
      </c>
      <c r="C17" s="192" t="s">
        <v>25</v>
      </c>
      <c r="D17" s="2" t="s">
        <v>26</v>
      </c>
      <c r="E17" s="192" t="s">
        <v>25</v>
      </c>
      <c r="F17" s="192" t="str">
        <f>_xlfn.XLOOKUP(B17, 'Growth Rates'!$B:$B, 'Growth Rates'!$F:$F)</f>
        <v>Yes</v>
      </c>
      <c r="G17" s="2" t="s">
        <v>25</v>
      </c>
      <c r="H17" s="11">
        <f>AVERAGE(_xlfn.XLOOKUP($B17&amp;"2019REV", 'Business Segment'!$Q:$Q, 'Business Segment'!R:R), _xlfn.XLOOKUP($B17&amp;"2018REV", 'Business Segment'!$Q:$Q, 'Business Segment'!R:R), _xlfn.XLOOKUP($B17&amp;"2017REV", 'Business Segment'!$Q:$Q, 'Business Segment'!R:R))</f>
        <v>0.99589595330654779</v>
      </c>
      <c r="I17" s="11">
        <f>AVERAGE(_xlfn.XLOOKUP($B17&amp;"2019INC", 'Business Segment'!$Q:$Q, 'Business Segment'!R:R), _xlfn.XLOOKUP($B17&amp;"2018INC", 'Business Segment'!$Q:$Q, 'Business Segment'!R:R), _xlfn.XLOOKUP($B17&amp;"2017INC", 'Business Segment'!$Q:$Q, 'Business Segment'!R:R))</f>
        <v>0.91183574879227047</v>
      </c>
      <c r="J17" s="11">
        <f>AVERAGE(_xlfn.XLOOKUP($B17&amp;"2019REV", 'Business Segment'!$Q:$Q, 'Business Segment'!S:S), _xlfn.XLOOKUP($B17&amp;"2018REV", 'Business Segment'!$Q:$Q, 'Business Segment'!S:S), _xlfn.XLOOKUP($B17&amp;"2017REV", 'Business Segment'!$Q:$Q, 'Business Segment'!S:S))</f>
        <v>1</v>
      </c>
      <c r="K17" s="11">
        <f>AVERAGE(_xlfn.XLOOKUP($B17&amp;"2019INC", 'Business Segment'!$Q:$Q, 'Business Segment'!S:S), _xlfn.XLOOKUP($B17&amp;"2018INC", 'Business Segment'!$Q:$Q, 'Business Segment'!S:S), _xlfn.XLOOKUP($B17&amp;"2017INC", 'Business Segment'!$Q:$Q, 'Business Segment'!S:S))</f>
        <v>1</v>
      </c>
      <c r="L17" s="191" t="s">
        <v>27</v>
      </c>
      <c r="M17" s="191" t="s">
        <v>25</v>
      </c>
    </row>
    <row r="18" spans="1:13" x14ac:dyDescent="0.25">
      <c r="A18" s="9" t="s">
        <v>40</v>
      </c>
      <c r="B18" s="10" t="s">
        <v>41</v>
      </c>
      <c r="C18" s="192" t="s">
        <v>25</v>
      </c>
      <c r="D18" s="2" t="s">
        <v>33</v>
      </c>
      <c r="E18" s="192" t="s">
        <v>25</v>
      </c>
      <c r="F18" s="192" t="str">
        <f>_xlfn.XLOOKUP(B18, 'Growth Rates'!$B:$B, 'Growth Rates'!$F:$F)</f>
        <v>Yes</v>
      </c>
      <c r="G18" s="2" t="s">
        <v>25</v>
      </c>
      <c r="H18" s="11">
        <f>AVERAGE(_xlfn.XLOOKUP($B18&amp;"2019REV", 'Business Segment'!$Q:$Q, 'Business Segment'!R:R), _xlfn.XLOOKUP($B18&amp;"2018REV", 'Business Segment'!$Q:$Q, 'Business Segment'!R:R), _xlfn.XLOOKUP($B18&amp;"2017REV", 'Business Segment'!$Q:$Q, 'Business Segment'!R:R))</f>
        <v>0.86599630862296462</v>
      </c>
      <c r="I18" s="11">
        <f>AVERAGE(_xlfn.XLOOKUP($B18&amp;"2019INC", 'Business Segment'!$Q:$Q, 'Business Segment'!R:R), _xlfn.XLOOKUP($B18&amp;"2018INC", 'Business Segment'!$Q:$Q, 'Business Segment'!R:R), _xlfn.XLOOKUP($B18&amp;"2017INC", 'Business Segment'!$Q:$Q, 'Business Segment'!R:R))</f>
        <v>1</v>
      </c>
      <c r="J18" s="11">
        <f>AVERAGE(_xlfn.XLOOKUP($B18&amp;"2019REV", 'Business Segment'!$Q:$Q, 'Business Segment'!S:S), _xlfn.XLOOKUP($B18&amp;"2018REV", 'Business Segment'!$Q:$Q, 'Business Segment'!S:S), _xlfn.XLOOKUP($B18&amp;"2017REV", 'Business Segment'!$Q:$Q, 'Business Segment'!S:S))</f>
        <v>0.98477266528094487</v>
      </c>
      <c r="K18" s="11">
        <f>AVERAGE(_xlfn.XLOOKUP($B18&amp;"2019INC", 'Business Segment'!$Q:$Q, 'Business Segment'!S:S), _xlfn.XLOOKUP($B18&amp;"2018INC", 'Business Segment'!$Q:$Q, 'Business Segment'!S:S), _xlfn.XLOOKUP($B18&amp;"2017INC", 'Business Segment'!$Q:$Q, 'Business Segment'!S:S))</f>
        <v>0.98826290614481727</v>
      </c>
      <c r="L18" s="191" t="s">
        <v>27</v>
      </c>
      <c r="M18" s="191" t="s">
        <v>25</v>
      </c>
    </row>
    <row r="19" spans="1:13" x14ac:dyDescent="0.25">
      <c r="A19" s="9" t="s">
        <v>42</v>
      </c>
      <c r="B19" s="10" t="s">
        <v>43</v>
      </c>
      <c r="C19" s="192" t="s">
        <v>25</v>
      </c>
      <c r="D19" s="2" t="s">
        <v>30</v>
      </c>
      <c r="E19" s="192" t="s">
        <v>25</v>
      </c>
      <c r="F19" s="192" t="str">
        <f>_xlfn.XLOOKUP(B19, 'Growth Rates'!$B:$B, 'Growth Rates'!$F:$F)</f>
        <v>Yes</v>
      </c>
      <c r="G19" s="2" t="s">
        <v>25</v>
      </c>
      <c r="H19" s="11">
        <f>AVERAGE(_xlfn.XLOOKUP($B19&amp;"2019REV", 'Business Segment'!$Q:$Q, 'Business Segment'!R:R), _xlfn.XLOOKUP($B19&amp;"2018REV", 'Business Segment'!$Q:$Q, 'Business Segment'!R:R), _xlfn.XLOOKUP($B19&amp;"2017REV", 'Business Segment'!$Q:$Q, 'Business Segment'!R:R))</f>
        <v>1</v>
      </c>
      <c r="I19" s="11">
        <f>AVERAGE(_xlfn.XLOOKUP($B19&amp;"2019INC", 'Business Segment'!$Q:$Q, 'Business Segment'!R:R), _xlfn.XLOOKUP($B19&amp;"2018INC", 'Business Segment'!$Q:$Q, 'Business Segment'!R:R), _xlfn.XLOOKUP($B19&amp;"2017INC", 'Business Segment'!$Q:$Q, 'Business Segment'!R:R))</f>
        <v>1</v>
      </c>
      <c r="J19" s="11">
        <f>AVERAGE(_xlfn.XLOOKUP($B19&amp;"2019REV", 'Business Segment'!$Q:$Q, 'Business Segment'!S:S), _xlfn.XLOOKUP($B19&amp;"2018REV", 'Business Segment'!$Q:$Q, 'Business Segment'!S:S), _xlfn.XLOOKUP($B19&amp;"2017REV", 'Business Segment'!$Q:$Q, 'Business Segment'!S:S))</f>
        <v>1</v>
      </c>
      <c r="K19" s="11">
        <f>AVERAGE(_xlfn.XLOOKUP($B19&amp;"2019INC", 'Business Segment'!$Q:$Q, 'Business Segment'!S:S), _xlfn.XLOOKUP($B19&amp;"2018INC", 'Business Segment'!$Q:$Q, 'Business Segment'!S:S), _xlfn.XLOOKUP($B19&amp;"2017INC", 'Business Segment'!$Q:$Q, 'Business Segment'!S:S))</f>
        <v>1</v>
      </c>
      <c r="L19" s="191" t="s">
        <v>27</v>
      </c>
      <c r="M19" s="191" t="s">
        <v>25</v>
      </c>
    </row>
    <row r="20" spans="1:13" x14ac:dyDescent="0.25">
      <c r="A20" s="9" t="s">
        <v>44</v>
      </c>
      <c r="B20" s="10" t="s">
        <v>45</v>
      </c>
      <c r="C20" s="192" t="s">
        <v>25</v>
      </c>
      <c r="D20" s="2" t="s">
        <v>46</v>
      </c>
      <c r="E20" s="192" t="s">
        <v>25</v>
      </c>
      <c r="F20" s="192" t="str">
        <f>_xlfn.XLOOKUP(B20, 'Growth Rates'!$B:$B, 'Growth Rates'!$F:$F)</f>
        <v>Yes</v>
      </c>
      <c r="G20" s="2" t="s">
        <v>25</v>
      </c>
      <c r="H20" s="11">
        <f>AVERAGE(_xlfn.XLOOKUP($B20&amp;"2019REV", 'Business Segment'!$Q:$Q, 'Business Segment'!R:R), _xlfn.XLOOKUP($B20&amp;"2018REV", 'Business Segment'!$Q:$Q, 'Business Segment'!R:R), _xlfn.XLOOKUP($B20&amp;"2017REV", 'Business Segment'!$Q:$Q, 'Business Segment'!R:R))</f>
        <v>0.88638948814946461</v>
      </c>
      <c r="I20" s="11">
        <f>AVERAGE(_xlfn.XLOOKUP($B20&amp;"2019INC", 'Business Segment'!$Q:$Q, 'Business Segment'!R:R), _xlfn.XLOOKUP($B20&amp;"2018INC", 'Business Segment'!$Q:$Q, 'Business Segment'!R:R), _xlfn.XLOOKUP($B20&amp;"2017INC", 'Business Segment'!$Q:$Q, 'Business Segment'!R:R))</f>
        <v>0.73847374054790793</v>
      </c>
      <c r="J20" s="11">
        <f>AVERAGE(_xlfn.XLOOKUP($B20&amp;"2019REV", 'Business Segment'!$Q:$Q, 'Business Segment'!S:S), _xlfn.XLOOKUP($B20&amp;"2018REV", 'Business Segment'!$Q:$Q, 'Business Segment'!S:S), _xlfn.XLOOKUP($B20&amp;"2017REV", 'Business Segment'!$Q:$Q, 'Business Segment'!S:S))</f>
        <v>1</v>
      </c>
      <c r="K20" s="11">
        <f>AVERAGE(_xlfn.XLOOKUP($B20&amp;"2019INC", 'Business Segment'!$Q:$Q, 'Business Segment'!S:S), _xlfn.XLOOKUP($B20&amp;"2018INC", 'Business Segment'!$Q:$Q, 'Business Segment'!S:S), _xlfn.XLOOKUP($B20&amp;"2017INC", 'Business Segment'!$Q:$Q, 'Business Segment'!S:S))</f>
        <v>1</v>
      </c>
      <c r="L20" s="191" t="s">
        <v>27</v>
      </c>
      <c r="M20" s="191" t="s">
        <v>25</v>
      </c>
    </row>
    <row r="21" spans="1:13" x14ac:dyDescent="0.25">
      <c r="A21" s="9" t="s">
        <v>47</v>
      </c>
      <c r="B21" s="10" t="s">
        <v>48</v>
      </c>
      <c r="C21" s="192" t="s">
        <v>25</v>
      </c>
      <c r="D21" s="2" t="s">
        <v>26</v>
      </c>
      <c r="E21" s="192" t="s">
        <v>25</v>
      </c>
      <c r="F21" s="192" t="str">
        <f>_xlfn.XLOOKUP(B21, 'Growth Rates'!$B:$B, 'Growth Rates'!$F:$F)</f>
        <v>Yes</v>
      </c>
      <c r="G21" s="2" t="s">
        <v>25</v>
      </c>
      <c r="H21" s="11">
        <f>AVERAGE(_xlfn.XLOOKUP($B21&amp;"2019REV", 'Business Segment'!$Q:$Q, 'Business Segment'!R:R), _xlfn.XLOOKUP($B21&amp;"2018REV", 'Business Segment'!$Q:$Q, 'Business Segment'!R:R), _xlfn.XLOOKUP($B21&amp;"2017REV", 'Business Segment'!$Q:$Q, 'Business Segment'!R:R))</f>
        <v>0.99699904476903078</v>
      </c>
      <c r="I21" s="11">
        <f>AVERAGE(_xlfn.XLOOKUP($B21&amp;"2019INC", 'Business Segment'!$Q:$Q, 'Business Segment'!R:R), _xlfn.XLOOKUP($B21&amp;"2018INC", 'Business Segment'!$Q:$Q, 'Business Segment'!R:R), _xlfn.XLOOKUP($B21&amp;"2017INC", 'Business Segment'!$Q:$Q, 'Business Segment'!R:R))</f>
        <v>0.99532407502199793</v>
      </c>
      <c r="J21" s="11">
        <f>AVERAGE(_xlfn.XLOOKUP($B21&amp;"2019REV", 'Business Segment'!$Q:$Q, 'Business Segment'!S:S), _xlfn.XLOOKUP($B21&amp;"2018REV", 'Business Segment'!$Q:$Q, 'Business Segment'!S:S), _xlfn.XLOOKUP($B21&amp;"2017REV", 'Business Segment'!$Q:$Q, 'Business Segment'!S:S))</f>
        <v>1</v>
      </c>
      <c r="K21" s="11">
        <f>AVERAGE(_xlfn.XLOOKUP($B21&amp;"2019INC", 'Business Segment'!$Q:$Q, 'Business Segment'!S:S), _xlfn.XLOOKUP($B21&amp;"2018INC", 'Business Segment'!$Q:$Q, 'Business Segment'!S:S), _xlfn.XLOOKUP($B21&amp;"2017INC", 'Business Segment'!$Q:$Q, 'Business Segment'!S:S))</f>
        <v>1</v>
      </c>
      <c r="L21" s="191" t="s">
        <v>27</v>
      </c>
      <c r="M21" s="191" t="s">
        <v>25</v>
      </c>
    </row>
    <row r="22" spans="1:13" x14ac:dyDescent="0.25">
      <c r="A22" s="9" t="s">
        <v>49</v>
      </c>
      <c r="B22" s="10" t="s">
        <v>50</v>
      </c>
      <c r="C22" s="192" t="s">
        <v>25</v>
      </c>
      <c r="D22" s="2" t="s">
        <v>33</v>
      </c>
      <c r="E22" s="192" t="s">
        <v>25</v>
      </c>
      <c r="F22" s="192" t="str">
        <f>_xlfn.XLOOKUP(B22, 'Growth Rates'!$B:$B, 'Growth Rates'!$F:$F)</f>
        <v>Yes</v>
      </c>
      <c r="G22" s="2" t="s">
        <v>25</v>
      </c>
      <c r="H22" s="11">
        <f>AVERAGE(_xlfn.XLOOKUP($B22&amp;"2019REV", 'Business Segment'!$Q:$Q, 'Business Segment'!R:R), _xlfn.XLOOKUP($B22&amp;"2018REV", 'Business Segment'!$Q:$Q, 'Business Segment'!R:R), _xlfn.XLOOKUP($B22&amp;"2017REV", 'Business Segment'!$Q:$Q, 'Business Segment'!R:R))</f>
        <v>1</v>
      </c>
      <c r="I22" s="11">
        <f>AVERAGE(_xlfn.XLOOKUP($B22&amp;"2019INC", 'Business Segment'!$Q:$Q, 'Business Segment'!R:R), _xlfn.XLOOKUP($B22&amp;"2018INC", 'Business Segment'!$Q:$Q, 'Business Segment'!R:R), _xlfn.XLOOKUP($B22&amp;"2017INC", 'Business Segment'!$Q:$Q, 'Business Segment'!R:R))</f>
        <v>0.99755593156608391</v>
      </c>
      <c r="J22" s="11">
        <f>AVERAGE(_xlfn.XLOOKUP($B22&amp;"2019REV", 'Business Segment'!$Q:$Q, 'Business Segment'!S:S), _xlfn.XLOOKUP($B22&amp;"2018REV", 'Business Segment'!$Q:$Q, 'Business Segment'!S:S), _xlfn.XLOOKUP($B22&amp;"2017REV", 'Business Segment'!$Q:$Q, 'Business Segment'!S:S))</f>
        <v>1</v>
      </c>
      <c r="K22" s="11">
        <f>AVERAGE(_xlfn.XLOOKUP($B22&amp;"2019INC", 'Business Segment'!$Q:$Q, 'Business Segment'!S:S), _xlfn.XLOOKUP($B22&amp;"2018INC", 'Business Segment'!$Q:$Q, 'Business Segment'!S:S), _xlfn.XLOOKUP($B22&amp;"2017INC", 'Business Segment'!$Q:$Q, 'Business Segment'!S:S))</f>
        <v>1</v>
      </c>
      <c r="L22" s="191" t="s">
        <v>27</v>
      </c>
      <c r="M22" s="191" t="s">
        <v>25</v>
      </c>
    </row>
    <row r="23" spans="1:13" x14ac:dyDescent="0.25">
      <c r="A23" s="9" t="s">
        <v>51</v>
      </c>
      <c r="B23" s="10" t="s">
        <v>52</v>
      </c>
      <c r="C23" s="192" t="s">
        <v>25</v>
      </c>
      <c r="D23" s="2" t="s">
        <v>30</v>
      </c>
      <c r="E23" s="192" t="s">
        <v>25</v>
      </c>
      <c r="F23" s="192" t="str">
        <f>_xlfn.XLOOKUP(B23, 'Growth Rates'!$B:$B, 'Growth Rates'!$F:$F)</f>
        <v>Yes</v>
      </c>
      <c r="G23" s="2" t="s">
        <v>25</v>
      </c>
      <c r="H23" s="11">
        <f>AVERAGE(_xlfn.XLOOKUP($B23&amp;"2019REV", 'Business Segment'!$Q:$Q, 'Business Segment'!R:R), _xlfn.XLOOKUP($B23&amp;"2018REV", 'Business Segment'!$Q:$Q, 'Business Segment'!R:R), _xlfn.XLOOKUP($B23&amp;"2017REV", 'Business Segment'!$Q:$Q, 'Business Segment'!R:R))</f>
        <v>0.99902300052584592</v>
      </c>
      <c r="I23" s="11">
        <f>AVERAGE(_xlfn.XLOOKUP($B23&amp;"2019INC", 'Business Segment'!$Q:$Q, 'Business Segment'!R:R), _xlfn.XLOOKUP($B23&amp;"2018INC", 'Business Segment'!$Q:$Q, 'Business Segment'!R:R), _xlfn.XLOOKUP($B23&amp;"2017INC", 'Business Segment'!$Q:$Q, 'Business Segment'!R:R))</f>
        <v>1</v>
      </c>
      <c r="J23" s="11">
        <f>AVERAGE(_xlfn.XLOOKUP($B23&amp;"2019REV", 'Business Segment'!$Q:$Q, 'Business Segment'!S:S), _xlfn.XLOOKUP($B23&amp;"2018REV", 'Business Segment'!$Q:$Q, 'Business Segment'!S:S), _xlfn.XLOOKUP($B23&amp;"2017REV", 'Business Segment'!$Q:$Q, 'Business Segment'!S:S))</f>
        <v>1</v>
      </c>
      <c r="K23" s="11">
        <f>AVERAGE(_xlfn.XLOOKUP($B23&amp;"2019INC", 'Business Segment'!$Q:$Q, 'Business Segment'!S:S), _xlfn.XLOOKUP($B23&amp;"2018INC", 'Business Segment'!$Q:$Q, 'Business Segment'!S:S), _xlfn.XLOOKUP($B23&amp;"2017INC", 'Business Segment'!$Q:$Q, 'Business Segment'!S:S))</f>
        <v>1</v>
      </c>
      <c r="L23" s="191" t="s">
        <v>27</v>
      </c>
      <c r="M23" s="191" t="s">
        <v>25</v>
      </c>
    </row>
    <row r="24" spans="1:13" x14ac:dyDescent="0.25">
      <c r="A24" s="9" t="s">
        <v>53</v>
      </c>
      <c r="B24" s="10" t="s">
        <v>54</v>
      </c>
      <c r="C24" s="192" t="s">
        <v>25</v>
      </c>
      <c r="D24" s="2" t="s">
        <v>33</v>
      </c>
      <c r="E24" s="192" t="s">
        <v>25</v>
      </c>
      <c r="F24" s="192" t="str">
        <f>_xlfn.XLOOKUP(B24, 'Growth Rates'!$B:$B, 'Growth Rates'!$F:$F)</f>
        <v>Yes</v>
      </c>
      <c r="G24" s="2" t="s">
        <v>25</v>
      </c>
      <c r="H24" s="11">
        <f>AVERAGE(_xlfn.XLOOKUP($B24&amp;"2019REV", 'Business Segment'!$Q:$Q, 'Business Segment'!R:R), _xlfn.XLOOKUP($B24&amp;"2018REV", 'Business Segment'!$Q:$Q, 'Business Segment'!R:R), _xlfn.XLOOKUP($B24&amp;"2017REV", 'Business Segment'!$Q:$Q, 'Business Segment'!R:R))</f>
        <v>1</v>
      </c>
      <c r="I24" s="11">
        <f>AVERAGE(_xlfn.XLOOKUP($B24&amp;"2019INC", 'Business Segment'!$Q:$Q, 'Business Segment'!R:R), _xlfn.XLOOKUP($B24&amp;"2018INC", 'Business Segment'!$Q:$Q, 'Business Segment'!R:R), _xlfn.XLOOKUP($B24&amp;"2017INC", 'Business Segment'!$Q:$Q, 'Business Segment'!R:R))</f>
        <v>1</v>
      </c>
      <c r="J24" s="11">
        <f>AVERAGE(_xlfn.XLOOKUP($B24&amp;"2019REV", 'Business Segment'!$Q:$Q, 'Business Segment'!S:S), _xlfn.XLOOKUP($B24&amp;"2018REV", 'Business Segment'!$Q:$Q, 'Business Segment'!S:S), _xlfn.XLOOKUP($B24&amp;"2017REV", 'Business Segment'!$Q:$Q, 'Business Segment'!S:S))</f>
        <v>1</v>
      </c>
      <c r="K24" s="11">
        <f>AVERAGE(_xlfn.XLOOKUP($B24&amp;"2019INC", 'Business Segment'!$Q:$Q, 'Business Segment'!S:S), _xlfn.XLOOKUP($B24&amp;"2018INC", 'Business Segment'!$Q:$Q, 'Business Segment'!S:S), _xlfn.XLOOKUP($B24&amp;"2017INC", 'Business Segment'!$Q:$Q, 'Business Segment'!S:S))</f>
        <v>1</v>
      </c>
      <c r="L24" s="191" t="s">
        <v>27</v>
      </c>
      <c r="M24" s="191" t="s">
        <v>25</v>
      </c>
    </row>
    <row r="25" spans="1:13" x14ac:dyDescent="0.25">
      <c r="A25" s="9" t="s">
        <v>55</v>
      </c>
      <c r="B25" s="10" t="s">
        <v>56</v>
      </c>
      <c r="C25" s="192" t="s">
        <v>25</v>
      </c>
      <c r="D25" s="2" t="s">
        <v>30</v>
      </c>
      <c r="E25" s="192" t="s">
        <v>25</v>
      </c>
      <c r="F25" s="192" t="str">
        <f>_xlfn.XLOOKUP(B25, 'Growth Rates'!$B:$B, 'Growth Rates'!$F:$F)</f>
        <v>Yes</v>
      </c>
      <c r="G25" s="2" t="s">
        <v>25</v>
      </c>
      <c r="H25" s="11">
        <f>AVERAGE(_xlfn.XLOOKUP($B25&amp;"2019REV", 'Business Segment'!$Q:$Q, 'Business Segment'!R:R), _xlfn.XLOOKUP($B25&amp;"2018REV", 'Business Segment'!$Q:$Q, 'Business Segment'!R:R), _xlfn.XLOOKUP($B25&amp;"2017REV", 'Business Segment'!$Q:$Q, 'Business Segment'!R:R))</f>
        <v>0.99321105949263389</v>
      </c>
      <c r="I25" s="11">
        <f>AVERAGE(_xlfn.XLOOKUP($B25&amp;"2019INC", 'Business Segment'!$Q:$Q, 'Business Segment'!R:R), _xlfn.XLOOKUP($B25&amp;"2018INC", 'Business Segment'!$Q:$Q, 'Business Segment'!R:R), _xlfn.XLOOKUP($B25&amp;"2017INC", 'Business Segment'!$Q:$Q, 'Business Segment'!R:R))</f>
        <v>1</v>
      </c>
      <c r="J25" s="11">
        <f>AVERAGE(_xlfn.XLOOKUP($B25&amp;"2019REV", 'Business Segment'!$Q:$Q, 'Business Segment'!S:S), _xlfn.XLOOKUP($B25&amp;"2018REV", 'Business Segment'!$Q:$Q, 'Business Segment'!S:S), _xlfn.XLOOKUP($B25&amp;"2017REV", 'Business Segment'!$Q:$Q, 'Business Segment'!S:S))</f>
        <v>0.84638998660964138</v>
      </c>
      <c r="K25" s="11">
        <f>AVERAGE(_xlfn.XLOOKUP($B25&amp;"2019INC", 'Business Segment'!$Q:$Q, 'Business Segment'!S:S), _xlfn.XLOOKUP($B25&amp;"2018INC", 'Business Segment'!$Q:$Q, 'Business Segment'!S:S), _xlfn.XLOOKUP($B25&amp;"2017INC", 'Business Segment'!$Q:$Q, 'Business Segment'!S:S))</f>
        <v>0.86981998973012742</v>
      </c>
      <c r="L25" s="191" t="s">
        <v>27</v>
      </c>
      <c r="M25" s="191" t="s">
        <v>25</v>
      </c>
    </row>
    <row r="26" spans="1:13" x14ac:dyDescent="0.25">
      <c r="A26" s="9" t="s">
        <v>119</v>
      </c>
      <c r="B26" s="10" t="s">
        <v>121</v>
      </c>
      <c r="C26" s="192" t="s">
        <v>25</v>
      </c>
      <c r="D26" s="191" t="s">
        <v>33</v>
      </c>
      <c r="E26" s="192" t="s">
        <v>25</v>
      </c>
      <c r="F26" s="192" t="str">
        <f>_xlfn.XLOOKUP(B26, 'Growth Rates'!$B:$B, 'Growth Rates'!$F:$F)</f>
        <v>Yes</v>
      </c>
      <c r="G26" s="191" t="s">
        <v>25</v>
      </c>
      <c r="H26" s="11">
        <f>AVERAGE(_xlfn.XLOOKUP($B26&amp;"2019REV", 'Business Segment'!$Q:$Q, 'Business Segment'!R:R), _xlfn.XLOOKUP($B26&amp;"2018REV", 'Business Segment'!$Q:$Q, 'Business Segment'!R:R), _xlfn.XLOOKUP($B26&amp;"2017REV", 'Business Segment'!$Q:$Q, 'Business Segment'!R:R))</f>
        <v>0.82214309324635215</v>
      </c>
      <c r="I26" s="11">
        <f>AVERAGE(_xlfn.XLOOKUP($B26&amp;"2019INC", 'Business Segment'!$Q:$Q, 'Business Segment'!R:R), _xlfn.XLOOKUP($B26&amp;"2018INC", 'Business Segment'!$Q:$Q, 'Business Segment'!R:R), _xlfn.XLOOKUP($B26&amp;"2017INC", 'Business Segment'!$Q:$Q, 'Business Segment'!R:R))</f>
        <v>0.91848589104027756</v>
      </c>
      <c r="J26" s="11">
        <f>AVERAGE(_xlfn.XLOOKUP($B26&amp;"2019REV", 'Business Segment'!$Q:$Q, 'Business Segment'!S:S), _xlfn.XLOOKUP($B26&amp;"2018REV", 'Business Segment'!$Q:$Q, 'Business Segment'!S:S), _xlfn.XLOOKUP($B26&amp;"2017REV", 'Business Segment'!$Q:$Q, 'Business Segment'!S:S))</f>
        <v>0.71817241378510166</v>
      </c>
      <c r="K26" s="11">
        <f>AVERAGE(_xlfn.XLOOKUP($B26&amp;"2019INC", 'Business Segment'!$Q:$Q, 'Business Segment'!S:S), _xlfn.XLOOKUP($B26&amp;"2018INC", 'Business Segment'!$Q:$Q, 'Business Segment'!S:S), _xlfn.XLOOKUP($B26&amp;"2017INC", 'Business Segment'!$Q:$Q, 'Business Segment'!S:S))</f>
        <v>0.78251819537176337</v>
      </c>
      <c r="L26" s="191" t="s">
        <v>25</v>
      </c>
      <c r="M26" s="191" t="s">
        <v>27</v>
      </c>
    </row>
    <row r="27" spans="1:13" x14ac:dyDescent="0.25">
      <c r="A27" s="9" t="s">
        <v>124</v>
      </c>
      <c r="B27" s="10" t="s">
        <v>126</v>
      </c>
      <c r="C27" s="192" t="s">
        <v>25</v>
      </c>
      <c r="D27" s="191" t="s">
        <v>26</v>
      </c>
      <c r="E27" s="192" t="s">
        <v>25</v>
      </c>
      <c r="F27" s="192" t="str">
        <f>_xlfn.XLOOKUP(B27, 'Growth Rates'!$B:$B, 'Growth Rates'!$F:$F)</f>
        <v>Yes</v>
      </c>
      <c r="G27" s="191" t="s">
        <v>25</v>
      </c>
      <c r="H27" s="11">
        <f>AVERAGE(_xlfn.XLOOKUP($B27&amp;"2019REV", 'Business Segment'!$Q:$Q, 'Business Segment'!R:R), _xlfn.XLOOKUP($B27&amp;"2018REV", 'Business Segment'!$Q:$Q, 'Business Segment'!R:R), _xlfn.XLOOKUP($B27&amp;"2017REV", 'Business Segment'!$Q:$Q, 'Business Segment'!R:R))</f>
        <v>0.98518947350455577</v>
      </c>
      <c r="I27" s="11">
        <f>AVERAGE(_xlfn.XLOOKUP($B27&amp;"2019INC", 'Business Segment'!$Q:$Q, 'Business Segment'!R:R), _xlfn.XLOOKUP($B27&amp;"2018INC", 'Business Segment'!$Q:$Q, 'Business Segment'!R:R), _xlfn.XLOOKUP($B27&amp;"2017INC", 'Business Segment'!$Q:$Q, 'Business Segment'!R:R))</f>
        <v>1</v>
      </c>
      <c r="J27" s="11">
        <f>AVERAGE(_xlfn.XLOOKUP($B27&amp;"2019REV", 'Business Segment'!$Q:$Q, 'Business Segment'!S:S), _xlfn.XLOOKUP($B27&amp;"2018REV", 'Business Segment'!$Q:$Q, 'Business Segment'!S:S), _xlfn.XLOOKUP($B27&amp;"2017REV", 'Business Segment'!$Q:$Q, 'Business Segment'!S:S))</f>
        <v>0.69663893372968155</v>
      </c>
      <c r="K27" s="11">
        <f>AVERAGE(_xlfn.XLOOKUP($B27&amp;"2019INC", 'Business Segment'!$Q:$Q, 'Business Segment'!S:S), _xlfn.XLOOKUP($B27&amp;"2018INC", 'Business Segment'!$Q:$Q, 'Business Segment'!S:S), _xlfn.XLOOKUP($B27&amp;"2017INC", 'Business Segment'!$Q:$Q, 'Business Segment'!S:S))</f>
        <v>0.78221495556458842</v>
      </c>
      <c r="L27" s="191" t="s">
        <v>27</v>
      </c>
      <c r="M27" s="191" t="s">
        <v>27</v>
      </c>
    </row>
    <row r="28" spans="1:13" x14ac:dyDescent="0.25">
      <c r="A28" s="9" t="s">
        <v>130</v>
      </c>
      <c r="B28" s="10" t="s">
        <v>132</v>
      </c>
      <c r="C28" s="192" t="s">
        <v>25</v>
      </c>
      <c r="D28" s="191" t="s">
        <v>33</v>
      </c>
      <c r="E28" s="192" t="s">
        <v>25</v>
      </c>
      <c r="F28" s="192" t="str">
        <f>_xlfn.XLOOKUP(B28, 'Growth Rates'!$B:$B, 'Growth Rates'!$F:$F)</f>
        <v>Yes</v>
      </c>
      <c r="G28" s="191" t="s">
        <v>25</v>
      </c>
      <c r="H28" s="11">
        <f>AVERAGE(_xlfn.XLOOKUP($B28&amp;"2019REV", 'Business Segment'!$Q:$Q, 'Business Segment'!R:R), _xlfn.XLOOKUP($B28&amp;"2018REV", 'Business Segment'!$Q:$Q, 'Business Segment'!R:R), _xlfn.XLOOKUP($B28&amp;"2017REV", 'Business Segment'!$Q:$Q, 'Business Segment'!R:R))</f>
        <v>0.99453437224417307</v>
      </c>
      <c r="I28" s="11">
        <f>AVERAGE(_xlfn.XLOOKUP($B28&amp;"2019INC", 'Business Segment'!$Q:$Q, 'Business Segment'!R:R), _xlfn.XLOOKUP($B28&amp;"2018INC", 'Business Segment'!$Q:$Q, 'Business Segment'!R:R), _xlfn.XLOOKUP($B28&amp;"2017INC", 'Business Segment'!$Q:$Q, 'Business Segment'!R:R))</f>
        <v>0.93843933216244368</v>
      </c>
      <c r="J28" s="11">
        <f>AVERAGE(_xlfn.XLOOKUP($B28&amp;"2019REV", 'Business Segment'!$Q:$Q, 'Business Segment'!S:S), _xlfn.XLOOKUP($B28&amp;"2018REV", 'Business Segment'!$Q:$Q, 'Business Segment'!S:S), _xlfn.XLOOKUP($B28&amp;"2017REV", 'Business Segment'!$Q:$Q, 'Business Segment'!S:S))</f>
        <v>0.41661198903690089</v>
      </c>
      <c r="K28" s="11">
        <f>AVERAGE(_xlfn.XLOOKUP($B28&amp;"2019INC", 'Business Segment'!$Q:$Q, 'Business Segment'!S:S), _xlfn.XLOOKUP($B28&amp;"2018INC", 'Business Segment'!$Q:$Q, 'Business Segment'!S:S), _xlfn.XLOOKUP($B28&amp;"2017INC", 'Business Segment'!$Q:$Q, 'Business Segment'!S:S))</f>
        <v>0.46814564848282009</v>
      </c>
      <c r="L28" s="191" t="s">
        <v>27</v>
      </c>
      <c r="M28" s="191" t="s">
        <v>27</v>
      </c>
    </row>
    <row r="29" spans="1:13" x14ac:dyDescent="0.25">
      <c r="A29" s="9" t="s">
        <v>138</v>
      </c>
      <c r="B29" s="10" t="s">
        <v>140</v>
      </c>
      <c r="C29" s="192" t="s">
        <v>27</v>
      </c>
      <c r="D29" s="191" t="s">
        <v>33</v>
      </c>
      <c r="E29" s="192" t="s">
        <v>25</v>
      </c>
      <c r="F29" s="192" t="str">
        <f>_xlfn.XLOOKUP(B29, 'Growth Rates'!$B:$B, 'Growth Rates'!$F:$F)</f>
        <v>Yes</v>
      </c>
      <c r="G29" s="191" t="s">
        <v>25</v>
      </c>
      <c r="H29" s="11">
        <f>AVERAGE(_xlfn.XLOOKUP($B29&amp;"2019REV", 'Business Segment'!$Q:$Q, 'Business Segment'!R:R), _xlfn.XLOOKUP($B29&amp;"2018REV", 'Business Segment'!$Q:$Q, 'Business Segment'!R:R), _xlfn.XLOOKUP($B29&amp;"2017REV", 'Business Segment'!$Q:$Q, 'Business Segment'!R:R))</f>
        <v>0.58222908706609222</v>
      </c>
      <c r="I29" s="11">
        <f>AVERAGE(_xlfn.XLOOKUP($B29&amp;"2019INC", 'Business Segment'!$Q:$Q, 'Business Segment'!R:R), _xlfn.XLOOKUP($B29&amp;"2018INC", 'Business Segment'!$Q:$Q, 'Business Segment'!R:R), _xlfn.XLOOKUP($B29&amp;"2017INC", 'Business Segment'!$Q:$Q, 'Business Segment'!R:R))</f>
        <v>0.91517128874388254</v>
      </c>
      <c r="J29" s="11">
        <f>AVERAGE(_xlfn.XLOOKUP($B29&amp;"2019REV", 'Business Segment'!$Q:$Q, 'Business Segment'!S:S), _xlfn.XLOOKUP($B29&amp;"2018REV", 'Business Segment'!$Q:$Q, 'Business Segment'!S:S), _xlfn.XLOOKUP($B29&amp;"2017REV", 'Business Segment'!$Q:$Q, 'Business Segment'!S:S))</f>
        <v>0.49134320022340128</v>
      </c>
      <c r="K29" s="11">
        <f>AVERAGE(_xlfn.XLOOKUP($B29&amp;"2019INC", 'Business Segment'!$Q:$Q, 'Business Segment'!S:S), _xlfn.XLOOKUP($B29&amp;"2018INC", 'Business Segment'!$Q:$Q, 'Business Segment'!S:S), _xlfn.XLOOKUP($B29&amp;"2017INC", 'Business Segment'!$Q:$Q, 'Business Segment'!S:S))</f>
        <v>0.63636363636363635</v>
      </c>
      <c r="L29" s="191" t="s">
        <v>27</v>
      </c>
      <c r="M29" s="191" t="s">
        <v>27</v>
      </c>
    </row>
    <row r="30" spans="1:13" x14ac:dyDescent="0.25">
      <c r="A30" s="9" t="s">
        <v>145</v>
      </c>
      <c r="B30" s="10" t="s">
        <v>147</v>
      </c>
      <c r="C30" s="192" t="s">
        <v>25</v>
      </c>
      <c r="D30" s="191" t="s">
        <v>33</v>
      </c>
      <c r="E30" s="192" t="s">
        <v>25</v>
      </c>
      <c r="F30" s="192" t="str">
        <f>_xlfn.XLOOKUP(B30, 'Growth Rates'!$B:$B, 'Growth Rates'!$F:$F)</f>
        <v>Yes</v>
      </c>
      <c r="G30" s="191" t="s">
        <v>25</v>
      </c>
      <c r="H30" s="11">
        <f>AVERAGE(_xlfn.XLOOKUP($B30&amp;"2019REV", 'Business Segment'!$Q:$Q, 'Business Segment'!R:R), _xlfn.XLOOKUP($B30&amp;"2018REV", 'Business Segment'!$Q:$Q, 'Business Segment'!R:R), _xlfn.XLOOKUP($B30&amp;"2017REV", 'Business Segment'!$Q:$Q, 'Business Segment'!R:R))</f>
        <v>0.93904546465186256</v>
      </c>
      <c r="I30" s="11">
        <f>AVERAGE(_xlfn.XLOOKUP($B30&amp;"2019INC", 'Business Segment'!$Q:$Q, 'Business Segment'!R:R), _xlfn.XLOOKUP($B30&amp;"2018INC", 'Business Segment'!$Q:$Q, 'Business Segment'!R:R), _xlfn.XLOOKUP($B30&amp;"2017INC", 'Business Segment'!$Q:$Q, 'Business Segment'!R:R))</f>
        <v>0.92612295610984585</v>
      </c>
      <c r="J30" s="11">
        <f>AVERAGE(_xlfn.XLOOKUP($B30&amp;"2019REV", 'Business Segment'!$Q:$Q, 'Business Segment'!S:S), _xlfn.XLOOKUP($B30&amp;"2018REV", 'Business Segment'!$Q:$Q, 'Business Segment'!S:S), _xlfn.XLOOKUP($B30&amp;"2017REV", 'Business Segment'!$Q:$Q, 'Business Segment'!S:S))</f>
        <v>0.70556247961483332</v>
      </c>
      <c r="K30" s="11">
        <f>AVERAGE(_xlfn.XLOOKUP($B30&amp;"2019INC", 'Business Segment'!$Q:$Q, 'Business Segment'!S:S), _xlfn.XLOOKUP($B30&amp;"2018INC", 'Business Segment'!$Q:$Q, 'Business Segment'!S:S), _xlfn.XLOOKUP($B30&amp;"2017INC", 'Business Segment'!$Q:$Q, 'Business Segment'!S:S))</f>
        <v>0.7254664489067647</v>
      </c>
      <c r="L30" s="191" t="s">
        <v>27</v>
      </c>
      <c r="M30" s="191" t="s">
        <v>27</v>
      </c>
    </row>
    <row r="31" spans="1:13" x14ac:dyDescent="0.25">
      <c r="A31" s="9" t="s">
        <v>151</v>
      </c>
      <c r="B31" s="10" t="s">
        <v>155</v>
      </c>
      <c r="C31" s="192" t="s">
        <v>25</v>
      </c>
      <c r="D31" s="191" t="s">
        <v>30</v>
      </c>
      <c r="E31" s="192" t="s">
        <v>25</v>
      </c>
      <c r="F31" s="192" t="str">
        <f>_xlfn.XLOOKUP(B31, 'Growth Rates'!$B:$B, 'Growth Rates'!$F:$F)</f>
        <v>Yes</v>
      </c>
      <c r="G31" s="191" t="s">
        <v>25</v>
      </c>
      <c r="H31" s="11">
        <f>AVERAGE(_xlfn.XLOOKUP($B31&amp;"2019REV", 'Business Segment'!$Q:$Q, 'Business Segment'!R:R), _xlfn.XLOOKUP($B31&amp;"2018REV", 'Business Segment'!$Q:$Q, 'Business Segment'!R:R), _xlfn.XLOOKUP($B31&amp;"2017REV", 'Business Segment'!$Q:$Q, 'Business Segment'!R:R))</f>
        <v>0.93736327884277093</v>
      </c>
      <c r="I31" s="11">
        <f>AVERAGE(_xlfn.XLOOKUP($B31&amp;"2019INC", 'Business Segment'!$Q:$Q, 'Business Segment'!R:R), _xlfn.XLOOKUP($B31&amp;"2018INC", 'Business Segment'!$Q:$Q, 'Business Segment'!R:R), _xlfn.XLOOKUP($B31&amp;"2017INC", 'Business Segment'!$Q:$Q, 'Business Segment'!R:R))</f>
        <v>0.94649466780659364</v>
      </c>
      <c r="J31" s="11">
        <f>AVERAGE(_xlfn.XLOOKUP($B31&amp;"2019REV", 'Business Segment'!$Q:$Q, 'Business Segment'!S:S), _xlfn.XLOOKUP($B31&amp;"2018REV", 'Business Segment'!$Q:$Q, 'Business Segment'!S:S), _xlfn.XLOOKUP($B31&amp;"2017REV", 'Business Segment'!$Q:$Q, 'Business Segment'!S:S))</f>
        <v>0.74873283940040247</v>
      </c>
      <c r="K31" s="11">
        <f>AVERAGE(_xlfn.XLOOKUP($B31&amp;"2019INC", 'Business Segment'!$Q:$Q, 'Business Segment'!S:S), _xlfn.XLOOKUP($B31&amp;"2018INC", 'Business Segment'!$Q:$Q, 'Business Segment'!S:S), _xlfn.XLOOKUP($B31&amp;"2017INC", 'Business Segment'!$Q:$Q, 'Business Segment'!S:S))</f>
        <v>0.75939710493959023</v>
      </c>
      <c r="L31" s="191" t="s">
        <v>27</v>
      </c>
      <c r="M31" s="191" t="s">
        <v>27</v>
      </c>
    </row>
    <row r="32" spans="1:13" x14ac:dyDescent="0.25">
      <c r="A32" s="9" t="s">
        <v>161</v>
      </c>
      <c r="B32" s="10" t="s">
        <v>163</v>
      </c>
      <c r="C32" s="192" t="s">
        <v>27</v>
      </c>
      <c r="D32" s="191" t="s">
        <v>33</v>
      </c>
      <c r="E32" s="192" t="s">
        <v>25</v>
      </c>
      <c r="F32" s="192" t="str">
        <f>_xlfn.XLOOKUP(B32, 'Growth Rates'!$B:$B, 'Growth Rates'!$F:$F)</f>
        <v>Yes</v>
      </c>
      <c r="G32" s="191" t="s">
        <v>25</v>
      </c>
      <c r="H32" s="11">
        <f>AVERAGE(_xlfn.XLOOKUP($B32&amp;"2019REV", 'Business Segment'!$Q:$Q, 'Business Segment'!R:R), _xlfn.XLOOKUP($B32&amp;"2018REV", 'Business Segment'!$Q:$Q, 'Business Segment'!R:R), _xlfn.XLOOKUP($B32&amp;"2017REV", 'Business Segment'!$Q:$Q, 'Business Segment'!R:R))</f>
        <v>0.981652906457958</v>
      </c>
      <c r="I32" s="11">
        <f>AVERAGE(_xlfn.XLOOKUP($B32&amp;"2019INC", 'Business Segment'!$Q:$Q, 'Business Segment'!R:R), _xlfn.XLOOKUP($B32&amp;"2018INC", 'Business Segment'!$Q:$Q, 'Business Segment'!R:R), _xlfn.XLOOKUP($B32&amp;"2017INC", 'Business Segment'!$Q:$Q, 'Business Segment'!R:R))</f>
        <v>1</v>
      </c>
      <c r="J32" s="11">
        <f>AVERAGE(_xlfn.XLOOKUP($B32&amp;"2019REV", 'Business Segment'!$Q:$Q, 'Business Segment'!S:S), _xlfn.XLOOKUP($B32&amp;"2018REV", 'Business Segment'!$Q:$Q, 'Business Segment'!S:S), _xlfn.XLOOKUP($B32&amp;"2017REV", 'Business Segment'!$Q:$Q, 'Business Segment'!S:S))</f>
        <v>0.72265064258866574</v>
      </c>
      <c r="K32" s="11">
        <f>AVERAGE(_xlfn.XLOOKUP($B32&amp;"2019INC", 'Business Segment'!$Q:$Q, 'Business Segment'!S:S), _xlfn.XLOOKUP($B32&amp;"2018INC", 'Business Segment'!$Q:$Q, 'Business Segment'!S:S), _xlfn.XLOOKUP($B32&amp;"2017INC", 'Business Segment'!$Q:$Q, 'Business Segment'!S:S))</f>
        <v>0.66781824218895114</v>
      </c>
      <c r="L32" s="191" t="s">
        <v>27</v>
      </c>
      <c r="M32" s="191" t="s">
        <v>27</v>
      </c>
    </row>
    <row r="33" spans="1:13" x14ac:dyDescent="0.25">
      <c r="A33" s="9" t="s">
        <v>178</v>
      </c>
      <c r="B33" s="10" t="s">
        <v>181</v>
      </c>
      <c r="C33" s="192" t="s">
        <v>25</v>
      </c>
      <c r="D33" s="191" t="s">
        <v>33</v>
      </c>
      <c r="E33" s="192" t="s">
        <v>25</v>
      </c>
      <c r="F33" s="192" t="str">
        <f>_xlfn.XLOOKUP(B33, 'Growth Rates'!$B:$B, 'Growth Rates'!$F:$F)</f>
        <v>Yes</v>
      </c>
      <c r="G33" s="191" t="s">
        <v>25</v>
      </c>
      <c r="H33" s="11">
        <f>AVERAGE(_xlfn.XLOOKUP($B33&amp;"2019REV", 'Business Segment'!$Q:$Q, 'Business Segment'!R:R), _xlfn.XLOOKUP($B33&amp;"2018REV", 'Business Segment'!$Q:$Q, 'Business Segment'!R:R), _xlfn.XLOOKUP($B33&amp;"2017REV", 'Business Segment'!$Q:$Q, 'Business Segment'!R:R))</f>
        <v>0.50611217174669221</v>
      </c>
      <c r="I33" s="11">
        <f>AVERAGE(_xlfn.XLOOKUP($B33&amp;"2019INC", 'Business Segment'!$Q:$Q, 'Business Segment'!R:R), _xlfn.XLOOKUP($B33&amp;"2018INC", 'Business Segment'!$Q:$Q, 'Business Segment'!R:R), _xlfn.XLOOKUP($B33&amp;"2017INC", 'Business Segment'!$Q:$Q, 'Business Segment'!R:R))</f>
        <v>0.88228269643057999</v>
      </c>
      <c r="J33" s="11">
        <f>AVERAGE(_xlfn.XLOOKUP($B33&amp;"2019REV", 'Business Segment'!$Q:$Q, 'Business Segment'!S:S), _xlfn.XLOOKUP($B33&amp;"2018REV", 'Business Segment'!$Q:$Q, 'Business Segment'!S:S), _xlfn.XLOOKUP($B33&amp;"2017REV", 'Business Segment'!$Q:$Q, 'Business Segment'!S:S))</f>
        <v>0.78401827586343764</v>
      </c>
      <c r="K33" s="11">
        <f>AVERAGE(_xlfn.XLOOKUP($B33&amp;"2019INC", 'Business Segment'!$Q:$Q, 'Business Segment'!S:S), _xlfn.XLOOKUP($B33&amp;"2018INC", 'Business Segment'!$Q:$Q, 'Business Segment'!S:S), _xlfn.XLOOKUP($B33&amp;"2017INC", 'Business Segment'!$Q:$Q, 'Business Segment'!S:S))</f>
        <v>0.79494573500545107</v>
      </c>
      <c r="L33" s="191" t="s">
        <v>27</v>
      </c>
      <c r="M33" s="191" t="s">
        <v>27</v>
      </c>
    </row>
    <row r="34" spans="1:13" x14ac:dyDescent="0.25">
      <c r="A34" s="9" t="s">
        <v>199</v>
      </c>
      <c r="B34" s="10" t="s">
        <v>201</v>
      </c>
      <c r="C34" s="192" t="s">
        <v>25</v>
      </c>
      <c r="D34" s="191" t="s">
        <v>30</v>
      </c>
      <c r="E34" s="192" t="s">
        <v>25</v>
      </c>
      <c r="F34" s="192" t="str">
        <f>_xlfn.XLOOKUP(B34, 'Growth Rates'!$B:$B, 'Growth Rates'!$F:$F)</f>
        <v>Yes</v>
      </c>
      <c r="G34" s="191" t="s">
        <v>25</v>
      </c>
      <c r="H34" s="11">
        <f>AVERAGE(_xlfn.XLOOKUP($B34&amp;"2019REV", 'Business Segment'!$Q:$Q, 'Business Segment'!R:R), _xlfn.XLOOKUP($B34&amp;"2018REV", 'Business Segment'!$Q:$Q, 'Business Segment'!R:R), _xlfn.XLOOKUP($B34&amp;"2017REV", 'Business Segment'!$Q:$Q, 'Business Segment'!R:R))</f>
        <v>1</v>
      </c>
      <c r="I34" s="11">
        <f>AVERAGE(_xlfn.XLOOKUP($B34&amp;"2019INC", 'Business Segment'!$Q:$Q, 'Business Segment'!R:R), _xlfn.XLOOKUP($B34&amp;"2018INC", 'Business Segment'!$Q:$Q, 'Business Segment'!R:R), _xlfn.XLOOKUP($B34&amp;"2017INC", 'Business Segment'!$Q:$Q, 'Business Segment'!R:R))</f>
        <v>0.92932518225393668</v>
      </c>
      <c r="J34" s="11">
        <f>AVERAGE(_xlfn.XLOOKUP($B34&amp;"2019REV", 'Business Segment'!$Q:$Q, 'Business Segment'!S:S), _xlfn.XLOOKUP($B34&amp;"2018REV", 'Business Segment'!$Q:$Q, 'Business Segment'!S:S), _xlfn.XLOOKUP($B34&amp;"2017REV", 'Business Segment'!$Q:$Q, 'Business Segment'!S:S))</f>
        <v>0.88514539376724544</v>
      </c>
      <c r="K34" s="11">
        <f>AVERAGE(_xlfn.XLOOKUP($B34&amp;"2019INC", 'Business Segment'!$Q:$Q, 'Business Segment'!S:S), _xlfn.XLOOKUP($B34&amp;"2018INC", 'Business Segment'!$Q:$Q, 'Business Segment'!S:S), _xlfn.XLOOKUP($B34&amp;"2017INC", 'Business Segment'!$Q:$Q, 'Business Segment'!S:S))</f>
        <v>0.89934985821845748</v>
      </c>
      <c r="L34" s="191" t="s">
        <v>25</v>
      </c>
      <c r="M34" s="191" t="s">
        <v>27</v>
      </c>
    </row>
    <row r="35" spans="1:13" x14ac:dyDescent="0.25">
      <c r="A35" s="9" t="s">
        <v>206</v>
      </c>
      <c r="B35" s="10" t="s">
        <v>208</v>
      </c>
      <c r="C35" s="192" t="s">
        <v>25</v>
      </c>
      <c r="D35" s="191" t="s">
        <v>33</v>
      </c>
      <c r="E35" s="192" t="s">
        <v>25</v>
      </c>
      <c r="F35" s="192" t="str">
        <f>_xlfn.XLOOKUP(B35, 'Growth Rates'!$B:$B, 'Growth Rates'!$F:$F)</f>
        <v>Yes</v>
      </c>
      <c r="G35" s="191" t="s">
        <v>25</v>
      </c>
      <c r="H35" s="11">
        <f>AVERAGE(_xlfn.XLOOKUP($B35&amp;"2019REV", 'Business Segment'!$Q:$Q, 'Business Segment'!R:R), _xlfn.XLOOKUP($B35&amp;"2018REV", 'Business Segment'!$Q:$Q, 'Business Segment'!R:R), _xlfn.XLOOKUP($B35&amp;"2017REV", 'Business Segment'!$Q:$Q, 'Business Segment'!R:R))</f>
        <v>0.4801131373654588</v>
      </c>
      <c r="I35" s="11">
        <f>AVERAGE(_xlfn.XLOOKUP($B35&amp;"2019INC", 'Business Segment'!$Q:$Q, 'Business Segment'!R:R), _xlfn.XLOOKUP($B35&amp;"2018INC", 'Business Segment'!$Q:$Q, 'Business Segment'!R:R), _xlfn.XLOOKUP($B35&amp;"2017INC", 'Business Segment'!$Q:$Q, 'Business Segment'!R:R))</f>
        <v>0.73807932833246515</v>
      </c>
      <c r="J35" s="11">
        <f>AVERAGE(_xlfn.XLOOKUP($B35&amp;"2019REV", 'Business Segment'!$Q:$Q, 'Business Segment'!S:S), _xlfn.XLOOKUP($B35&amp;"2018REV", 'Business Segment'!$Q:$Q, 'Business Segment'!S:S), _xlfn.XLOOKUP($B35&amp;"2017REV", 'Business Segment'!$Q:$Q, 'Business Segment'!S:S))</f>
        <v>0.91319534116844336</v>
      </c>
      <c r="K35" s="11">
        <f>AVERAGE(_xlfn.XLOOKUP($B35&amp;"2019INC", 'Business Segment'!$Q:$Q, 'Business Segment'!S:S), _xlfn.XLOOKUP($B35&amp;"2018INC", 'Business Segment'!$Q:$Q, 'Business Segment'!S:S), _xlfn.XLOOKUP($B35&amp;"2017INC", 'Business Segment'!$Q:$Q, 'Business Segment'!S:S))</f>
        <v>0.91204540143636503</v>
      </c>
      <c r="L35" s="191" t="s">
        <v>27</v>
      </c>
      <c r="M35" s="191" t="s">
        <v>27</v>
      </c>
    </row>
    <row r="36" spans="1:13" x14ac:dyDescent="0.25">
      <c r="A36" s="9" t="s">
        <v>431</v>
      </c>
      <c r="B36" s="10" t="s">
        <v>216</v>
      </c>
      <c r="C36" s="192" t="s">
        <v>25</v>
      </c>
      <c r="D36" s="192" t="s">
        <v>436</v>
      </c>
      <c r="E36" s="192" t="s">
        <v>25</v>
      </c>
      <c r="F36" s="192" t="str">
        <f>_xlfn.XLOOKUP(B36, 'Growth Rates'!$B:$B, 'Growth Rates'!$F:$F)</f>
        <v>No</v>
      </c>
      <c r="G36" s="191" t="s">
        <v>25</v>
      </c>
      <c r="H36" s="11">
        <f>AVERAGE(_xlfn.XLOOKUP($B36&amp;"2019REV", 'Business Segment'!$Q:$Q, 'Business Segment'!R:R), _xlfn.XLOOKUP($B36&amp;"2018REV", 'Business Segment'!$Q:$Q, 'Business Segment'!R:R), _xlfn.XLOOKUP($B36&amp;"2017REV", 'Business Segment'!$Q:$Q, 'Business Segment'!R:R))</f>
        <v>1</v>
      </c>
      <c r="I36" s="11">
        <f>AVERAGE(_xlfn.XLOOKUP($B36&amp;"2019INC", 'Business Segment'!$Q:$Q, 'Business Segment'!R:R), _xlfn.XLOOKUP($B36&amp;"2018INC", 'Business Segment'!$Q:$Q, 'Business Segment'!R:R), _xlfn.XLOOKUP($B36&amp;"2017INC", 'Business Segment'!$Q:$Q, 'Business Segment'!R:R))</f>
        <v>1</v>
      </c>
      <c r="J36" s="11">
        <f>AVERAGE(_xlfn.XLOOKUP($B36&amp;"2019REV", 'Business Segment'!$Q:$Q, 'Business Segment'!S:S), _xlfn.XLOOKUP($B36&amp;"2018REV", 'Business Segment'!$Q:$Q, 'Business Segment'!S:S), _xlfn.XLOOKUP($B36&amp;"2017REV", 'Business Segment'!$Q:$Q, 'Business Segment'!S:S))</f>
        <v>1</v>
      </c>
      <c r="K36" s="11">
        <f>AVERAGE(_xlfn.XLOOKUP($B36&amp;"2019INC", 'Business Segment'!$Q:$Q, 'Business Segment'!S:S), _xlfn.XLOOKUP($B36&amp;"2018INC", 'Business Segment'!$Q:$Q, 'Business Segment'!S:S), _xlfn.XLOOKUP($B36&amp;"2017INC", 'Business Segment'!$Q:$Q, 'Business Segment'!S:S))</f>
        <v>1</v>
      </c>
      <c r="L36" s="191" t="s">
        <v>27</v>
      </c>
      <c r="M36" s="191" t="s">
        <v>27</v>
      </c>
    </row>
    <row r="37" spans="1:13" x14ac:dyDescent="0.25">
      <c r="A37" s="9" t="s">
        <v>226</v>
      </c>
      <c r="B37" s="10" t="s">
        <v>228</v>
      </c>
      <c r="C37" s="192" t="s">
        <v>25</v>
      </c>
      <c r="D37" s="191" t="s">
        <v>437</v>
      </c>
      <c r="E37" s="192" t="s">
        <v>27</v>
      </c>
      <c r="F37" s="192" t="str">
        <f>_xlfn.XLOOKUP(B37, 'Growth Rates'!$B:$B, 'Growth Rates'!$F:$F)</f>
        <v>Yes</v>
      </c>
      <c r="G37" s="191" t="s">
        <v>25</v>
      </c>
      <c r="H37" s="11">
        <f>AVERAGE(_xlfn.XLOOKUP($B37&amp;"2019REV", 'Business Segment'!$Q:$Q, 'Business Segment'!R:R), _xlfn.XLOOKUP($B37&amp;"2018REV", 'Business Segment'!$Q:$Q, 'Business Segment'!R:R), _xlfn.XLOOKUP($B37&amp;"2017REV", 'Business Segment'!$Q:$Q, 'Business Segment'!R:R))</f>
        <v>0.99872039883855124</v>
      </c>
      <c r="I37" s="11">
        <f>AVERAGE(_xlfn.XLOOKUP($B37&amp;"2019INC", 'Business Segment'!$Q:$Q, 'Business Segment'!R:R), _xlfn.XLOOKUP($B37&amp;"2018INC", 'Business Segment'!$Q:$Q, 'Business Segment'!R:R), _xlfn.XLOOKUP($B37&amp;"2017INC", 'Business Segment'!$Q:$Q, 'Business Segment'!R:R))</f>
        <v>0.71598393419429562</v>
      </c>
      <c r="J37" s="11">
        <f>AVERAGE(_xlfn.XLOOKUP($B37&amp;"2019REV", 'Business Segment'!$Q:$Q, 'Business Segment'!S:S), _xlfn.XLOOKUP($B37&amp;"2018REV", 'Business Segment'!$Q:$Q, 'Business Segment'!S:S), _xlfn.XLOOKUP($B37&amp;"2017REV", 'Business Segment'!$Q:$Q, 'Business Segment'!S:S))</f>
        <v>0.72391377646582289</v>
      </c>
      <c r="K37" s="11">
        <f>AVERAGE(_xlfn.XLOOKUP($B37&amp;"2019INC", 'Business Segment'!$Q:$Q, 'Business Segment'!S:S), _xlfn.XLOOKUP($B37&amp;"2018INC", 'Business Segment'!$Q:$Q, 'Business Segment'!S:S), _xlfn.XLOOKUP($B37&amp;"2017INC", 'Business Segment'!$Q:$Q, 'Business Segment'!S:S))</f>
        <v>0.76788549331729106</v>
      </c>
      <c r="L37" s="191" t="s">
        <v>27</v>
      </c>
      <c r="M37" s="191" t="s">
        <v>27</v>
      </c>
    </row>
    <row r="38" spans="1:13" x14ac:dyDescent="0.25">
      <c r="A38" s="9" t="s">
        <v>233</v>
      </c>
      <c r="B38" s="10" t="s">
        <v>235</v>
      </c>
      <c r="C38" s="192" t="s">
        <v>25</v>
      </c>
      <c r="D38" s="191" t="s">
        <v>30</v>
      </c>
      <c r="E38" s="192" t="s">
        <v>25</v>
      </c>
      <c r="F38" s="192" t="str">
        <f>_xlfn.XLOOKUP(B38, 'Growth Rates'!$B:$B, 'Growth Rates'!$F:$F)</f>
        <v>Yes</v>
      </c>
      <c r="G38" s="191" t="s">
        <v>25</v>
      </c>
      <c r="H38" s="11">
        <f>AVERAGE(_xlfn.XLOOKUP($B38&amp;"2019REV", 'Business Segment'!$Q:$Q, 'Business Segment'!R:R), _xlfn.XLOOKUP($B38&amp;"2018REV", 'Business Segment'!$Q:$Q, 'Business Segment'!R:R), _xlfn.XLOOKUP($B38&amp;"2017REV", 'Business Segment'!$Q:$Q, 'Business Segment'!R:R))</f>
        <v>0.7061977494031052</v>
      </c>
      <c r="I38" s="11">
        <f>AVERAGE(_xlfn.XLOOKUP($B38&amp;"2019INC", 'Business Segment'!$Q:$Q, 'Business Segment'!R:R), _xlfn.XLOOKUP($B38&amp;"2018INC", 'Business Segment'!$Q:$Q, 'Business Segment'!R:R), _xlfn.XLOOKUP($B38&amp;"2017INC", 'Business Segment'!$Q:$Q, 'Business Segment'!R:R))</f>
        <v>0.68657259972717266</v>
      </c>
      <c r="J38" s="11">
        <f>AVERAGE(_xlfn.XLOOKUP($B38&amp;"2019REV", 'Business Segment'!$Q:$Q, 'Business Segment'!S:S), _xlfn.XLOOKUP($B38&amp;"2018REV", 'Business Segment'!$Q:$Q, 'Business Segment'!S:S), _xlfn.XLOOKUP($B38&amp;"2017REV", 'Business Segment'!$Q:$Q, 'Business Segment'!S:S))</f>
        <v>1</v>
      </c>
      <c r="K38" s="11">
        <f>AVERAGE(_xlfn.XLOOKUP($B38&amp;"2019INC", 'Business Segment'!$Q:$Q, 'Business Segment'!S:S), _xlfn.XLOOKUP($B38&amp;"2018INC", 'Business Segment'!$Q:$Q, 'Business Segment'!S:S), _xlfn.XLOOKUP($B38&amp;"2017INC", 'Business Segment'!$Q:$Q, 'Business Segment'!S:S))</f>
        <v>1</v>
      </c>
      <c r="L38" s="191" t="s">
        <v>27</v>
      </c>
      <c r="M38" s="191" t="s">
        <v>440</v>
      </c>
    </row>
    <row r="39" spans="1:13" x14ac:dyDescent="0.25">
      <c r="A39" s="9" t="s">
        <v>239</v>
      </c>
      <c r="B39" s="10" t="s">
        <v>241</v>
      </c>
      <c r="C39" s="192" t="s">
        <v>25</v>
      </c>
      <c r="D39" s="191" t="s">
        <v>26</v>
      </c>
      <c r="E39" s="192" t="s">
        <v>25</v>
      </c>
      <c r="F39" s="192" t="str">
        <f>_xlfn.XLOOKUP(B39, 'Growth Rates'!$B:$B, 'Growth Rates'!$F:$F)</f>
        <v>Yes</v>
      </c>
      <c r="G39" s="191" t="s">
        <v>25</v>
      </c>
      <c r="H39" s="11">
        <f>AVERAGE(_xlfn.XLOOKUP($B39&amp;"2019REV", 'Business Segment'!$Q:$Q, 'Business Segment'!R:R), _xlfn.XLOOKUP($B39&amp;"2018REV", 'Business Segment'!$Q:$Q, 'Business Segment'!R:R), _xlfn.XLOOKUP($B39&amp;"2017REV", 'Business Segment'!$Q:$Q, 'Business Segment'!R:R))</f>
        <v>1</v>
      </c>
      <c r="I39" s="11">
        <f>AVERAGE(_xlfn.XLOOKUP($B39&amp;"2019INC", 'Business Segment'!$Q:$Q, 'Business Segment'!R:R), _xlfn.XLOOKUP($B39&amp;"2018INC", 'Business Segment'!$Q:$Q, 'Business Segment'!R:R), _xlfn.XLOOKUP($B39&amp;"2017INC", 'Business Segment'!$Q:$Q, 'Business Segment'!R:R))</f>
        <v>1</v>
      </c>
      <c r="J39" s="11">
        <f>AVERAGE(_xlfn.XLOOKUP($B39&amp;"2019REV", 'Business Segment'!$Q:$Q, 'Business Segment'!S:S), _xlfn.XLOOKUP($B39&amp;"2018REV", 'Business Segment'!$Q:$Q, 'Business Segment'!S:S), _xlfn.XLOOKUP($B39&amp;"2017REV", 'Business Segment'!$Q:$Q, 'Business Segment'!S:S))</f>
        <v>0.78233650135114863</v>
      </c>
      <c r="K39" s="11">
        <f>AVERAGE(_xlfn.XLOOKUP($B39&amp;"2019INC", 'Business Segment'!$Q:$Q, 'Business Segment'!S:S), _xlfn.XLOOKUP($B39&amp;"2018INC", 'Business Segment'!$Q:$Q, 'Business Segment'!S:S), _xlfn.XLOOKUP($B39&amp;"2017INC", 'Business Segment'!$Q:$Q, 'Business Segment'!S:S))</f>
        <v>0.82802576734337541</v>
      </c>
      <c r="L39" s="191" t="s">
        <v>27</v>
      </c>
      <c r="M39" s="191" t="s">
        <v>27</v>
      </c>
    </row>
    <row r="40" spans="1:13" x14ac:dyDescent="0.25">
      <c r="A40" s="9" t="s">
        <v>247</v>
      </c>
      <c r="B40" s="10" t="s">
        <v>250</v>
      </c>
      <c r="C40" s="192" t="s">
        <v>25</v>
      </c>
      <c r="D40" s="191" t="s">
        <v>26</v>
      </c>
      <c r="E40" s="192" t="s">
        <v>25</v>
      </c>
      <c r="F40" s="192" t="str">
        <f>_xlfn.XLOOKUP(B40, 'Growth Rates'!$B:$B, 'Growth Rates'!$F:$F)</f>
        <v>Yes</v>
      </c>
      <c r="G40" s="191" t="s">
        <v>25</v>
      </c>
      <c r="H40" s="11">
        <f>AVERAGE(_xlfn.XLOOKUP($B40&amp;"2019REV", 'Business Segment'!$Q:$Q, 'Business Segment'!R:R), _xlfn.XLOOKUP($B40&amp;"2018REV", 'Business Segment'!$Q:$Q, 'Business Segment'!R:R), _xlfn.XLOOKUP($B40&amp;"2017REV", 'Business Segment'!$Q:$Q, 'Business Segment'!R:R))</f>
        <v>0.50073481394080888</v>
      </c>
      <c r="I40" s="11">
        <f>AVERAGE(_xlfn.XLOOKUP($B40&amp;"2019INC", 'Business Segment'!$Q:$Q, 'Business Segment'!R:R), _xlfn.XLOOKUP($B40&amp;"2018INC", 'Business Segment'!$Q:$Q, 'Business Segment'!R:R), _xlfn.XLOOKUP($B40&amp;"2017INC", 'Business Segment'!$Q:$Q, 'Business Segment'!R:R))</f>
        <v>0.70887455263041199</v>
      </c>
      <c r="J40" s="11">
        <f>AVERAGE(_xlfn.XLOOKUP($B40&amp;"2019REV", 'Business Segment'!$Q:$Q, 'Business Segment'!S:S), _xlfn.XLOOKUP($B40&amp;"2018REV", 'Business Segment'!$Q:$Q, 'Business Segment'!S:S), _xlfn.XLOOKUP($B40&amp;"2017REV", 'Business Segment'!$Q:$Q, 'Business Segment'!S:S))</f>
        <v>1</v>
      </c>
      <c r="K40" s="11">
        <f>AVERAGE(_xlfn.XLOOKUP($B40&amp;"2019INC", 'Business Segment'!$Q:$Q, 'Business Segment'!S:S), _xlfn.XLOOKUP($B40&amp;"2018INC", 'Business Segment'!$Q:$Q, 'Business Segment'!S:S), _xlfn.XLOOKUP($B40&amp;"2017INC", 'Business Segment'!$Q:$Q, 'Business Segment'!S:S))</f>
        <v>1</v>
      </c>
      <c r="L40" s="191" t="s">
        <v>27</v>
      </c>
      <c r="M40" s="191" t="s">
        <v>27</v>
      </c>
    </row>
    <row r="41" spans="1:13" x14ac:dyDescent="0.25">
      <c r="A41" s="9" t="s">
        <v>255</v>
      </c>
      <c r="B41" s="10" t="s">
        <v>257</v>
      </c>
      <c r="C41" s="192" t="s">
        <v>25</v>
      </c>
      <c r="D41" s="192" t="s">
        <v>438</v>
      </c>
      <c r="E41" s="192" t="s">
        <v>25</v>
      </c>
      <c r="F41" s="192" t="str">
        <f>_xlfn.XLOOKUP(B41, 'Growth Rates'!$B:$B, 'Growth Rates'!$F:$F)</f>
        <v>Yes</v>
      </c>
      <c r="G41" s="191" t="s">
        <v>25</v>
      </c>
      <c r="H41" s="11">
        <f>AVERAGE(_xlfn.XLOOKUP($B41&amp;"2019REV", 'Business Segment'!$Q:$Q, 'Business Segment'!R:R), _xlfn.XLOOKUP($B41&amp;"2018REV", 'Business Segment'!$Q:$Q, 'Business Segment'!R:R), _xlfn.XLOOKUP($B41&amp;"2017REV", 'Business Segment'!$Q:$Q, 'Business Segment'!R:R))</f>
        <v>1</v>
      </c>
      <c r="I41" s="11">
        <f>AVERAGE(_xlfn.XLOOKUP($B41&amp;"2019INC", 'Business Segment'!$Q:$Q, 'Business Segment'!R:R), _xlfn.XLOOKUP($B41&amp;"2018INC", 'Business Segment'!$Q:$Q, 'Business Segment'!R:R), _xlfn.XLOOKUP($B41&amp;"2017INC", 'Business Segment'!$Q:$Q, 'Business Segment'!R:R))</f>
        <v>0</v>
      </c>
      <c r="J41" s="11">
        <f>AVERAGE(_xlfn.XLOOKUP($B41&amp;"2019REV", 'Business Segment'!$Q:$Q, 'Business Segment'!S:S), _xlfn.XLOOKUP($B41&amp;"2018REV", 'Business Segment'!$Q:$Q, 'Business Segment'!S:S), _xlfn.XLOOKUP($B41&amp;"2017REV", 'Business Segment'!$Q:$Q, 'Business Segment'!S:S))</f>
        <v>0.75608626230032538</v>
      </c>
      <c r="K41" s="11">
        <f>AVERAGE(_xlfn.XLOOKUP($B41&amp;"2019INC", 'Business Segment'!$Q:$Q, 'Business Segment'!S:S), _xlfn.XLOOKUP($B41&amp;"2018INC", 'Business Segment'!$Q:$Q, 'Business Segment'!S:S), _xlfn.XLOOKUP($B41&amp;"2017INC", 'Business Segment'!$Q:$Q, 'Business Segment'!S:S))</f>
        <v>0.98323740967945417</v>
      </c>
      <c r="L41" s="191" t="s">
        <v>27</v>
      </c>
      <c r="M41" s="191" t="s">
        <v>27</v>
      </c>
    </row>
    <row r="42" spans="1:13" x14ac:dyDescent="0.25">
      <c r="A42" s="9" t="s">
        <v>267</v>
      </c>
      <c r="B42" s="10" t="s">
        <v>269</v>
      </c>
      <c r="C42" s="192" t="s">
        <v>25</v>
      </c>
      <c r="D42" s="191" t="s">
        <v>26</v>
      </c>
      <c r="E42" s="192" t="s">
        <v>25</v>
      </c>
      <c r="F42" s="192" t="str">
        <f>_xlfn.XLOOKUP(B42, 'Growth Rates'!$B:$B, 'Growth Rates'!$F:$F)</f>
        <v>Yes</v>
      </c>
      <c r="G42" s="191" t="s">
        <v>25</v>
      </c>
      <c r="H42" s="11">
        <f>AVERAGE(_xlfn.XLOOKUP($B42&amp;"2019REV", 'Business Segment'!$Q:$Q, 'Business Segment'!R:R), _xlfn.XLOOKUP($B42&amp;"2018REV", 'Business Segment'!$Q:$Q, 'Business Segment'!R:R), _xlfn.XLOOKUP($B42&amp;"2017REV", 'Business Segment'!$Q:$Q, 'Business Segment'!R:R))</f>
        <v>1</v>
      </c>
      <c r="I42" s="11">
        <f>AVERAGE(_xlfn.XLOOKUP($B42&amp;"2019INC", 'Business Segment'!$Q:$Q, 'Business Segment'!R:R), _xlfn.XLOOKUP($B42&amp;"2018INC", 'Business Segment'!$Q:$Q, 'Business Segment'!R:R), _xlfn.XLOOKUP($B42&amp;"2017INC", 'Business Segment'!$Q:$Q, 'Business Segment'!R:R))</f>
        <v>0.99962332705897783</v>
      </c>
      <c r="J42" s="11">
        <f>AVERAGE(_xlfn.XLOOKUP($B42&amp;"2019REV", 'Business Segment'!$Q:$Q, 'Business Segment'!S:S), _xlfn.XLOOKUP($B42&amp;"2018REV", 'Business Segment'!$Q:$Q, 'Business Segment'!S:S), _xlfn.XLOOKUP($B42&amp;"2017REV", 'Business Segment'!$Q:$Q, 'Business Segment'!S:S))</f>
        <v>1</v>
      </c>
      <c r="K42" s="11">
        <f>AVERAGE(_xlfn.XLOOKUP($B42&amp;"2019INC", 'Business Segment'!$Q:$Q, 'Business Segment'!S:S), _xlfn.XLOOKUP($B42&amp;"2018INC", 'Business Segment'!$Q:$Q, 'Business Segment'!S:S), _xlfn.XLOOKUP($B42&amp;"2017INC", 'Business Segment'!$Q:$Q, 'Business Segment'!S:S))</f>
        <v>1</v>
      </c>
      <c r="L42" s="191" t="s">
        <v>25</v>
      </c>
      <c r="M42" s="191" t="s">
        <v>27</v>
      </c>
    </row>
    <row r="43" spans="1:13" x14ac:dyDescent="0.25">
      <c r="A43" s="9" t="s">
        <v>274</v>
      </c>
      <c r="B43" s="10" t="s">
        <v>276</v>
      </c>
      <c r="C43" s="192" t="s">
        <v>25</v>
      </c>
      <c r="D43" s="191" t="s">
        <v>30</v>
      </c>
      <c r="E43" s="192" t="s">
        <v>25</v>
      </c>
      <c r="F43" s="192" t="str">
        <f>_xlfn.XLOOKUP(B43, 'Growth Rates'!$B:$B, 'Growth Rates'!$F:$F)</f>
        <v>No</v>
      </c>
      <c r="G43" s="191" t="s">
        <v>25</v>
      </c>
      <c r="H43" s="11">
        <f>AVERAGE(_xlfn.XLOOKUP($B43&amp;"2019REV", 'Business Segment'!$Q:$Q, 'Business Segment'!R:R), _xlfn.XLOOKUP($B43&amp;"2018REV", 'Business Segment'!$Q:$Q, 'Business Segment'!R:R), _xlfn.XLOOKUP($B43&amp;"2017REV", 'Business Segment'!$Q:$Q, 'Business Segment'!R:R))</f>
        <v>0.71452501801103496</v>
      </c>
      <c r="I43" s="11">
        <f>AVERAGE(_xlfn.XLOOKUP($B43&amp;"2019INC", 'Business Segment'!$Q:$Q, 'Business Segment'!R:R), _xlfn.XLOOKUP($B43&amp;"2018INC", 'Business Segment'!$Q:$Q, 'Business Segment'!R:R), _xlfn.XLOOKUP($B43&amp;"2017INC", 'Business Segment'!$Q:$Q, 'Business Segment'!R:R))</f>
        <v>1</v>
      </c>
      <c r="J43" s="11">
        <f>AVERAGE(_xlfn.XLOOKUP($B43&amp;"2019REV", 'Business Segment'!$Q:$Q, 'Business Segment'!S:S), _xlfn.XLOOKUP($B43&amp;"2018REV", 'Business Segment'!$Q:$Q, 'Business Segment'!S:S), _xlfn.XLOOKUP($B43&amp;"2017REV", 'Business Segment'!$Q:$Q, 'Business Segment'!S:S))</f>
        <v>0.94318428059400905</v>
      </c>
      <c r="K43" s="11">
        <f>AVERAGE(_xlfn.XLOOKUP($B43&amp;"2019INC", 'Business Segment'!$Q:$Q, 'Business Segment'!S:S), _xlfn.XLOOKUP($B43&amp;"2018INC", 'Business Segment'!$Q:$Q, 'Business Segment'!S:S), _xlfn.XLOOKUP($B43&amp;"2017INC", 'Business Segment'!$Q:$Q, 'Business Segment'!S:S))</f>
        <v>0.95866689236812752</v>
      </c>
      <c r="L43" s="191" t="s">
        <v>27</v>
      </c>
      <c r="M43" s="191" t="s">
        <v>27</v>
      </c>
    </row>
    <row r="44" spans="1:13" x14ac:dyDescent="0.25">
      <c r="A44" s="9" t="s">
        <v>432</v>
      </c>
      <c r="B44" s="10" t="s">
        <v>282</v>
      </c>
      <c r="C44" s="192" t="s">
        <v>25</v>
      </c>
      <c r="D44" s="191" t="s">
        <v>33</v>
      </c>
      <c r="E44" s="192" t="s">
        <v>25</v>
      </c>
      <c r="F44" s="192" t="str">
        <f>_xlfn.XLOOKUP(B44, 'Growth Rates'!$B:$B, 'Growth Rates'!$F:$F)</f>
        <v>Yes</v>
      </c>
      <c r="G44" s="191" t="s">
        <v>25</v>
      </c>
      <c r="H44" s="11">
        <f>AVERAGE(_xlfn.XLOOKUP($B44&amp;"2019REV", 'Business Segment'!$Q:$Q, 'Business Segment'!R:R), _xlfn.XLOOKUP($B44&amp;"2018REV", 'Business Segment'!$Q:$Q, 'Business Segment'!R:R), _xlfn.XLOOKUP($B44&amp;"2017REV", 'Business Segment'!$Q:$Q, 'Business Segment'!R:R))</f>
        <v>0.67343171800733703</v>
      </c>
      <c r="I44" s="11">
        <f>AVERAGE(_xlfn.XLOOKUP($B44&amp;"2019INC", 'Business Segment'!$Q:$Q, 'Business Segment'!R:R), _xlfn.XLOOKUP($B44&amp;"2018INC", 'Business Segment'!$Q:$Q, 'Business Segment'!R:R), _xlfn.XLOOKUP($B44&amp;"2017INC", 'Business Segment'!$Q:$Q, 'Business Segment'!R:R))</f>
        <v>0.81830531027823572</v>
      </c>
      <c r="J44" s="11">
        <f>AVERAGE(_xlfn.XLOOKUP($B44&amp;"2019REV", 'Business Segment'!$Q:$Q, 'Business Segment'!S:S), _xlfn.XLOOKUP($B44&amp;"2018REV", 'Business Segment'!$Q:$Q, 'Business Segment'!S:S), _xlfn.XLOOKUP($B44&amp;"2017REV", 'Business Segment'!$Q:$Q, 'Business Segment'!S:S))</f>
        <v>0.7109595939678468</v>
      </c>
      <c r="K44" s="11">
        <f>AVERAGE(_xlfn.XLOOKUP($B44&amp;"2019INC", 'Business Segment'!$Q:$Q, 'Business Segment'!S:S), _xlfn.XLOOKUP($B44&amp;"2018INC", 'Business Segment'!$Q:$Q, 'Business Segment'!S:S), _xlfn.XLOOKUP($B44&amp;"2017INC", 'Business Segment'!$Q:$Q, 'Business Segment'!S:S))</f>
        <v>0.79936559229134263</v>
      </c>
      <c r="L44" s="191" t="s">
        <v>27</v>
      </c>
      <c r="M44" s="191" t="s">
        <v>27</v>
      </c>
    </row>
    <row r="45" spans="1:13" x14ac:dyDescent="0.25">
      <c r="A45" s="9" t="s">
        <v>285</v>
      </c>
      <c r="B45" s="10" t="s">
        <v>287</v>
      </c>
      <c r="C45" s="192" t="s">
        <v>25</v>
      </c>
      <c r="D45" s="191" t="s">
        <v>33</v>
      </c>
      <c r="E45" s="192" t="s">
        <v>25</v>
      </c>
      <c r="F45" s="192" t="str">
        <f>_xlfn.XLOOKUP(B45, 'Growth Rates'!$B:$B, 'Growth Rates'!$F:$F)</f>
        <v>Yes</v>
      </c>
      <c r="G45" s="191" t="s">
        <v>25</v>
      </c>
      <c r="H45" s="11">
        <f>AVERAGE(_xlfn.XLOOKUP($B45&amp;"2019REV", 'Business Segment'!$Q:$Q, 'Business Segment'!R:R), _xlfn.XLOOKUP($B45&amp;"2018REV", 'Business Segment'!$Q:$Q, 'Business Segment'!R:R), _xlfn.XLOOKUP($B45&amp;"2017REV", 'Business Segment'!$Q:$Q, 'Business Segment'!R:R))</f>
        <v>0.64716678728981514</v>
      </c>
      <c r="I45" s="11">
        <f>AVERAGE(_xlfn.XLOOKUP($B45&amp;"2019INC", 'Business Segment'!$Q:$Q, 'Business Segment'!R:R), _xlfn.XLOOKUP($B45&amp;"2018INC", 'Business Segment'!$Q:$Q, 'Business Segment'!R:R), _xlfn.XLOOKUP($B45&amp;"2017INC", 'Business Segment'!$Q:$Q, 'Business Segment'!R:R))</f>
        <v>0.70285171369654043</v>
      </c>
      <c r="J45" s="11">
        <f>AVERAGE(_xlfn.XLOOKUP($B45&amp;"2019REV", 'Business Segment'!$Q:$Q, 'Business Segment'!S:S), _xlfn.XLOOKUP($B45&amp;"2018REV", 'Business Segment'!$Q:$Q, 'Business Segment'!S:S), _xlfn.XLOOKUP($B45&amp;"2017REV", 'Business Segment'!$Q:$Q, 'Business Segment'!S:S))</f>
        <v>0.46600670061067007</v>
      </c>
      <c r="K45" s="11">
        <f>AVERAGE(_xlfn.XLOOKUP($B45&amp;"2019INC", 'Business Segment'!$Q:$Q, 'Business Segment'!S:S), _xlfn.XLOOKUP($B45&amp;"2018INC", 'Business Segment'!$Q:$Q, 'Business Segment'!S:S), _xlfn.XLOOKUP($B45&amp;"2017INC", 'Business Segment'!$Q:$Q, 'Business Segment'!S:S))</f>
        <v>0.51337043795912507</v>
      </c>
      <c r="L45" s="191" t="s">
        <v>27</v>
      </c>
      <c r="M45" s="191" t="s">
        <v>27</v>
      </c>
    </row>
    <row r="46" spans="1:13" x14ac:dyDescent="0.25">
      <c r="A46" s="9" t="s">
        <v>306</v>
      </c>
      <c r="B46" s="10" t="s">
        <v>308</v>
      </c>
      <c r="C46" s="192" t="s">
        <v>25</v>
      </c>
      <c r="D46" s="191" t="s">
        <v>30</v>
      </c>
      <c r="E46" s="192" t="s">
        <v>25</v>
      </c>
      <c r="F46" s="192" t="str">
        <f>_xlfn.XLOOKUP(B46, 'Growth Rates'!$B:$B, 'Growth Rates'!$F:$F)</f>
        <v>Yes</v>
      </c>
      <c r="G46" s="191" t="s">
        <v>25</v>
      </c>
      <c r="H46" s="11">
        <f>AVERAGE(_xlfn.XLOOKUP($B46&amp;"2019REV", 'Business Segment'!$Q:$Q, 'Business Segment'!R:R), _xlfn.XLOOKUP($B46&amp;"2018REV", 'Business Segment'!$Q:$Q, 'Business Segment'!R:R), _xlfn.XLOOKUP($B46&amp;"2017REV", 'Business Segment'!$Q:$Q, 'Business Segment'!R:R))</f>
        <v>0.89682436025496226</v>
      </c>
      <c r="I46" s="11">
        <f>AVERAGE(_xlfn.XLOOKUP($B46&amp;"2019INC", 'Business Segment'!$Q:$Q, 'Business Segment'!R:R), _xlfn.XLOOKUP($B46&amp;"2018INC", 'Business Segment'!$Q:$Q, 'Business Segment'!R:R), _xlfn.XLOOKUP($B46&amp;"2017INC", 'Business Segment'!$Q:$Q, 'Business Segment'!R:R))</f>
        <v>0.84883281752033446</v>
      </c>
      <c r="J46" s="11">
        <f>AVERAGE(_xlfn.XLOOKUP($B46&amp;"2019REV", 'Business Segment'!$Q:$Q, 'Business Segment'!S:S), _xlfn.XLOOKUP($B46&amp;"2018REV", 'Business Segment'!$Q:$Q, 'Business Segment'!S:S), _xlfn.XLOOKUP($B46&amp;"2017REV", 'Business Segment'!$Q:$Q, 'Business Segment'!S:S))</f>
        <v>0.80911655297227092</v>
      </c>
      <c r="K46" s="11">
        <f>AVERAGE(_xlfn.XLOOKUP($B46&amp;"2019INC", 'Business Segment'!$Q:$Q, 'Business Segment'!S:S), _xlfn.XLOOKUP($B46&amp;"2018INC", 'Business Segment'!$Q:$Q, 'Business Segment'!S:S), _xlfn.XLOOKUP($B46&amp;"2017INC", 'Business Segment'!$Q:$Q, 'Business Segment'!S:S))</f>
        <v>0.7781259069198091</v>
      </c>
      <c r="L46" s="191" t="s">
        <v>27</v>
      </c>
      <c r="M46" s="191" t="s">
        <v>27</v>
      </c>
    </row>
    <row r="47" spans="1:13" ht="15.75" thickBot="1" x14ac:dyDescent="0.3">
      <c r="A47" s="12" t="s">
        <v>433</v>
      </c>
      <c r="B47" s="13" t="s">
        <v>314</v>
      </c>
      <c r="C47" s="198" t="s">
        <v>25</v>
      </c>
      <c r="D47" s="14" t="s">
        <v>30</v>
      </c>
      <c r="E47" s="195" t="s">
        <v>25</v>
      </c>
      <c r="F47" s="195" t="str">
        <f>_xlfn.XLOOKUP(B47, 'Growth Rates'!$B:$B, 'Growth Rates'!$F:$F)</f>
        <v>Yes</v>
      </c>
      <c r="G47" s="14" t="s">
        <v>25</v>
      </c>
      <c r="H47" s="15">
        <f>AVERAGE(_xlfn.XLOOKUP($B47&amp;"2019REV", 'Business Segment'!$Q:$Q, 'Business Segment'!R:R), _xlfn.XLOOKUP($B47&amp;"2018REV", 'Business Segment'!$Q:$Q, 'Business Segment'!R:R), _xlfn.XLOOKUP($B47&amp;"2017REV", 'Business Segment'!$Q:$Q, 'Business Segment'!R:R))</f>
        <v>0.99156869942438952</v>
      </c>
      <c r="I47" s="15">
        <f>AVERAGE(_xlfn.XLOOKUP($B47&amp;"2019INC", 'Business Segment'!$Q:$Q, 'Business Segment'!R:R), _xlfn.XLOOKUP($B47&amp;"2018INC", 'Business Segment'!$Q:$Q, 'Business Segment'!R:R), _xlfn.XLOOKUP($B47&amp;"2017INC", 'Business Segment'!$Q:$Q, 'Business Segment'!R:R))</f>
        <v>0.84987978775353323</v>
      </c>
      <c r="J47" s="15">
        <f>AVERAGE(_xlfn.XLOOKUP($B47&amp;"2019REV", 'Business Segment'!$Q:$Q, 'Business Segment'!S:S), _xlfn.XLOOKUP($B47&amp;"2018REV", 'Business Segment'!$Q:$Q, 'Business Segment'!S:S), _xlfn.XLOOKUP($B47&amp;"2017REV", 'Business Segment'!$Q:$Q, 'Business Segment'!S:S))</f>
        <v>0.58760949956809638</v>
      </c>
      <c r="K47" s="15">
        <f>AVERAGE(_xlfn.XLOOKUP($B47&amp;"2019INC", 'Business Segment'!$Q:$Q, 'Business Segment'!S:S), _xlfn.XLOOKUP($B47&amp;"2018INC", 'Business Segment'!$Q:$Q, 'Business Segment'!S:S), _xlfn.XLOOKUP($B47&amp;"2017INC", 'Business Segment'!$Q:$Q, 'Business Segment'!S:S))</f>
        <v>0.55409700341737678</v>
      </c>
      <c r="L47" s="14" t="s">
        <v>27</v>
      </c>
      <c r="M47" s="14" t="s">
        <v>27</v>
      </c>
    </row>
    <row r="49" spans="1:1" x14ac:dyDescent="0.25">
      <c r="A49" s="16" t="s">
        <v>57</v>
      </c>
    </row>
    <row r="50" spans="1:1" x14ac:dyDescent="0.25">
      <c r="A50" s="1" t="s">
        <v>58</v>
      </c>
    </row>
    <row r="51" spans="1:1" x14ac:dyDescent="0.25">
      <c r="A51" s="1" t="s">
        <v>59</v>
      </c>
    </row>
    <row r="52" spans="1:1" x14ac:dyDescent="0.25">
      <c r="A52" s="1" t="s">
        <v>60</v>
      </c>
    </row>
    <row r="53" spans="1:1" x14ac:dyDescent="0.25">
      <c r="A53" s="1" t="s">
        <v>61</v>
      </c>
    </row>
    <row r="54" spans="1:1" x14ac:dyDescent="0.25">
      <c r="A54" s="1" t="s">
        <v>62</v>
      </c>
    </row>
    <row r="55" spans="1:1" x14ac:dyDescent="0.25">
      <c r="A55" s="1" t="s">
        <v>63</v>
      </c>
    </row>
    <row r="56" spans="1:1" x14ac:dyDescent="0.25">
      <c r="A56" s="1" t="s">
        <v>64</v>
      </c>
    </row>
    <row r="57" spans="1:1" x14ac:dyDescent="0.25">
      <c r="A57" s="1" t="s">
        <v>441</v>
      </c>
    </row>
  </sheetData>
  <mergeCells count="1">
    <mergeCell ref="A7:M7"/>
  </mergeCells>
  <conditionalFormatting sqref="A12:B47">
    <cfRule type="expression" dxfId="16" priority="22">
      <formula>"(blank)"</formula>
    </cfRule>
  </conditionalFormatting>
  <conditionalFormatting sqref="A12:B47">
    <cfRule type="expression" dxfId="15" priority="23">
      <formula>#REF!</formula>
    </cfRule>
  </conditionalFormatting>
  <conditionalFormatting sqref="M1:M6 M8:M1048576">
    <cfRule type="cellIs" dxfId="14" priority="18" operator="equal">
      <formula>"No"</formula>
    </cfRule>
    <cfRule type="cellIs" dxfId="13" priority="19" operator="equal">
      <formula>"Yes"</formula>
    </cfRule>
  </conditionalFormatting>
  <conditionalFormatting sqref="H12:H47">
    <cfRule type="cellIs" dxfId="12" priority="11" operator="lessThan">
      <formula>0.6</formula>
    </cfRule>
  </conditionalFormatting>
  <conditionalFormatting sqref="I12:I47">
    <cfRule type="cellIs" dxfId="11" priority="10" operator="lessThan">
      <formula>0.6</formula>
    </cfRule>
  </conditionalFormatting>
  <conditionalFormatting sqref="J12:J47">
    <cfRule type="cellIs" dxfId="10" priority="9" operator="lessThan">
      <formula>0.8</formula>
    </cfRule>
  </conditionalFormatting>
  <conditionalFormatting sqref="K12:K47">
    <cfRule type="cellIs" dxfId="9" priority="8" operator="lessThan">
      <formula>0.8</formula>
    </cfRule>
  </conditionalFormatting>
  <conditionalFormatting sqref="L12:L47">
    <cfRule type="cellIs" dxfId="8" priority="5" operator="equal">
      <formula>"Yes"</formula>
    </cfRule>
  </conditionalFormatting>
  <conditionalFormatting sqref="E12:F47">
    <cfRule type="cellIs" dxfId="7" priority="4" operator="equal">
      <formula>"No"</formula>
    </cfRule>
  </conditionalFormatting>
  <conditionalFormatting sqref="C1:C1048576">
    <cfRule type="cellIs" dxfId="6" priority="3" operator="equal">
      <formula>"No"</formula>
    </cfRule>
  </conditionalFormatting>
  <conditionalFormatting sqref="D12:D47">
    <cfRule type="cellIs" dxfId="5" priority="2" operator="equal">
      <formula>"BB-"</formula>
    </cfRule>
    <cfRule type="cellIs" dxfId="4" priority="1" operator="equal">
      <formula>"BB *-"</formula>
    </cfRule>
  </conditionalFormatting>
  <pageMargins left="0.7" right="0.7" top="0.75" bottom="0.75" header="0.3" footer="0.3"/>
  <pageSetup orientation="portrait" r:id="rId1"/>
  <headerFooter>
    <oddHeader>&amp;RDocket No. 20210015-El
OPC's 3rd INTs to FPL
Response to Question No. 147 - Full Proxy Group Screen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E47E-47C0-4518-B666-076356C29D95}">
  <dimension ref="A1:F52"/>
  <sheetViews>
    <sheetView zoomScaleNormal="100" workbookViewId="0">
      <selection activeCell="H14" sqref="H14"/>
    </sheetView>
  </sheetViews>
  <sheetFormatPr defaultRowHeight="15" x14ac:dyDescent="0.25"/>
  <cols>
    <col min="1" max="1" width="32.7109375" style="1" customWidth="1"/>
    <col min="2" max="6" width="10.7109375" style="1" customWidth="1"/>
  </cols>
  <sheetData>
    <row r="1" spans="1:6" x14ac:dyDescent="0.25">
      <c r="A1" s="207" t="s">
        <v>444</v>
      </c>
    </row>
    <row r="2" spans="1:6" x14ac:dyDescent="0.25">
      <c r="A2" s="207" t="s">
        <v>442</v>
      </c>
    </row>
    <row r="6" spans="1:6" x14ac:dyDescent="0.25">
      <c r="A6" s="200" t="s">
        <v>430</v>
      </c>
      <c r="B6" s="200"/>
      <c r="C6" s="200"/>
      <c r="D6" s="200"/>
      <c r="E6" s="200"/>
      <c r="F6" s="200"/>
    </row>
    <row r="8" spans="1:6" ht="15.75" thickBot="1" x14ac:dyDescent="0.3">
      <c r="C8" s="2" t="s">
        <v>1</v>
      </c>
      <c r="D8" s="2" t="s">
        <v>2</v>
      </c>
      <c r="E8" s="2" t="s">
        <v>3</v>
      </c>
      <c r="F8" s="2"/>
    </row>
    <row r="9" spans="1:6" ht="64.5" x14ac:dyDescent="0.25">
      <c r="A9" s="3" t="s">
        <v>11</v>
      </c>
      <c r="B9" s="4" t="s">
        <v>12</v>
      </c>
      <c r="C9" s="5" t="s">
        <v>65</v>
      </c>
      <c r="D9" s="5" t="s">
        <v>66</v>
      </c>
      <c r="E9" s="5" t="s">
        <v>67</v>
      </c>
      <c r="F9" s="5" t="s">
        <v>73</v>
      </c>
    </row>
    <row r="10" spans="1:6" x14ac:dyDescent="0.25">
      <c r="C10" s="2"/>
      <c r="D10" s="7"/>
      <c r="E10" s="7"/>
      <c r="F10" s="7"/>
    </row>
    <row r="11" spans="1:6" x14ac:dyDescent="0.25">
      <c r="A11" s="9" t="s">
        <v>23</v>
      </c>
      <c r="B11" s="10" t="s">
        <v>24</v>
      </c>
      <c r="C11" s="17">
        <v>7.0000000000000007E-2</v>
      </c>
      <c r="D11" s="17" t="s">
        <v>68</v>
      </c>
      <c r="E11" s="17">
        <v>4.4999999999999998E-2</v>
      </c>
      <c r="F11" s="2" t="str">
        <f>IF(COUNTIF($C11:$E11, "&gt;0")&gt;=2, "Yes", "No")</f>
        <v>Yes</v>
      </c>
    </row>
    <row r="12" spans="1:6" x14ac:dyDescent="0.25">
      <c r="A12" s="9" t="s">
        <v>28</v>
      </c>
      <c r="B12" s="10" t="s">
        <v>29</v>
      </c>
      <c r="C12" s="17">
        <v>5.7000000000000002E-2</v>
      </c>
      <c r="D12" s="17">
        <v>5.8000000000000003E-2</v>
      </c>
      <c r="E12" s="17">
        <v>5.5E-2</v>
      </c>
      <c r="F12" s="2" t="str">
        <f t="shared" ref="F12:F46" si="0">IF(COUNTIF($C12:$E12, "&gt;0")&gt;=2, "Yes", "No")</f>
        <v>Yes</v>
      </c>
    </row>
    <row r="13" spans="1:6" x14ac:dyDescent="0.25">
      <c r="A13" s="9" t="s">
        <v>31</v>
      </c>
      <c r="B13" s="10" t="s">
        <v>32</v>
      </c>
      <c r="C13" s="17">
        <v>6.6000000000000003E-2</v>
      </c>
      <c r="D13" s="17">
        <v>6.8000000000000005E-2</v>
      </c>
      <c r="E13" s="17">
        <v>0.06</v>
      </c>
      <c r="F13" s="2" t="str">
        <f t="shared" si="0"/>
        <v>Yes</v>
      </c>
    </row>
    <row r="14" spans="1:6" x14ac:dyDescent="0.25">
      <c r="A14" s="9" t="s">
        <v>34</v>
      </c>
      <c r="B14" s="10" t="s">
        <v>35</v>
      </c>
      <c r="C14" s="17">
        <v>0.06</v>
      </c>
      <c r="D14" s="17">
        <v>5.8000000000000003E-2</v>
      </c>
      <c r="E14" s="17">
        <v>0.06</v>
      </c>
      <c r="F14" s="2" t="str">
        <f t="shared" si="0"/>
        <v>Yes</v>
      </c>
    </row>
    <row r="15" spans="1:6" x14ac:dyDescent="0.25">
      <c r="A15" s="9" t="s">
        <v>36</v>
      </c>
      <c r="B15" s="10" t="s">
        <v>37</v>
      </c>
      <c r="C15" s="17">
        <v>4.99E-2</v>
      </c>
      <c r="D15" s="17">
        <v>5.1999999999999998E-2</v>
      </c>
      <c r="E15" s="17">
        <v>0.05</v>
      </c>
      <c r="F15" s="2" t="str">
        <f t="shared" si="0"/>
        <v>Yes</v>
      </c>
    </row>
    <row r="16" spans="1:6" x14ac:dyDescent="0.25">
      <c r="A16" s="9" t="s">
        <v>38</v>
      </c>
      <c r="B16" s="10" t="s">
        <v>39</v>
      </c>
      <c r="C16" s="17" t="s">
        <v>69</v>
      </c>
      <c r="D16" s="17">
        <v>3.1E-2</v>
      </c>
      <c r="E16" s="17">
        <v>0.12</v>
      </c>
      <c r="F16" s="2" t="str">
        <f t="shared" si="0"/>
        <v>Yes</v>
      </c>
    </row>
    <row r="17" spans="1:6" x14ac:dyDescent="0.25">
      <c r="A17" s="9" t="s">
        <v>40</v>
      </c>
      <c r="B17" s="10" t="s">
        <v>41</v>
      </c>
      <c r="C17" s="17">
        <v>5.1499999999999997E-2</v>
      </c>
      <c r="D17" s="17">
        <v>5.1999999999999998E-2</v>
      </c>
      <c r="E17" s="17">
        <v>0.03</v>
      </c>
      <c r="F17" s="2" t="str">
        <f t="shared" si="0"/>
        <v>Yes</v>
      </c>
    </row>
    <row r="18" spans="1:6" x14ac:dyDescent="0.25">
      <c r="A18" s="9" t="s">
        <v>42</v>
      </c>
      <c r="B18" s="10" t="s">
        <v>43</v>
      </c>
      <c r="C18" s="17">
        <v>5.8999999999999997E-2</v>
      </c>
      <c r="D18" s="17">
        <v>6.0999999999999999E-2</v>
      </c>
      <c r="E18" s="17">
        <v>7.4999999999999997E-2</v>
      </c>
      <c r="F18" s="2" t="str">
        <f t="shared" si="0"/>
        <v>Yes</v>
      </c>
    </row>
    <row r="19" spans="1:6" x14ac:dyDescent="0.25">
      <c r="A19" s="9" t="s">
        <v>44</v>
      </c>
      <c r="B19" s="10" t="s">
        <v>45</v>
      </c>
      <c r="C19" s="17">
        <v>1.2999999999999999E-2</v>
      </c>
      <c r="D19" s="17">
        <v>2.5000000000000001E-2</v>
      </c>
      <c r="E19" s="17">
        <v>1.4999999999999999E-2</v>
      </c>
      <c r="F19" s="2" t="str">
        <f t="shared" si="0"/>
        <v>Yes</v>
      </c>
    </row>
    <row r="20" spans="1:6" x14ac:dyDescent="0.25">
      <c r="A20" s="9" t="s">
        <v>47</v>
      </c>
      <c r="B20" s="10" t="s">
        <v>48</v>
      </c>
      <c r="C20" s="17">
        <v>2.5999999999999999E-2</v>
      </c>
      <c r="D20" s="17">
        <v>2.5999999999999999E-2</v>
      </c>
      <c r="E20" s="17">
        <v>4.4999999999999998E-2</v>
      </c>
      <c r="F20" s="2" t="str">
        <f t="shared" si="0"/>
        <v>Yes</v>
      </c>
    </row>
    <row r="21" spans="1:6" x14ac:dyDescent="0.25">
      <c r="A21" s="9" t="s">
        <v>49</v>
      </c>
      <c r="B21" s="10" t="s">
        <v>50</v>
      </c>
      <c r="C21" s="17">
        <v>2.1000000000000001E-2</v>
      </c>
      <c r="D21" s="17">
        <v>3.5999999999999997E-2</v>
      </c>
      <c r="E21" s="17">
        <v>0.03</v>
      </c>
      <c r="F21" s="2" t="str">
        <f t="shared" si="0"/>
        <v>Yes</v>
      </c>
    </row>
    <row r="22" spans="1:6" x14ac:dyDescent="0.25">
      <c r="A22" s="9" t="s">
        <v>51</v>
      </c>
      <c r="B22" s="10" t="s">
        <v>52</v>
      </c>
      <c r="C22" s="17">
        <v>3.5000000000000003E-2</v>
      </c>
      <c r="D22" s="17">
        <v>3.4000000000000002E-2</v>
      </c>
      <c r="E22" s="17">
        <v>4.4999999999999998E-2</v>
      </c>
      <c r="F22" s="2" t="str">
        <f t="shared" si="0"/>
        <v>Yes</v>
      </c>
    </row>
    <row r="23" spans="1:6" x14ac:dyDescent="0.25">
      <c r="A23" s="9" t="s">
        <v>53</v>
      </c>
      <c r="B23" s="10" t="s">
        <v>54</v>
      </c>
      <c r="C23" s="17">
        <v>0.13400000000000001</v>
      </c>
      <c r="D23" s="17">
        <v>0.13400000000000001</v>
      </c>
      <c r="E23" s="17">
        <v>0.04</v>
      </c>
      <c r="F23" s="2" t="str">
        <f t="shared" si="0"/>
        <v>Yes</v>
      </c>
    </row>
    <row r="24" spans="1:6" x14ac:dyDescent="0.25">
      <c r="A24" s="9" t="s">
        <v>55</v>
      </c>
      <c r="B24" s="10" t="s">
        <v>56</v>
      </c>
      <c r="C24" s="17">
        <v>6.2E-2</v>
      </c>
      <c r="D24" s="17">
        <v>6.0999999999999999E-2</v>
      </c>
      <c r="E24" s="17">
        <v>0.06</v>
      </c>
      <c r="F24" s="2" t="str">
        <f t="shared" si="0"/>
        <v>Yes</v>
      </c>
    </row>
    <row r="25" spans="1:6" x14ac:dyDescent="0.25">
      <c r="A25" s="9" t="s">
        <v>119</v>
      </c>
      <c r="B25" s="10" t="s">
        <v>121</v>
      </c>
      <c r="C25" s="17">
        <v>3.2000000000000001E-2</v>
      </c>
      <c r="D25" s="17">
        <v>4.5999999999999999E-2</v>
      </c>
      <c r="E25" s="17">
        <v>0.06</v>
      </c>
      <c r="F25" s="191" t="str">
        <f t="shared" si="0"/>
        <v>Yes</v>
      </c>
    </row>
    <row r="26" spans="1:6" x14ac:dyDescent="0.25">
      <c r="A26" s="9" t="s">
        <v>124</v>
      </c>
      <c r="B26" s="10" t="s">
        <v>126</v>
      </c>
      <c r="C26" s="17">
        <v>0.06</v>
      </c>
      <c r="D26" s="17">
        <v>6.9000000000000006E-2</v>
      </c>
      <c r="E26" s="17">
        <v>0.01</v>
      </c>
      <c r="F26" s="191" t="str">
        <f t="shared" si="0"/>
        <v>Yes</v>
      </c>
    </row>
    <row r="27" spans="1:6" x14ac:dyDescent="0.25">
      <c r="A27" s="9" t="s">
        <v>130</v>
      </c>
      <c r="B27" s="10" t="s">
        <v>132</v>
      </c>
      <c r="C27" s="17">
        <v>4.6800000000000001E-2</v>
      </c>
      <c r="D27" s="17">
        <v>5.1999999999999998E-2</v>
      </c>
      <c r="E27" s="17">
        <v>3.5000000000000003E-2</v>
      </c>
      <c r="F27" s="191" t="str">
        <f t="shared" si="0"/>
        <v>Yes</v>
      </c>
    </row>
    <row r="28" spans="1:6" x14ac:dyDescent="0.25">
      <c r="A28" s="9" t="s">
        <v>138</v>
      </c>
      <c r="B28" s="10" t="s">
        <v>140</v>
      </c>
      <c r="C28" s="17" t="s">
        <v>69</v>
      </c>
      <c r="D28" s="17">
        <v>0.05</v>
      </c>
      <c r="E28" s="17">
        <v>0.05</v>
      </c>
      <c r="F28" s="191" t="str">
        <f t="shared" si="0"/>
        <v>Yes</v>
      </c>
    </row>
    <row r="29" spans="1:6" x14ac:dyDescent="0.25">
      <c r="A29" s="9" t="s">
        <v>145</v>
      </c>
      <c r="B29" s="10" t="s">
        <v>147</v>
      </c>
      <c r="C29" s="17">
        <v>7.2599999999999998E-2</v>
      </c>
      <c r="D29" s="17">
        <v>6.9000000000000006E-2</v>
      </c>
      <c r="E29" s="17">
        <v>7.4999999999999997E-2</v>
      </c>
      <c r="F29" s="191" t="str">
        <f t="shared" si="0"/>
        <v>Yes</v>
      </c>
    </row>
    <row r="30" spans="1:6" x14ac:dyDescent="0.25">
      <c r="A30" s="9" t="s">
        <v>151</v>
      </c>
      <c r="B30" s="10" t="s">
        <v>155</v>
      </c>
      <c r="C30" s="17">
        <v>2.9499999999999998E-2</v>
      </c>
      <c r="D30" s="17">
        <v>0.02</v>
      </c>
      <c r="E30" s="17">
        <v>2.5000000000000001E-2</v>
      </c>
      <c r="F30" s="191" t="str">
        <f t="shared" si="0"/>
        <v>Yes</v>
      </c>
    </row>
    <row r="31" spans="1:6" x14ac:dyDescent="0.25">
      <c r="A31" s="9" t="s">
        <v>161</v>
      </c>
      <c r="B31" s="10" t="s">
        <v>163</v>
      </c>
      <c r="C31" s="17">
        <v>2.7799999999999998E-2</v>
      </c>
      <c r="D31" s="17">
        <v>6.7000000000000004E-2</v>
      </c>
      <c r="E31" s="17">
        <v>7.0000000000000007E-2</v>
      </c>
      <c r="F31" s="191" t="str">
        <f t="shared" si="0"/>
        <v>Yes</v>
      </c>
    </row>
    <row r="32" spans="1:6" x14ac:dyDescent="0.25">
      <c r="A32" s="9" t="s">
        <v>178</v>
      </c>
      <c r="B32" s="10" t="s">
        <v>181</v>
      </c>
      <c r="C32" s="17">
        <v>6.0499999999999998E-2</v>
      </c>
      <c r="D32" s="17">
        <v>5.7000000000000002E-2</v>
      </c>
      <c r="E32" s="17">
        <v>0.06</v>
      </c>
      <c r="F32" s="191" t="str">
        <f t="shared" si="0"/>
        <v>Yes</v>
      </c>
    </row>
    <row r="33" spans="1:6" x14ac:dyDescent="0.25">
      <c r="A33" s="9" t="s">
        <v>199</v>
      </c>
      <c r="B33" s="10" t="s">
        <v>201</v>
      </c>
      <c r="C33" s="17">
        <v>7.0499999999999993E-2</v>
      </c>
      <c r="D33" s="17">
        <v>6.8000000000000005E-2</v>
      </c>
      <c r="E33" s="17">
        <v>6.5000000000000002E-2</v>
      </c>
      <c r="F33" s="191" t="str">
        <f t="shared" si="0"/>
        <v>Yes</v>
      </c>
    </row>
    <row r="34" spans="1:6" x14ac:dyDescent="0.25">
      <c r="A34" s="9" t="s">
        <v>206</v>
      </c>
      <c r="B34" s="10" t="s">
        <v>208</v>
      </c>
      <c r="C34" s="17" t="s">
        <v>69</v>
      </c>
      <c r="D34" s="17">
        <v>0.03</v>
      </c>
      <c r="E34" s="17">
        <v>0.04</v>
      </c>
      <c r="F34" s="191" t="str">
        <f t="shared" si="0"/>
        <v>Yes</v>
      </c>
    </row>
    <row r="35" spans="1:6" x14ac:dyDescent="0.25">
      <c r="A35" s="9" t="s">
        <v>431</v>
      </c>
      <c r="B35" s="10" t="s">
        <v>216</v>
      </c>
      <c r="C35" s="17" t="s">
        <v>69</v>
      </c>
      <c r="D35" s="17" t="s">
        <v>68</v>
      </c>
      <c r="E35" s="17">
        <v>8.5000000000000006E-2</v>
      </c>
      <c r="F35" s="191" t="str">
        <f t="shared" si="0"/>
        <v>No</v>
      </c>
    </row>
    <row r="36" spans="1:6" x14ac:dyDescent="0.25">
      <c r="A36" s="9" t="s">
        <v>226</v>
      </c>
      <c r="B36" s="10" t="s">
        <v>228</v>
      </c>
      <c r="C36" s="17">
        <v>4.7E-2</v>
      </c>
      <c r="D36" s="17">
        <v>4.7E-2</v>
      </c>
      <c r="E36" s="17">
        <v>0.04</v>
      </c>
      <c r="F36" s="191" t="str">
        <f t="shared" si="0"/>
        <v>Yes</v>
      </c>
    </row>
    <row r="37" spans="1:6" x14ac:dyDescent="0.25">
      <c r="A37" s="9" t="s">
        <v>233</v>
      </c>
      <c r="B37" s="10" t="s">
        <v>235</v>
      </c>
      <c r="C37" s="17">
        <v>8.6300000000000002E-2</v>
      </c>
      <c r="D37" s="17">
        <v>7.8E-2</v>
      </c>
      <c r="E37" s="17">
        <v>0.105</v>
      </c>
      <c r="F37" s="191" t="str">
        <f t="shared" si="0"/>
        <v>Yes</v>
      </c>
    </row>
    <row r="38" spans="1:6" x14ac:dyDescent="0.25">
      <c r="A38" s="9" t="s">
        <v>239</v>
      </c>
      <c r="B38" s="10" t="s">
        <v>241</v>
      </c>
      <c r="C38" s="17">
        <v>4.6600000000000003E-2</v>
      </c>
      <c r="D38" s="17">
        <v>5.2999999999999999E-2</v>
      </c>
      <c r="E38" s="17">
        <v>2.5000000000000001E-2</v>
      </c>
      <c r="F38" s="191" t="str">
        <f t="shared" si="0"/>
        <v>Yes</v>
      </c>
    </row>
    <row r="39" spans="1:6" x14ac:dyDescent="0.25">
      <c r="A39" s="9" t="s">
        <v>247</v>
      </c>
      <c r="B39" s="10" t="s">
        <v>250</v>
      </c>
      <c r="C39" s="17">
        <v>0.09</v>
      </c>
      <c r="D39" s="17" t="s">
        <v>68</v>
      </c>
      <c r="E39" s="17">
        <v>6.5000000000000002E-2</v>
      </c>
      <c r="F39" s="191" t="str">
        <f t="shared" si="0"/>
        <v>Yes</v>
      </c>
    </row>
    <row r="40" spans="1:6" x14ac:dyDescent="0.25">
      <c r="A40" s="9" t="s">
        <v>255</v>
      </c>
      <c r="B40" s="10" t="s">
        <v>257</v>
      </c>
      <c r="C40" s="17">
        <v>2.5000000000000001E-2</v>
      </c>
      <c r="D40" s="17">
        <v>2.5000000000000001E-2</v>
      </c>
      <c r="E40" s="17" t="s">
        <v>439</v>
      </c>
      <c r="F40" s="191" t="str">
        <f t="shared" si="0"/>
        <v>Yes</v>
      </c>
    </row>
    <row r="41" spans="1:6" x14ac:dyDescent="0.25">
      <c r="A41" s="9" t="s">
        <v>267</v>
      </c>
      <c r="B41" s="10" t="s">
        <v>269</v>
      </c>
      <c r="C41" s="17">
        <v>4.5499999999999999E-2</v>
      </c>
      <c r="D41" s="17">
        <v>4.9000000000000002E-2</v>
      </c>
      <c r="E41" s="17">
        <v>7.4999999999999997E-2</v>
      </c>
      <c r="F41" s="191" t="str">
        <f t="shared" si="0"/>
        <v>Yes</v>
      </c>
    </row>
    <row r="42" spans="1:6" x14ac:dyDescent="0.25">
      <c r="A42" s="9" t="s">
        <v>274</v>
      </c>
      <c r="B42" s="10" t="s">
        <v>276</v>
      </c>
      <c r="C42" s="17" t="s">
        <v>69</v>
      </c>
      <c r="D42" s="17" t="s">
        <v>68</v>
      </c>
      <c r="E42" s="17">
        <v>2.5000000000000001E-2</v>
      </c>
      <c r="F42" s="191" t="str">
        <f t="shared" si="0"/>
        <v>No</v>
      </c>
    </row>
    <row r="43" spans="1:6" x14ac:dyDescent="0.25">
      <c r="A43" s="9" t="s">
        <v>432</v>
      </c>
      <c r="B43" s="10" t="s">
        <v>282</v>
      </c>
      <c r="C43" s="17">
        <v>0.03</v>
      </c>
      <c r="D43" s="17">
        <v>0.03</v>
      </c>
      <c r="E43" s="17">
        <v>0.05</v>
      </c>
      <c r="F43" s="191" t="str">
        <f t="shared" si="0"/>
        <v>Yes</v>
      </c>
    </row>
    <row r="44" spans="1:6" x14ac:dyDescent="0.25">
      <c r="A44" s="9" t="s">
        <v>285</v>
      </c>
      <c r="B44" s="10" t="s">
        <v>287</v>
      </c>
      <c r="C44" s="17">
        <v>8.5000000000000006E-2</v>
      </c>
      <c r="D44" s="17">
        <v>7.2999999999999995E-2</v>
      </c>
      <c r="E44" s="17">
        <v>0.11</v>
      </c>
      <c r="F44" s="191" t="str">
        <f t="shared" si="0"/>
        <v>Yes</v>
      </c>
    </row>
    <row r="45" spans="1:6" x14ac:dyDescent="0.25">
      <c r="A45" s="9" t="s">
        <v>306</v>
      </c>
      <c r="B45" s="10" t="s">
        <v>308</v>
      </c>
      <c r="C45" s="17">
        <v>6.4899999999999999E-2</v>
      </c>
      <c r="D45" s="17">
        <v>0.05</v>
      </c>
      <c r="E45" s="17">
        <v>3.5000000000000003E-2</v>
      </c>
      <c r="F45" s="191" t="str">
        <f t="shared" si="0"/>
        <v>Yes</v>
      </c>
    </row>
    <row r="46" spans="1:6" x14ac:dyDescent="0.25">
      <c r="A46" s="9" t="s">
        <v>433</v>
      </c>
      <c r="B46" s="10" t="s">
        <v>314</v>
      </c>
      <c r="C46" s="17">
        <v>6.1400000000000003E-2</v>
      </c>
      <c r="D46" s="17">
        <v>6.0999999999999999E-2</v>
      </c>
      <c r="E46" s="17">
        <v>0.06</v>
      </c>
      <c r="F46" s="191" t="str">
        <f t="shared" si="0"/>
        <v>Yes</v>
      </c>
    </row>
    <row r="47" spans="1:6" ht="15.75" thickBot="1" x14ac:dyDescent="0.3">
      <c r="A47" s="12"/>
      <c r="B47" s="13"/>
      <c r="C47" s="13"/>
      <c r="D47" s="14"/>
      <c r="E47" s="14"/>
      <c r="F47" s="14"/>
    </row>
    <row r="49" spans="1:1" x14ac:dyDescent="0.25">
      <c r="A49" s="16" t="s">
        <v>57</v>
      </c>
    </row>
    <row r="50" spans="1:1" x14ac:dyDescent="0.25">
      <c r="A50" s="1" t="s">
        <v>70</v>
      </c>
    </row>
    <row r="51" spans="1:1" x14ac:dyDescent="0.25">
      <c r="A51" s="1" t="s">
        <v>71</v>
      </c>
    </row>
    <row r="52" spans="1:1" x14ac:dyDescent="0.25">
      <c r="A52" s="1" t="s">
        <v>72</v>
      </c>
    </row>
  </sheetData>
  <mergeCells count="1">
    <mergeCell ref="A6:F6"/>
  </mergeCells>
  <phoneticPr fontId="4" type="noConversion"/>
  <conditionalFormatting sqref="A11:B47">
    <cfRule type="expression" dxfId="3" priority="3">
      <formula>"(blank)"</formula>
    </cfRule>
  </conditionalFormatting>
  <conditionalFormatting sqref="A11:B47">
    <cfRule type="expression" dxfId="2" priority="4">
      <formula>#REF!</formula>
    </cfRule>
  </conditionalFormatting>
  <conditionalFormatting sqref="C47">
    <cfRule type="expression" dxfId="1" priority="1">
      <formula>"(blank)"</formula>
    </cfRule>
  </conditionalFormatting>
  <conditionalFormatting sqref="C47">
    <cfRule type="expression" dxfId="0" priority="2">
      <formula>#REF!</formula>
    </cfRule>
  </conditionalFormatting>
  <pageMargins left="0.7" right="0.7" top="0.75" bottom="0.75" header="0.3" footer="0.3"/>
  <pageSetup orientation="portrait" r:id="rId1"/>
  <headerFooter>
    <oddHeader>&amp;RDocket No. 20210015-El
OPC's 3rd INTs to FPL
Response to Question No. 147 - Full Proxy Group Screen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1E39-33D9-4858-8171-18F7FFA9CD55}">
  <sheetPr codeName="Sheet17"/>
  <dimension ref="A1:AN632"/>
  <sheetViews>
    <sheetView showRuler="0" zoomScale="80" zoomScaleNormal="80" workbookViewId="0"/>
  </sheetViews>
  <sheetFormatPr defaultColWidth="9.140625" defaultRowHeight="12.75" x14ac:dyDescent="0.2"/>
  <cols>
    <col min="1" max="1" width="9.140625" style="23"/>
    <col min="2" max="2" width="9" style="58" customWidth="1"/>
    <col min="3" max="3" width="9.140625" style="39" customWidth="1"/>
    <col min="4" max="4" width="14.28515625" style="23" customWidth="1"/>
    <col min="5" max="6" width="14.28515625" style="27" customWidth="1"/>
    <col min="7" max="7" width="14.42578125" style="27" customWidth="1"/>
    <col min="8" max="8" width="14.7109375" style="27" customWidth="1"/>
    <col min="9" max="13" width="14.28515625" style="27" customWidth="1"/>
    <col min="14" max="15" width="14.28515625" style="23" customWidth="1"/>
    <col min="16" max="16" width="9.140625" style="23" customWidth="1"/>
    <col min="17" max="17" width="18.42578125" style="23" bestFit="1" customWidth="1"/>
    <col min="18" max="22" width="13.5703125" style="23" customWidth="1"/>
    <col min="23" max="24" width="10.7109375" style="23" customWidth="1"/>
    <col min="25" max="25" width="16.42578125" style="23" bestFit="1" customWidth="1"/>
    <col min="26" max="26" width="12.28515625" style="23" customWidth="1"/>
    <col min="27" max="27" width="17.140625" style="23" customWidth="1"/>
    <col min="28" max="29" width="12.85546875" style="23" bestFit="1" customWidth="1"/>
    <col min="30" max="16384" width="9.140625" style="23"/>
  </cols>
  <sheetData>
    <row r="1" spans="1:26" ht="14.25" x14ac:dyDescent="0.2">
      <c r="A1" s="207" t="s">
        <v>445</v>
      </c>
    </row>
    <row r="2" spans="1:26" ht="14.25" x14ac:dyDescent="0.2">
      <c r="A2" s="207" t="s">
        <v>442</v>
      </c>
    </row>
    <row r="6" spans="1:26" x14ac:dyDescent="0.2">
      <c r="A6" s="18" t="s">
        <v>23</v>
      </c>
      <c r="B6" s="21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1"/>
      <c r="O6" s="21"/>
      <c r="P6" s="21"/>
      <c r="Q6" s="21"/>
      <c r="R6" s="21"/>
    </row>
    <row r="7" spans="1:26" x14ac:dyDescent="0.2">
      <c r="A7" s="21" t="s">
        <v>94</v>
      </c>
      <c r="B7" s="21"/>
      <c r="C7" s="20"/>
      <c r="D7" s="21"/>
      <c r="E7" s="48"/>
      <c r="F7" s="48"/>
      <c r="G7" s="48"/>
      <c r="H7" s="48"/>
      <c r="I7" s="48"/>
      <c r="J7" s="48"/>
      <c r="K7" s="22"/>
      <c r="L7" s="22"/>
      <c r="M7" s="22"/>
      <c r="N7" s="21"/>
      <c r="O7" s="21"/>
      <c r="P7" s="21"/>
      <c r="Q7" s="21"/>
      <c r="R7" s="21"/>
    </row>
    <row r="8" spans="1:26" ht="63.75" x14ac:dyDescent="0.2">
      <c r="A8" s="18" t="s">
        <v>24</v>
      </c>
      <c r="B8" s="19"/>
      <c r="C8" s="20"/>
      <c r="D8" s="20" t="s">
        <v>75</v>
      </c>
      <c r="E8" s="44" t="s">
        <v>95</v>
      </c>
      <c r="F8" s="44" t="s">
        <v>96</v>
      </c>
      <c r="G8" s="44" t="s">
        <v>97</v>
      </c>
      <c r="H8" s="44" t="s">
        <v>90</v>
      </c>
      <c r="I8" s="44" t="s">
        <v>76</v>
      </c>
      <c r="J8" s="21"/>
      <c r="K8" s="22"/>
      <c r="L8" s="22"/>
      <c r="M8" s="22"/>
      <c r="N8" s="21"/>
      <c r="O8" s="21"/>
      <c r="P8" s="21"/>
      <c r="Q8" s="29"/>
      <c r="R8" s="30" t="s">
        <v>77</v>
      </c>
      <c r="S8" s="59" t="s">
        <v>78</v>
      </c>
      <c r="T8" s="59" t="s">
        <v>79</v>
      </c>
      <c r="U8" s="59" t="s">
        <v>80</v>
      </c>
      <c r="V8" s="59" t="s">
        <v>81</v>
      </c>
      <c r="W8" s="60"/>
      <c r="X8" s="60"/>
    </row>
    <row r="9" spans="1:26" x14ac:dyDescent="0.2">
      <c r="A9" s="21"/>
      <c r="B9" s="19"/>
      <c r="C9" s="20">
        <v>2019</v>
      </c>
      <c r="D9" s="32">
        <f>SUM(E9:I9)</f>
        <v>1240500</v>
      </c>
      <c r="E9" s="44">
        <v>1042400</v>
      </c>
      <c r="F9" s="44">
        <f>48000+11600</f>
        <v>59600</v>
      </c>
      <c r="G9" s="46">
        <v>33400</v>
      </c>
      <c r="H9" s="46">
        <v>105100</v>
      </c>
      <c r="I9" s="46" t="s">
        <v>91</v>
      </c>
      <c r="J9" s="21"/>
      <c r="K9" s="22"/>
      <c r="L9" s="22"/>
      <c r="M9" s="22"/>
      <c r="N9" s="21"/>
      <c r="O9" s="21"/>
      <c r="P9" s="21"/>
      <c r="Q9" s="21" t="str">
        <f>$A$8&amp;C9&amp;"REV"</f>
        <v>ALE2019REV</v>
      </c>
      <c r="R9" s="61">
        <f>E9/D9</f>
        <v>0.84030632809351069</v>
      </c>
      <c r="S9" s="62">
        <f>SUMIF('FERC Form 1_2 Data'!$C$11:$C$179,$A6,'FERC Form 1_2 Data'!$D$11:$D$179)/SUM(SUMIF('FERC Form 1_2 Data'!$C$11:$C$179,$A6,'FERC Form 1_2 Data'!$D$11:$D$179),SUMIF('FERC Form 1_2 Data'!$C$11:$C$179,$A6,'FERC Form 1_2 Data'!$E$11:$E$179),SUMIF('FERC Form 1_2 Data'!$C$11:$C$179,$A6,'FERC Form 1_2 Data'!$F$11:$F$179))</f>
        <v>0.97618562510439666</v>
      </c>
      <c r="T9" s="62">
        <f>SUMIF('FERC Form 1_2 Data'!$C$11:$C$179,$A6,'FERC Form 1_2 Data'!$E$11:$E$179)/SUM(SUMIF('FERC Form 1_2 Data'!$C$11:$C$179,$A6,'FERC Form 1_2 Data'!$D$11:$D$179),SUMIF('FERC Form 1_2 Data'!$C$11:$C$179,$A6,'FERC Form 1_2 Data'!$E$11:$E$179),SUMIF('FERC Form 1_2 Data'!$C$11:$C$179,$A6,'FERC Form 1_2 Data'!$F$11:$F$179))</f>
        <v>1.4798172530318633E-2</v>
      </c>
      <c r="U9" s="63">
        <f>IF(OR(ISBLANK($R9),ISBLANK(S9)),"NA",$R9*S9)</f>
        <v>0.820294958169144</v>
      </c>
      <c r="V9" s="63">
        <f>IF(OR(ISBLANK($R9),ISBLANK(T9)),"NA",$R9*T9)</f>
        <v>1.2434998021446306E-2</v>
      </c>
      <c r="W9" s="63"/>
      <c r="X9" s="63"/>
    </row>
    <row r="10" spans="1:26" x14ac:dyDescent="0.2">
      <c r="A10" s="21"/>
      <c r="B10" s="19" t="s">
        <v>82</v>
      </c>
      <c r="C10" s="20">
        <v>2018</v>
      </c>
      <c r="D10" s="32">
        <f>SUM(E10:I10)</f>
        <v>1498600</v>
      </c>
      <c r="E10" s="44">
        <v>1059500</v>
      </c>
      <c r="F10" s="44">
        <f>136300+23600</f>
        <v>159900</v>
      </c>
      <c r="G10" s="46">
        <v>172100</v>
      </c>
      <c r="H10" s="46">
        <v>107100</v>
      </c>
      <c r="I10" s="46" t="s">
        <v>91</v>
      </c>
      <c r="J10" s="21"/>
      <c r="K10" s="22"/>
      <c r="L10" s="22"/>
      <c r="M10" s="22"/>
      <c r="N10" s="21"/>
      <c r="O10" s="21"/>
      <c r="P10" s="21"/>
      <c r="Q10" s="21" t="str">
        <f>$A$8&amp;C10&amp;"REV"</f>
        <v>ALE2018REV</v>
      </c>
      <c r="R10" s="61">
        <f>E10/D10</f>
        <v>0.70699319364740421</v>
      </c>
      <c r="S10" s="62">
        <f>SUMIF('FERC Form 1_2 Data'!$C$11:$C$179,$A6,'FERC Form 1_2 Data'!$G$11:$G$179)/SUM(SUMIF('FERC Form 1_2 Data'!$C$11:$C$179,$A6,'FERC Form 1_2 Data'!$G$11:$G$179),SUMIF('FERC Form 1_2 Data'!$C$11:$C$179,$A6,'FERC Form 1_2 Data'!$H$11:$H$179),SUMIF('FERC Form 1_2 Data'!$C$11:$C$179,$A6,'FERC Form 1_2 Data'!$I$11:$I$179))</f>
        <v>0.97669813920068282</v>
      </c>
      <c r="T10" s="62">
        <f>SUMIF('FERC Form 1_2 Data'!$C$11:$C$179,$A6,'FERC Form 1_2 Data'!$H$11:$H$179)/SUM(SUMIF('FERC Form 1_2 Data'!$C$11:$C$179,$A6,'FERC Form 1_2 Data'!$G$11:$G$179),SUMIF('FERC Form 1_2 Data'!$C$11:$C$179,$A6,'FERC Form 1_2 Data'!$H$11:$H$179),SUMIF('FERC Form 1_2 Data'!$C$11:$C$179,$A6,'FERC Form 1_2 Data'!$I$11:$I$179))</f>
        <v>1.5321475457366212E-2</v>
      </c>
      <c r="U10" s="63">
        <f t="shared" ref="U10:V11" si="0">IF(OR(ISBLANK($R10),ISBLANK(S10)),"NA",$R10*S10)</f>
        <v>0.69051893666296771</v>
      </c>
      <c r="V10" s="63">
        <f t="shared" si="0"/>
        <v>1.0832178864993661E-2</v>
      </c>
      <c r="W10" s="63"/>
      <c r="X10" s="63"/>
    </row>
    <row r="11" spans="1:26" x14ac:dyDescent="0.2">
      <c r="A11" s="21"/>
      <c r="B11" s="19"/>
      <c r="C11" s="20">
        <v>2017</v>
      </c>
      <c r="D11" s="32">
        <f t="shared" ref="D11" si="1">SUM(E11:I11)</f>
        <v>1419300</v>
      </c>
      <c r="E11" s="46">
        <v>1063800</v>
      </c>
      <c r="F11" s="46">
        <v>80500</v>
      </c>
      <c r="G11" s="43">
        <v>151800</v>
      </c>
      <c r="H11" s="43">
        <v>123200</v>
      </c>
      <c r="I11" s="43">
        <v>0</v>
      </c>
      <c r="J11" s="21"/>
      <c r="K11" s="22"/>
      <c r="L11" s="22"/>
      <c r="M11" s="22"/>
      <c r="N11" s="21"/>
      <c r="O11" s="21"/>
      <c r="P11" s="21"/>
      <c r="Q11" s="21" t="str">
        <f>$A$8&amp;C11&amp;"REV"</f>
        <v>ALE2017REV</v>
      </c>
      <c r="R11" s="61">
        <f>E11/D11</f>
        <v>0.74952441344324672</v>
      </c>
      <c r="S11" s="62">
        <f>SUMIF('FERC Form 1_2 Data'!$C$11:$C$179,$A6,'FERC Form 1_2 Data'!$J$11:$J$179)/SUM(SUMIF('FERC Form 1_2 Data'!$C$11:$C$179,$A6,'FERC Form 1_2 Data'!$J$11:$J$179),SUMIF('FERC Form 1_2 Data'!$C$11:$C$179,$A6,'FERC Form 1_2 Data'!$K$11:$K$179),SUMIF('FERC Form 1_2 Data'!$C$11:$C$179,$A6,'FERC Form 1_2 Data'!$L$11:$L$179))</f>
        <v>0.97690293580909704</v>
      </c>
      <c r="T11" s="62">
        <f>SUMIF('FERC Form 1_2 Data'!$C$11:$C$179,$A6,'FERC Form 1_2 Data'!$K$11:$K$179)/SUM(SUMIF('FERC Form 1_2 Data'!$C$11:$C$179,$A6,'FERC Form 1_2 Data'!$J$11:$J$179),SUMIF('FERC Form 1_2 Data'!$C$11:$C$179,$A6,'FERC Form 1_2 Data'!$K$11:$K$179),SUMIF('FERC Form 1_2 Data'!$C$11:$C$179,$A6,'FERC Form 1_2 Data'!$L$11:$L$179))</f>
        <v>1.4410257278900527E-2</v>
      </c>
      <c r="U11" s="63">
        <f t="shared" si="0"/>
        <v>0.73221259995329913</v>
      </c>
      <c r="V11" s="63">
        <f t="shared" si="0"/>
        <v>1.0800839634534194E-2</v>
      </c>
      <c r="W11" s="63"/>
      <c r="X11" s="63"/>
    </row>
    <row r="12" spans="1:26" x14ac:dyDescent="0.2">
      <c r="A12" s="21"/>
      <c r="B12" s="19"/>
      <c r="D12" s="21"/>
      <c r="E12" s="48"/>
      <c r="F12" s="48"/>
      <c r="G12" s="43"/>
      <c r="H12" s="43"/>
      <c r="I12" s="21"/>
      <c r="J12" s="21"/>
      <c r="K12" s="22"/>
      <c r="L12" s="22"/>
      <c r="M12" s="22"/>
      <c r="N12" s="21"/>
      <c r="O12" s="21"/>
      <c r="P12" s="21"/>
      <c r="Q12" s="21"/>
      <c r="R12" s="21"/>
      <c r="Z12" s="64"/>
    </row>
    <row r="13" spans="1:26" x14ac:dyDescent="0.2">
      <c r="A13" s="21"/>
      <c r="B13" s="19"/>
      <c r="C13" s="20">
        <v>2019</v>
      </c>
      <c r="D13" s="56">
        <f>SUM(E13:I13)</f>
        <v>179800</v>
      </c>
      <c r="E13" s="48">
        <v>172200</v>
      </c>
      <c r="F13" s="48">
        <v>1200</v>
      </c>
      <c r="G13" s="43">
        <f>-1100+-400+200</f>
        <v>-1300</v>
      </c>
      <c r="H13" s="43">
        <f>19900+12800+8000</f>
        <v>40700</v>
      </c>
      <c r="I13" s="43">
        <v>-33000</v>
      </c>
      <c r="J13" s="21"/>
      <c r="K13" s="22"/>
      <c r="L13" s="22"/>
      <c r="M13" s="22"/>
      <c r="N13" s="21"/>
      <c r="O13" s="21"/>
      <c r="P13" s="21"/>
      <c r="Q13" s="21" t="str">
        <f>$A$8&amp;C13&amp;"INC"</f>
        <v>ALE2019INC</v>
      </c>
      <c r="R13" s="61">
        <f>E13/D13</f>
        <v>0.9577308120133482</v>
      </c>
      <c r="S13" s="62">
        <f>SUMIF('FERC Form 1_2 Data'!$C$11:$C$179,$A6,'FERC Form 1_2 Data'!$Y$11:$Y$179)/SUMIF('FERC Form 1_2 Data'!$C$11:$C$179,$A6,'FERC Form 1_2 Data'!$EA$11:$EA$179)</f>
        <v>0.96997478545518889</v>
      </c>
      <c r="T13" s="62">
        <f>SUMIF('FERC Form 1_2 Data'!$C$11:$C$179,$A6,'FERC Form 1_2 Data'!$BL$11:$BL$179)/SUMIF('FERC Form 1_2 Data'!$C$11:$C$179,$A6,'FERC Form 1_2 Data'!$EA$11:$EA$179)</f>
        <v>1.1363133681323542E-2</v>
      </c>
      <c r="U13" s="63">
        <f>IF(OR(ISBLANK($R13),ISBLANK(S13)),"NA",$R13*S13)</f>
        <v>0.92897473890647131</v>
      </c>
      <c r="V13" s="63">
        <f>IF(OR(ISBLANK($R13),ISBLANK(T13)),"NA",$R13*T13)</f>
        <v>1.0882823247630222E-2</v>
      </c>
      <c r="W13" s="63"/>
      <c r="X13" s="63"/>
    </row>
    <row r="14" spans="1:26" x14ac:dyDescent="0.2">
      <c r="A14" s="21"/>
      <c r="B14" s="19" t="s">
        <v>83</v>
      </c>
      <c r="C14" s="20">
        <v>2018</v>
      </c>
      <c r="D14" s="32">
        <f>SUM(E14:I14)</f>
        <v>201200</v>
      </c>
      <c r="E14" s="48">
        <v>151500</v>
      </c>
      <c r="F14" s="48">
        <v>36100</v>
      </c>
      <c r="G14" s="43">
        <f>3200+1000+1500</f>
        <v>5700</v>
      </c>
      <c r="H14" s="43">
        <f>6200+0+7300</f>
        <v>13500</v>
      </c>
      <c r="I14" s="43">
        <v>-5600</v>
      </c>
      <c r="J14" s="48"/>
      <c r="K14" s="22"/>
      <c r="L14" s="22"/>
      <c r="M14" s="22"/>
      <c r="N14" s="21"/>
      <c r="O14" s="21"/>
      <c r="P14" s="21"/>
      <c r="Q14" s="21" t="str">
        <f>$A$8&amp;C14&amp;"INC"</f>
        <v>ALE2018INC</v>
      </c>
      <c r="R14" s="61">
        <f>E14/D14</f>
        <v>0.75298210735586479</v>
      </c>
      <c r="S14" s="62">
        <f>SUMIF('FERC Form 1_2 Data'!$C$11:$C$179,$A6,'FERC Form 1_2 Data'!$AL$11:$AL$179)/SUMIF('FERC Form 1_2 Data'!$C$11:$C$179,$A6,'FERC Form 1_2 Data'!$EB$11:$EB$179)</f>
        <v>0.97867156506320718</v>
      </c>
      <c r="T14" s="62">
        <f>SUMIF('FERC Form 1_2 Data'!$C$11:$C$179,$A6,'FERC Form 1_2 Data'!$BY$11:$BY$179)/SUMIF('FERC Form 1_2 Data'!$C$11:$C$179,$A6,'FERC Form 1_2 Data'!$EB$11:$EB$179)</f>
        <v>6.4610360618932812E-3</v>
      </c>
      <c r="U14" s="63">
        <f t="shared" ref="U14:V15" si="2">IF(OR(ISBLANK($R14),ISBLANK(S14)),"NA",$R14*S14)</f>
        <v>0.73692217747055611</v>
      </c>
      <c r="V14" s="63">
        <f t="shared" si="2"/>
        <v>4.8650445495866407E-3</v>
      </c>
      <c r="W14" s="63"/>
      <c r="X14" s="63"/>
    </row>
    <row r="15" spans="1:26" x14ac:dyDescent="0.2">
      <c r="A15" s="21"/>
      <c r="B15" s="19"/>
      <c r="C15" s="20">
        <v>2017</v>
      </c>
      <c r="D15" s="32">
        <f t="shared" ref="D15" si="3">SUM(E15:I15)</f>
        <v>225900</v>
      </c>
      <c r="E15" s="43">
        <v>184700</v>
      </c>
      <c r="F15" s="43">
        <v>31400</v>
      </c>
      <c r="G15" s="43">
        <f>10700+-7800+1600</f>
        <v>4500</v>
      </c>
      <c r="H15" s="43">
        <f>-8400+9500+10300</f>
        <v>11400</v>
      </c>
      <c r="I15" s="43">
        <v>-6100</v>
      </c>
      <c r="J15" s="48"/>
      <c r="K15" s="22"/>
      <c r="L15" s="22"/>
      <c r="M15" s="22"/>
      <c r="N15" s="21"/>
      <c r="O15" s="21"/>
      <c r="P15" s="21"/>
      <c r="Q15" s="21" t="str">
        <f>$A$8&amp;C15&amp;"INC"</f>
        <v>ALE2017INC</v>
      </c>
      <c r="R15" s="61">
        <f>E15/D15</f>
        <v>0.81761841522797696</v>
      </c>
      <c r="S15" s="62">
        <f>SUMIF('FERC Form 1_2 Data'!$C$11:$C$179,$A6,'FERC Form 1_2 Data'!$AY$11:$AY$179)/SUMIF('FERC Form 1_2 Data'!$C$11:$C$179,$A6,'FERC Form 1_2 Data'!$EC$11:$EC$179)</f>
        <v>0.9732707632184634</v>
      </c>
      <c r="T15" s="62">
        <f>SUMIF('FERC Form 1_2 Data'!$C$11:$C$179,$A6,'FERC Form 1_2 Data'!$CL$11:$CL$179)/SUMIF('FERC Form 1_2 Data'!$C$11:$C$179,$A6,'FERC Form 1_2 Data'!$EC$11:$EC$179)</f>
        <v>8.390083584825167E-3</v>
      </c>
      <c r="U15" s="63">
        <f t="shared" si="2"/>
        <v>0.79576409901040368</v>
      </c>
      <c r="V15" s="63">
        <f t="shared" si="2"/>
        <v>6.8598868442550165E-3</v>
      </c>
      <c r="W15" s="63"/>
      <c r="X15" s="63"/>
    </row>
    <row r="16" spans="1:26" x14ac:dyDescent="0.2">
      <c r="A16" s="21"/>
      <c r="B16" s="19"/>
      <c r="D16" s="57"/>
      <c r="E16" s="48"/>
      <c r="F16" s="48"/>
      <c r="G16" s="43"/>
      <c r="H16" s="43"/>
      <c r="I16" s="43"/>
      <c r="J16" s="48"/>
      <c r="K16" s="22"/>
      <c r="L16" s="22"/>
      <c r="M16" s="22"/>
      <c r="N16" s="21"/>
      <c r="O16" s="21"/>
      <c r="P16" s="21"/>
      <c r="Q16" s="21"/>
      <c r="R16" s="21"/>
      <c r="Z16" s="64"/>
    </row>
    <row r="17" spans="1:26" x14ac:dyDescent="0.2">
      <c r="A17" s="21"/>
      <c r="B17" s="19"/>
      <c r="C17" s="20">
        <v>2019</v>
      </c>
      <c r="D17" s="32">
        <f>SUM(E17:I17)</f>
        <v>5482800</v>
      </c>
      <c r="E17" s="43">
        <v>4130800</v>
      </c>
      <c r="F17" s="43">
        <v>1001500</v>
      </c>
      <c r="G17" s="43">
        <v>0</v>
      </c>
      <c r="H17" s="43">
        <v>350500</v>
      </c>
      <c r="I17" s="43"/>
      <c r="J17" s="48"/>
      <c r="K17" s="22"/>
      <c r="L17" s="22"/>
      <c r="M17" s="22"/>
      <c r="N17" s="21"/>
      <c r="O17" s="21"/>
      <c r="P17" s="21"/>
      <c r="Q17" s="21" t="str">
        <f>$A$8&amp;C17&amp;"ASSETS"</f>
        <v>ALE2019ASSETS</v>
      </c>
      <c r="R17" s="61">
        <f>E17/D17</f>
        <v>0.75341066608302332</v>
      </c>
      <c r="S17" s="62">
        <f>SUMIF('FERC Form 1_2 Data'!$C$11:$C$179,$A6,'FERC Form 1_2 Data'!$EJ$11:$EJ$179)/(SUMIF('FERC Form 1_2 Data'!$C$11:$C$179,$A6,'FERC Form 1_2 Data'!$EN$11:$EN$179))</f>
        <v>0.98309940778225913</v>
      </c>
      <c r="T17" s="62">
        <f>SUMIF('FERC Form 1_2 Data'!$C$11:$C$179,$A6,'FERC Form 1_2 Data'!$EK$11:$EK$179)/(SUMIF('FERC Form 1_2 Data'!$C$11:$C$179,$A6,'FERC Form 1_2 Data'!$EN$11:$EN$179))</f>
        <v>5.2461658946256016E-3</v>
      </c>
      <c r="U17" s="63">
        <f>IF(OR(ISBLANK($R17),ISBLANK(S17)),"NA",$R17*S17)</f>
        <v>0.74067757964305758</v>
      </c>
      <c r="V17" s="63">
        <f>IF(OR(ISBLANK($R17),ISBLANK(T17)),"NA",$R17*T17)</f>
        <v>3.9525173410519142E-3</v>
      </c>
      <c r="W17" s="63"/>
      <c r="X17" s="63"/>
    </row>
    <row r="18" spans="1:26" x14ac:dyDescent="0.2">
      <c r="A18" s="21"/>
      <c r="B18" s="21" t="s">
        <v>84</v>
      </c>
      <c r="C18" s="20">
        <v>2018</v>
      </c>
      <c r="D18" s="32">
        <f>SUM(E18:I18)</f>
        <v>5165000</v>
      </c>
      <c r="E18" s="43">
        <v>3952500</v>
      </c>
      <c r="F18" s="43">
        <v>606600</v>
      </c>
      <c r="G18" s="43">
        <v>295800</v>
      </c>
      <c r="H18" s="43">
        <v>310100</v>
      </c>
      <c r="I18" s="43"/>
      <c r="J18" s="48"/>
      <c r="K18" s="22"/>
      <c r="L18" s="22"/>
      <c r="M18" s="22"/>
      <c r="N18" s="21"/>
      <c r="O18" s="21"/>
      <c r="P18" s="21"/>
      <c r="Q18" s="21" t="str">
        <f>$A$8&amp;C18&amp;"ASSETS"</f>
        <v>ALE2018ASSETS</v>
      </c>
      <c r="R18" s="61">
        <f>E18/D18</f>
        <v>0.76524685382381419</v>
      </c>
      <c r="S18" s="62">
        <f>SUMIF('FERC Form 1_2 Data'!$C$11:$C$179,$A6,'FERC Form 1_2 Data'!$EP$11:$EP$179)/(SUMIF('FERC Form 1_2 Data'!$C$11:$C$179,$A6,'FERC Form 1_2 Data'!$ET$11:$ET$179))</f>
        <v>0.9835408760110903</v>
      </c>
      <c r="T18" s="62">
        <f>SUMIF('FERC Form 1_2 Data'!$C$11:$C$179,$A6,'FERC Form 1_2 Data'!$EQ$11:$EQ$179)/(SUMIF('FERC Form 1_2 Data'!$C$11:$C$179,$A6,'FERC Form 1_2 Data'!$ET$11:$ET$179))</f>
        <v>4.9193558758589585E-3</v>
      </c>
      <c r="U18" s="63">
        <f t="shared" ref="U18:V19" si="4">IF(OR(ISBLANK($R18),ISBLANK(S18)),"NA",$R18*S18)</f>
        <v>0.75265156097460495</v>
      </c>
      <c r="V18" s="63">
        <f t="shared" si="4"/>
        <v>3.7645216068407619E-3</v>
      </c>
      <c r="W18" s="63"/>
      <c r="X18" s="63"/>
    </row>
    <row r="19" spans="1:26" x14ac:dyDescent="0.2">
      <c r="A19" s="21"/>
      <c r="B19" s="21"/>
      <c r="C19" s="20">
        <v>2017</v>
      </c>
      <c r="D19" s="32">
        <f t="shared" ref="D19" si="5">SUM(E19:I19)</f>
        <v>5080000</v>
      </c>
      <c r="E19" s="43">
        <v>3886600</v>
      </c>
      <c r="F19" s="43">
        <v>600500</v>
      </c>
      <c r="G19" s="43">
        <v>292400</v>
      </c>
      <c r="H19" s="43">
        <v>300500</v>
      </c>
      <c r="I19" s="43">
        <v>0</v>
      </c>
      <c r="J19" s="48"/>
      <c r="K19" s="22"/>
      <c r="L19" s="22"/>
      <c r="M19" s="22"/>
      <c r="N19" s="21"/>
      <c r="O19" s="21"/>
      <c r="P19" s="21"/>
      <c r="Q19" s="21" t="str">
        <f>$A$8&amp;C19&amp;"ASSETS"</f>
        <v>ALE2017ASSETS</v>
      </c>
      <c r="R19" s="61">
        <f>E19/D19</f>
        <v>0.76507874015748034</v>
      </c>
      <c r="S19" s="62">
        <f>SUMIF('FERC Form 1_2 Data'!$C$11:$C$179,$A6,'FERC Form 1_2 Data'!$EV$11:$EV$179)/(SUMIF('FERC Form 1_2 Data'!$C$11:$C$179,$A6,'FERC Form 1_2 Data'!$EZ$11:$EZ$179))</f>
        <v>0.9847629040435949</v>
      </c>
      <c r="T19" s="62">
        <f>SUMIF('FERC Form 1_2 Data'!$C$11:$C$179,$A6,'FERC Form 1_2 Data'!$EW$11:$EW$179)/(SUMIF('FERC Form 1_2 Data'!$C$11:$C$179,$A6,'FERC Form 1_2 Data'!$EZ$11:$EZ$179))</f>
        <v>4.4273053417166362E-3</v>
      </c>
      <c r="U19" s="63">
        <f t="shared" si="4"/>
        <v>0.75342116197949527</v>
      </c>
      <c r="V19" s="63">
        <f t="shared" si="4"/>
        <v>3.3872371931330469E-3</v>
      </c>
      <c r="W19" s="63"/>
      <c r="X19" s="63"/>
    </row>
    <row r="20" spans="1:26" x14ac:dyDescent="0.2">
      <c r="D20" s="65"/>
      <c r="R20" s="66"/>
      <c r="U20" s="67"/>
      <c r="Z20" s="64"/>
    </row>
    <row r="21" spans="1:26" x14ac:dyDescent="0.2">
      <c r="D21" s="68"/>
    </row>
    <row r="24" spans="1:26" x14ac:dyDescent="0.2">
      <c r="A24" s="18" t="s">
        <v>28</v>
      </c>
      <c r="B24" s="19"/>
      <c r="C24" s="20"/>
      <c r="D24" s="21"/>
      <c r="E24" s="48"/>
      <c r="F24" s="48"/>
      <c r="G24" s="48"/>
      <c r="H24" s="48"/>
      <c r="I24" s="22"/>
      <c r="J24" s="22"/>
      <c r="K24" s="22"/>
      <c r="L24" s="22"/>
      <c r="M24" s="22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6" x14ac:dyDescent="0.2">
      <c r="A25" s="21" t="s">
        <v>98</v>
      </c>
      <c r="B25" s="19"/>
      <c r="C25" s="20"/>
      <c r="D25" s="21"/>
      <c r="E25" s="48"/>
      <c r="F25" s="48"/>
      <c r="G25" s="48"/>
      <c r="H25" s="48"/>
      <c r="I25" s="22"/>
      <c r="J25" s="22"/>
      <c r="K25" s="22"/>
      <c r="L25" s="22"/>
      <c r="M25" s="22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6" x14ac:dyDescent="0.2">
      <c r="A26" s="18"/>
      <c r="B26" s="19"/>
      <c r="C26" s="20"/>
      <c r="D26" s="21"/>
      <c r="E26" s="48" t="s">
        <v>99</v>
      </c>
      <c r="F26" s="48"/>
      <c r="G26" s="48"/>
      <c r="H26" s="48" t="s">
        <v>100</v>
      </c>
      <c r="I26" s="22"/>
      <c r="J26" s="22"/>
      <c r="K26" s="22"/>
      <c r="L26" s="22"/>
      <c r="M26" s="22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6" ht="63.75" x14ac:dyDescent="0.2">
      <c r="A27" s="18" t="s">
        <v>29</v>
      </c>
      <c r="B27" s="19"/>
      <c r="C27" s="20"/>
      <c r="D27" s="20" t="s">
        <v>75</v>
      </c>
      <c r="E27" s="44" t="s">
        <v>101</v>
      </c>
      <c r="F27" s="44" t="s">
        <v>102</v>
      </c>
      <c r="G27" s="44" t="s">
        <v>103</v>
      </c>
      <c r="H27" s="35" t="s">
        <v>104</v>
      </c>
      <c r="I27" s="22"/>
      <c r="J27" s="22"/>
      <c r="K27" s="22"/>
      <c r="L27" s="22"/>
      <c r="M27" s="22"/>
      <c r="N27" s="21"/>
      <c r="O27" s="21"/>
      <c r="P27" s="21"/>
      <c r="Q27" s="29"/>
      <c r="R27" s="30" t="s">
        <v>77</v>
      </c>
      <c r="S27" s="30" t="s">
        <v>78</v>
      </c>
      <c r="T27" s="30" t="s">
        <v>79</v>
      </c>
      <c r="U27" s="30" t="s">
        <v>80</v>
      </c>
      <c r="V27" s="30" t="s">
        <v>81</v>
      </c>
      <c r="W27" s="31"/>
      <c r="X27" s="31"/>
    </row>
    <row r="28" spans="1:26" x14ac:dyDescent="0.2">
      <c r="A28" s="21"/>
      <c r="B28" s="19"/>
      <c r="C28" s="20">
        <v>2019</v>
      </c>
      <c r="D28" s="32">
        <f>SUM(E28:H28)</f>
        <v>3647700</v>
      </c>
      <c r="E28" s="44">
        <v>3063600</v>
      </c>
      <c r="F28" s="44">
        <v>455200</v>
      </c>
      <c r="G28" s="44">
        <v>46500</v>
      </c>
      <c r="H28" s="35">
        <v>82400</v>
      </c>
      <c r="I28" s="22"/>
      <c r="J28" s="22"/>
      <c r="K28" s="22"/>
      <c r="L28" s="22"/>
      <c r="M28" s="22"/>
      <c r="N28" s="21"/>
      <c r="O28" s="21"/>
      <c r="P28" s="21"/>
      <c r="Q28" s="21" t="str">
        <f>$A$27&amp;C28&amp;"REV"</f>
        <v>LNT2019REV</v>
      </c>
      <c r="R28" s="61">
        <f>SUM(E28:G28)/D28</f>
        <v>0.9774104230062779</v>
      </c>
      <c r="S28" s="61">
        <f>E28/SUM(E28:G28)</f>
        <v>0.85928252881945422</v>
      </c>
      <c r="T28" s="61">
        <f>F28/SUM(E28:G28)</f>
        <v>0.12767509045522116</v>
      </c>
      <c r="U28" s="34">
        <f>IF(OR(ISBLANK($R28),ISBLANK(S28)),"NA",$R28*S28)</f>
        <v>0.83987169997532696</v>
      </c>
      <c r="V28" s="34">
        <f>IF(OR(ISBLANK($R28),ISBLANK(T28)),"NA",$R28*T28)</f>
        <v>0.1247909641692025</v>
      </c>
      <c r="W28" s="34"/>
      <c r="X28" s="34"/>
    </row>
    <row r="29" spans="1:26" x14ac:dyDescent="0.2">
      <c r="A29" s="21"/>
      <c r="B29" s="19" t="s">
        <v>82</v>
      </c>
      <c r="C29" s="20">
        <v>2018</v>
      </c>
      <c r="D29" s="32">
        <f>SUM(E29:H29)</f>
        <v>3534500</v>
      </c>
      <c r="E29" s="44">
        <v>3000300</v>
      </c>
      <c r="F29" s="44">
        <v>446600</v>
      </c>
      <c r="G29" s="44">
        <v>48000</v>
      </c>
      <c r="H29" s="35">
        <v>39600</v>
      </c>
      <c r="I29" s="22"/>
      <c r="J29" s="22"/>
      <c r="K29" s="22"/>
      <c r="L29" s="22"/>
      <c r="M29" s="22"/>
      <c r="N29" s="21"/>
      <c r="O29" s="21"/>
      <c r="P29" s="21"/>
      <c r="Q29" s="21" t="str">
        <f>$A$27&amp;C29&amp;"REV"</f>
        <v>LNT2018REV</v>
      </c>
      <c r="R29" s="61">
        <f>SUM(E29:G29)/D29</f>
        <v>0.98879615221389161</v>
      </c>
      <c r="S29" s="61">
        <f>E29/SUM(E29:G29)</f>
        <v>0.85847949869810292</v>
      </c>
      <c r="T29" s="61">
        <f>F29/SUM(E29:G29)</f>
        <v>0.12778620275258235</v>
      </c>
      <c r="U29" s="34">
        <f>IF(OR(ISBLANK($R29),ISBLANK(S29)),"NA",$R29*S29)</f>
        <v>0.84886122506719475</v>
      </c>
      <c r="V29" s="34">
        <f>IF(OR(ISBLANK($R29),ISBLANK(T29)),"NA",$R29*T29)</f>
        <v>0.12635450558777764</v>
      </c>
      <c r="W29" s="34"/>
      <c r="X29" s="34"/>
    </row>
    <row r="30" spans="1:26" x14ac:dyDescent="0.2">
      <c r="A30" s="21"/>
      <c r="B30" s="19"/>
      <c r="C30" s="20">
        <v>2017</v>
      </c>
      <c r="D30" s="32">
        <f t="shared" ref="D30:D38" si="6">SUM(E30:H30)</f>
        <v>3382200</v>
      </c>
      <c r="E30" s="69">
        <v>2894700</v>
      </c>
      <c r="F30" s="70">
        <v>400900</v>
      </c>
      <c r="G30" s="70">
        <v>47500</v>
      </c>
      <c r="H30" s="45">
        <v>39100</v>
      </c>
      <c r="I30" s="22"/>
      <c r="J30" s="22"/>
      <c r="K30" s="22"/>
      <c r="L30" s="22"/>
      <c r="M30" s="22"/>
      <c r="N30" s="21"/>
      <c r="O30" s="21"/>
      <c r="P30" s="21"/>
      <c r="Q30" s="21" t="str">
        <f>$A$27&amp;C30&amp;"REV"</f>
        <v>LNT2017REV</v>
      </c>
      <c r="R30" s="61">
        <f>SUM(E30:G30)/D30</f>
        <v>0.98843947726331971</v>
      </c>
      <c r="S30" s="61">
        <f t="shared" ref="S30:S38" si="7">E30/SUM(E30:G30)</f>
        <v>0.86587299213305013</v>
      </c>
      <c r="T30" s="61">
        <f>F30/SUM(E30:G30)</f>
        <v>0.11991863838951872</v>
      </c>
      <c r="U30" s="34">
        <f t="shared" ref="U30:V30" si="8">IF(OR(ISBLANK($R30),ISBLANK(S30)),"NA",$R30*S30)</f>
        <v>0.85586304772041866</v>
      </c>
      <c r="V30" s="34">
        <f t="shared" si="8"/>
        <v>0.11853231624386494</v>
      </c>
      <c r="W30" s="34"/>
      <c r="X30" s="34"/>
      <c r="Z30" s="64"/>
    </row>
    <row r="31" spans="1:26" x14ac:dyDescent="0.2">
      <c r="A31" s="21"/>
      <c r="B31" s="19"/>
      <c r="C31" s="20"/>
      <c r="D31" s="32"/>
      <c r="E31" s="48"/>
      <c r="F31" s="48"/>
      <c r="G31" s="48"/>
      <c r="H31" s="48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6" x14ac:dyDescent="0.2">
      <c r="A32" s="21"/>
      <c r="B32" s="19"/>
      <c r="C32" s="20">
        <v>2019</v>
      </c>
      <c r="D32" s="32">
        <f t="shared" si="6"/>
        <v>777700</v>
      </c>
      <c r="E32" s="48">
        <v>678900</v>
      </c>
      <c r="F32" s="48">
        <v>69800</v>
      </c>
      <c r="G32" s="48">
        <v>1300</v>
      </c>
      <c r="H32" s="48">
        <v>27700</v>
      </c>
      <c r="I32" s="22"/>
      <c r="J32" s="22"/>
      <c r="K32" s="22"/>
      <c r="L32" s="22"/>
      <c r="M32" s="22"/>
      <c r="N32" s="21"/>
      <c r="O32" s="21"/>
      <c r="P32" s="21"/>
      <c r="Q32" s="21" t="str">
        <f>$A$27&amp;C32&amp;"INC"</f>
        <v>LNT2019INC</v>
      </c>
      <c r="R32" s="61">
        <f>SUM(E32:G32)/D32</f>
        <v>0.96438215250096437</v>
      </c>
      <c r="S32" s="61">
        <f t="shared" ref="S32" si="9">E32/SUM(E32:G32)</f>
        <v>0.9052</v>
      </c>
      <c r="T32" s="61">
        <f>F32/SUM(E32:G32)</f>
        <v>9.3066666666666673E-2</v>
      </c>
      <c r="U32" s="34">
        <f>IF(OR(ISBLANK($R32),ISBLANK(S32)),"NA",$R32*S32)</f>
        <v>0.8729587244438729</v>
      </c>
      <c r="V32" s="34">
        <f>IF(OR(ISBLANK($R32),ISBLANK(T32)),"NA",$R32*T32)</f>
        <v>8.9751832326089756E-2</v>
      </c>
      <c r="W32" s="34"/>
      <c r="X32" s="34"/>
    </row>
    <row r="33" spans="1:26" x14ac:dyDescent="0.2">
      <c r="A33" s="21"/>
      <c r="B33" s="19" t="s">
        <v>83</v>
      </c>
      <c r="C33" s="20">
        <v>2018</v>
      </c>
      <c r="D33" s="32">
        <f t="shared" si="6"/>
        <v>694400</v>
      </c>
      <c r="E33" s="48">
        <v>610200</v>
      </c>
      <c r="F33" s="48">
        <v>53200</v>
      </c>
      <c r="G33" s="48">
        <v>300</v>
      </c>
      <c r="H33" s="48">
        <v>30700</v>
      </c>
      <c r="I33" s="22"/>
      <c r="J33" s="22"/>
      <c r="K33" s="22"/>
      <c r="L33" s="22"/>
      <c r="M33" s="22"/>
      <c r="N33" s="21"/>
      <c r="O33" s="21"/>
      <c r="P33" s="21"/>
      <c r="Q33" s="21" t="str">
        <f>$A$27&amp;C33&amp;"INC"</f>
        <v>LNT2018INC</v>
      </c>
      <c r="R33" s="61">
        <f>SUM(E33:G33)/D33</f>
        <v>0.95578917050691248</v>
      </c>
      <c r="S33" s="61">
        <f t="shared" si="7"/>
        <v>0.91939129124604491</v>
      </c>
      <c r="T33" s="61">
        <f>F33/SUM(E33:G33)</f>
        <v>8.0156697302998348E-2</v>
      </c>
      <c r="U33" s="34">
        <f>IF(OR(ISBLANK($R33),ISBLANK(S33)),"NA",$R33*S33)</f>
        <v>0.87874423963133641</v>
      </c>
      <c r="V33" s="34">
        <f>IF(OR(ISBLANK($R33),ISBLANK(T33)),"NA",$R33*T33)</f>
        <v>7.6612903225806453E-2</v>
      </c>
      <c r="W33" s="34"/>
      <c r="X33" s="34"/>
    </row>
    <row r="34" spans="1:26" x14ac:dyDescent="0.2">
      <c r="A34" s="21"/>
      <c r="B34" s="19"/>
      <c r="C34" s="20">
        <v>2017</v>
      </c>
      <c r="D34" s="32">
        <f t="shared" si="6"/>
        <v>671200</v>
      </c>
      <c r="E34" s="48">
        <v>601700</v>
      </c>
      <c r="F34" s="48">
        <v>47700</v>
      </c>
      <c r="G34" s="48">
        <v>-11600</v>
      </c>
      <c r="H34" s="48">
        <v>33400</v>
      </c>
      <c r="I34" s="22"/>
      <c r="J34" s="22"/>
      <c r="K34" s="22"/>
      <c r="L34" s="22"/>
      <c r="M34" s="22"/>
      <c r="N34" s="21"/>
      <c r="O34" s="21"/>
      <c r="P34" s="21"/>
      <c r="Q34" s="21" t="str">
        <f>$A$27&amp;C34&amp;"INC"</f>
        <v>LNT2017INC</v>
      </c>
      <c r="R34" s="61" t="b">
        <f>IF(SUM(E34:G34)/D34&gt;100%,100%)</f>
        <v>0</v>
      </c>
      <c r="S34" s="61">
        <f t="shared" si="7"/>
        <v>0.94339918469739725</v>
      </c>
      <c r="T34" s="61">
        <f>F34/SUM(E34:G34)</f>
        <v>7.4788334901222955E-2</v>
      </c>
      <c r="U34" s="34">
        <f t="shared" ref="U34:V34" si="10">IF(OR(ISBLANK($R34),ISBLANK(S34)),"NA",$R34*S34)</f>
        <v>0</v>
      </c>
      <c r="V34" s="34">
        <f t="shared" si="10"/>
        <v>0</v>
      </c>
      <c r="W34" s="34"/>
      <c r="X34" s="34"/>
      <c r="Z34" s="64"/>
    </row>
    <row r="35" spans="1:26" x14ac:dyDescent="0.2">
      <c r="A35" s="21"/>
      <c r="B35" s="19"/>
      <c r="C35" s="20"/>
      <c r="D35" s="32"/>
      <c r="E35" s="48"/>
      <c r="F35" s="48"/>
      <c r="G35" s="48"/>
      <c r="H35" s="48"/>
      <c r="I35" s="22"/>
      <c r="J35" s="22"/>
      <c r="K35" s="22"/>
      <c r="L35" s="22"/>
      <c r="M35" s="22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6" x14ac:dyDescent="0.2">
      <c r="A36" s="21"/>
      <c r="B36" s="19"/>
      <c r="C36" s="20">
        <v>2019</v>
      </c>
      <c r="D36" s="32">
        <f t="shared" si="6"/>
        <v>16700700</v>
      </c>
      <c r="E36" s="48">
        <v>13659000</v>
      </c>
      <c r="F36" s="48">
        <v>1268500</v>
      </c>
      <c r="G36" s="48">
        <v>856500</v>
      </c>
      <c r="H36" s="48">
        <v>916700</v>
      </c>
      <c r="I36" s="22"/>
      <c r="J36" s="22"/>
      <c r="K36" s="22"/>
      <c r="L36" s="22"/>
      <c r="M36" s="22"/>
      <c r="N36" s="21"/>
      <c r="O36" s="21"/>
      <c r="P36" s="21"/>
      <c r="Q36" s="21" t="str">
        <f>$A$27&amp;C36&amp;"ASSETS"</f>
        <v>LNT2019ASSETS</v>
      </c>
      <c r="R36" s="61">
        <f>SUM(E36:G36)/D36</f>
        <v>0.94511008520600936</v>
      </c>
      <c r="S36" s="61">
        <f t="shared" ref="S36" si="11">E36/SUM(E36:G36)</f>
        <v>0.86536999493157629</v>
      </c>
      <c r="T36" s="61">
        <f>F36/SUM(E36:G36)</f>
        <v>8.0366193613786108E-2</v>
      </c>
      <c r="U36" s="34">
        <f>IF(OR(ISBLANK($R36),ISBLANK(S36)),"NA",$R36*S36)</f>
        <v>0.81786990964450601</v>
      </c>
      <c r="V36" s="34">
        <f>IF(OR(ISBLANK($R36),ISBLANK(T36)),"NA",$R36*T36)</f>
        <v>7.5954900094008029E-2</v>
      </c>
      <c r="W36" s="34"/>
      <c r="X36" s="34"/>
    </row>
    <row r="37" spans="1:26" x14ac:dyDescent="0.2">
      <c r="A37" s="21"/>
      <c r="B37" s="19" t="s">
        <v>84</v>
      </c>
      <c r="C37" s="20">
        <v>2018</v>
      </c>
      <c r="D37" s="32">
        <f t="shared" si="6"/>
        <v>15426000</v>
      </c>
      <c r="E37" s="48">
        <v>12486300</v>
      </c>
      <c r="F37" s="48">
        <v>1184400</v>
      </c>
      <c r="G37" s="48">
        <v>893200</v>
      </c>
      <c r="H37" s="48">
        <v>862100</v>
      </c>
      <c r="I37" s="22"/>
      <c r="J37" s="22"/>
      <c r="K37" s="22"/>
      <c r="L37" s="22"/>
      <c r="M37" s="22"/>
      <c r="N37" s="21"/>
      <c r="O37" s="21"/>
      <c r="P37" s="21"/>
      <c r="Q37" s="21" t="str">
        <f>$A$27&amp;C37&amp;"ASSETS"</f>
        <v>LNT2018ASSETS</v>
      </c>
      <c r="R37" s="61">
        <f>SUM(E37:G37)/D37</f>
        <v>0.94411383378711267</v>
      </c>
      <c r="S37" s="61">
        <f t="shared" si="7"/>
        <v>0.85734590322647097</v>
      </c>
      <c r="T37" s="61">
        <f>F37/SUM(E37:G37)</f>
        <v>8.1324370532618317E-2</v>
      </c>
      <c r="U37" s="34">
        <f>IF(OR(ISBLANK($R37),ISBLANK(S37)),"NA",$R37*S37)</f>
        <v>0.80943212757681837</v>
      </c>
      <c r="V37" s="34">
        <f>IF(OR(ISBLANK($R37),ISBLANK(T37)),"NA",$R37*T37)</f>
        <v>7.6779463243873969E-2</v>
      </c>
      <c r="W37" s="34"/>
      <c r="X37" s="34"/>
    </row>
    <row r="38" spans="1:26" x14ac:dyDescent="0.2">
      <c r="A38" s="21"/>
      <c r="B38" s="21"/>
      <c r="C38" s="20">
        <v>2017</v>
      </c>
      <c r="D38" s="32">
        <f t="shared" si="6"/>
        <v>14187800</v>
      </c>
      <c r="E38" s="48">
        <v>11396200</v>
      </c>
      <c r="F38" s="48">
        <v>1199800</v>
      </c>
      <c r="G38" s="48">
        <v>766500</v>
      </c>
      <c r="H38" s="48">
        <v>825300</v>
      </c>
      <c r="I38" s="22"/>
      <c r="J38" s="22"/>
      <c r="K38" s="22"/>
      <c r="L38" s="22"/>
      <c r="M38" s="22"/>
      <c r="N38" s="21"/>
      <c r="O38" s="21"/>
      <c r="P38" s="21"/>
      <c r="Q38" s="21" t="str">
        <f>$A$27&amp;C38&amp;"ASSETS"</f>
        <v>LNT2017ASSETS</v>
      </c>
      <c r="R38" s="61">
        <f>SUM(E38:G38)/D38</f>
        <v>0.94183030490985209</v>
      </c>
      <c r="S38" s="61">
        <f t="shared" si="7"/>
        <v>0.85284939195509823</v>
      </c>
      <c r="T38" s="61">
        <f t="shared" ref="T38" si="12">F38/SUM(E38:G38)</f>
        <v>8.978858746492048E-2</v>
      </c>
      <c r="U38" s="34">
        <f t="shared" ref="U38:V38" si="13">IF(OR(ISBLANK($R38),ISBLANK(S38)),"NA",$R38*S38)</f>
        <v>0.80323940286725215</v>
      </c>
      <c r="V38" s="34">
        <f t="shared" si="13"/>
        <v>8.4565612709510976E-2</v>
      </c>
      <c r="W38" s="34"/>
      <c r="X38" s="34"/>
      <c r="Z38" s="64"/>
    </row>
    <row r="39" spans="1:26" x14ac:dyDescent="0.2">
      <c r="D39" s="65"/>
    </row>
    <row r="40" spans="1:26" x14ac:dyDescent="0.2">
      <c r="D40" s="68"/>
    </row>
    <row r="41" spans="1:26" x14ac:dyDescent="0.2">
      <c r="A41" s="18" t="s">
        <v>31</v>
      </c>
      <c r="B41" s="19"/>
      <c r="C41" s="20"/>
      <c r="D41" s="21"/>
      <c r="E41" s="33"/>
      <c r="F41" s="33"/>
      <c r="G41" s="33"/>
      <c r="H41" s="33"/>
      <c r="I41" s="33"/>
      <c r="J41" s="33"/>
      <c r="K41" s="33"/>
      <c r="L41" s="33"/>
      <c r="M41" s="71"/>
      <c r="N41" s="21"/>
      <c r="O41" s="21"/>
      <c r="P41" s="21"/>
      <c r="Q41" s="21"/>
      <c r="R41" s="21"/>
    </row>
    <row r="42" spans="1:26" x14ac:dyDescent="0.2">
      <c r="A42" s="24" t="s">
        <v>105</v>
      </c>
      <c r="B42" s="19"/>
      <c r="C42" s="20"/>
      <c r="D42" s="21"/>
      <c r="E42" s="33"/>
      <c r="F42" s="33"/>
      <c r="G42" s="33"/>
      <c r="H42" s="33"/>
      <c r="I42" s="33"/>
      <c r="J42" s="33"/>
      <c r="K42" s="33"/>
      <c r="L42" s="33"/>
      <c r="M42" s="71"/>
      <c r="N42" s="21"/>
      <c r="O42" s="21"/>
      <c r="P42" s="21"/>
      <c r="Q42" s="21"/>
      <c r="R42" s="21"/>
    </row>
    <row r="43" spans="1:26" ht="63.75" x14ac:dyDescent="0.2">
      <c r="A43" s="18" t="s">
        <v>32</v>
      </c>
      <c r="B43" s="19"/>
      <c r="C43" s="20"/>
      <c r="D43" s="20" t="s">
        <v>75</v>
      </c>
      <c r="E43" s="72" t="s">
        <v>106</v>
      </c>
      <c r="F43" s="53" t="s">
        <v>107</v>
      </c>
      <c r="G43" s="53" t="s">
        <v>108</v>
      </c>
      <c r="H43" s="72" t="s">
        <v>109</v>
      </c>
      <c r="I43" s="72" t="s">
        <v>110</v>
      </c>
      <c r="J43" s="72" t="s">
        <v>111</v>
      </c>
      <c r="K43" s="72" t="s">
        <v>112</v>
      </c>
      <c r="L43" s="22"/>
      <c r="M43" s="22"/>
      <c r="N43" s="21"/>
      <c r="O43" s="21"/>
      <c r="P43" s="21"/>
      <c r="Q43" s="29"/>
      <c r="R43" s="30" t="s">
        <v>77</v>
      </c>
      <c r="S43" s="59" t="s">
        <v>78</v>
      </c>
      <c r="T43" s="59" t="s">
        <v>79</v>
      </c>
      <c r="U43" s="59" t="s">
        <v>80</v>
      </c>
      <c r="V43" s="59" t="s">
        <v>81</v>
      </c>
      <c r="W43" s="60"/>
      <c r="X43" s="60"/>
    </row>
    <row r="44" spans="1:26" x14ac:dyDescent="0.2">
      <c r="A44" s="18"/>
      <c r="B44" s="19"/>
      <c r="C44" s="20">
        <v>2019</v>
      </c>
      <c r="D44" s="32">
        <f>SUM(E44:K44)</f>
        <v>6138000</v>
      </c>
      <c r="E44" s="73">
        <v>3109000</v>
      </c>
      <c r="F44" s="74">
        <v>134000</v>
      </c>
      <c r="G44" s="53" t="s">
        <v>91</v>
      </c>
      <c r="H44" s="73">
        <v>1730000</v>
      </c>
      <c r="I44" s="73">
        <v>797000</v>
      </c>
      <c r="J44" s="73">
        <v>464000</v>
      </c>
      <c r="K44" s="73">
        <v>-96000</v>
      </c>
      <c r="L44" s="22"/>
      <c r="M44" s="22"/>
      <c r="N44" s="21"/>
      <c r="O44" s="21"/>
      <c r="P44" s="21"/>
      <c r="Q44" s="21" t="str">
        <f>$A$43&amp;C44&amp;"REV"</f>
        <v>AEE2019REV</v>
      </c>
      <c r="R44" s="61">
        <f>SUM(E44:J44)/D44</f>
        <v>1.0156402737047898</v>
      </c>
      <c r="S44" s="66">
        <f>(E44+H44+J44)/SUM(E44:J44)</f>
        <v>0.85065768367019567</v>
      </c>
      <c r="T44" s="66">
        <f>(F44+I44)/SUM(E44:J44)</f>
        <v>0.1493423163298043</v>
      </c>
      <c r="U44" s="34">
        <f>IF(OR(ISBLANK($R44),ISBLANK(S44)),"NA",$R44*S44)</f>
        <v>0.86396220267188006</v>
      </c>
      <c r="V44" s="34">
        <f>IF(OR(ISBLANK($R44),ISBLANK(T44)),"NA",$R44*T44)</f>
        <v>0.15167807103290973</v>
      </c>
      <c r="W44" s="34"/>
      <c r="X44" s="34"/>
    </row>
    <row r="45" spans="1:26" x14ac:dyDescent="0.2">
      <c r="A45" s="21"/>
      <c r="B45" s="19" t="s">
        <v>82</v>
      </c>
      <c r="C45" s="20">
        <v>2018</v>
      </c>
      <c r="D45" s="32">
        <f>SUM(E45:K45)</f>
        <v>6506000</v>
      </c>
      <c r="E45" s="73">
        <v>3451000</v>
      </c>
      <c r="F45" s="74">
        <v>138000</v>
      </c>
      <c r="G45" s="53" t="s">
        <v>91</v>
      </c>
      <c r="H45" s="73">
        <v>1761000</v>
      </c>
      <c r="I45" s="73">
        <v>815000</v>
      </c>
      <c r="J45" s="73">
        <v>433000</v>
      </c>
      <c r="K45" s="73">
        <v>-92000</v>
      </c>
      <c r="L45" s="22"/>
      <c r="M45" s="22"/>
      <c r="N45" s="21"/>
      <c r="O45" s="21"/>
      <c r="P45" s="21"/>
      <c r="Q45" s="21" t="str">
        <f t="shared" ref="Q45:Q46" si="14">$A$43&amp;C45&amp;"REV"</f>
        <v>AEE2018REV</v>
      </c>
      <c r="R45" s="61">
        <f>SUM(E45:J45)/D45</f>
        <v>1.0141407931140485</v>
      </c>
      <c r="S45" s="66">
        <f t="shared" ref="S45:S46" si="15">(E45+H45+J45+K45)/SUM(E45:K45)</f>
        <v>0.85351982785121427</v>
      </c>
      <c r="T45" s="66">
        <f t="shared" ref="T45:T46" si="16">(F45+I45)/SUM(E45:K45)</f>
        <v>0.14648017214878573</v>
      </c>
      <c r="U45" s="63">
        <f t="shared" ref="U45:V46" si="17">IF(OR(ISBLANK($R45),ISBLANK(S45)),"NA",$R45*S45)</f>
        <v>0.86558927515559658</v>
      </c>
      <c r="V45" s="63">
        <f t="shared" si="17"/>
        <v>0.14855151795845192</v>
      </c>
      <c r="W45" s="63"/>
      <c r="X45" s="63"/>
    </row>
    <row r="46" spans="1:26" x14ac:dyDescent="0.2">
      <c r="A46" s="21"/>
      <c r="B46" s="19"/>
      <c r="C46" s="20">
        <v>2017</v>
      </c>
      <c r="D46" s="32">
        <f>SUM(E46:K46)</f>
        <v>6392000</v>
      </c>
      <c r="E46" s="75">
        <v>3411000</v>
      </c>
      <c r="F46" s="74">
        <v>126000</v>
      </c>
      <c r="G46" s="74">
        <v>0</v>
      </c>
      <c r="H46" s="47">
        <v>1784000</v>
      </c>
      <c r="I46" s="49">
        <v>743000</v>
      </c>
      <c r="J46" s="49">
        <v>426000</v>
      </c>
      <c r="K46" s="49">
        <v>-98000</v>
      </c>
      <c r="L46" s="22"/>
      <c r="M46" s="22"/>
      <c r="N46" s="21"/>
      <c r="O46" s="21"/>
      <c r="P46" s="21"/>
      <c r="Q46" s="21" t="str">
        <f t="shared" si="14"/>
        <v>AEE2017REV</v>
      </c>
      <c r="R46" s="61">
        <f>SUM(E46:J46)/D46</f>
        <v>1.015331664580726</v>
      </c>
      <c r="S46" s="66">
        <f t="shared" si="15"/>
        <v>0.86404881101376718</v>
      </c>
      <c r="T46" s="66">
        <f t="shared" si="16"/>
        <v>0.13595118898623279</v>
      </c>
      <c r="U46" s="63">
        <f t="shared" si="17"/>
        <v>0.87729611756560533</v>
      </c>
      <c r="V46" s="63">
        <f t="shared" si="17"/>
        <v>0.13803554701512061</v>
      </c>
      <c r="W46" s="63">
        <f>AVERAGE(T44:T46)</f>
        <v>0.14392455915494096</v>
      </c>
      <c r="X46" s="63"/>
    </row>
    <row r="47" spans="1:26" x14ac:dyDescent="0.2">
      <c r="A47" s="21"/>
      <c r="B47" s="19"/>
      <c r="C47" s="20"/>
      <c r="D47" s="32"/>
      <c r="E47" s="48"/>
      <c r="F47" s="43"/>
      <c r="G47" s="43"/>
      <c r="H47" s="48"/>
      <c r="I47" s="22"/>
      <c r="J47" s="22"/>
      <c r="K47" s="22"/>
      <c r="L47" s="22"/>
      <c r="M47" s="22"/>
      <c r="N47" s="21"/>
      <c r="O47" s="21"/>
      <c r="P47" s="21"/>
      <c r="Q47" s="21"/>
      <c r="R47" s="61"/>
    </row>
    <row r="48" spans="1:26" x14ac:dyDescent="0.2">
      <c r="A48" s="21"/>
      <c r="B48" s="19"/>
      <c r="C48" s="20">
        <v>2019</v>
      </c>
      <c r="D48" s="32">
        <f>SUM(E48:K48)</f>
        <v>1267000</v>
      </c>
      <c r="E48" s="43">
        <v>617000</v>
      </c>
      <c r="F48" s="43"/>
      <c r="G48" s="43"/>
      <c r="H48" s="43">
        <f>147000+45000+71000-33000</f>
        <v>230000</v>
      </c>
      <c r="I48" s="49">
        <f>85000+30000+38000-12000</f>
        <v>141000</v>
      </c>
      <c r="J48" s="49">
        <f>186000+64000+74000-8000</f>
        <v>316000</v>
      </c>
      <c r="K48" s="49">
        <f>-13000-25000+20000-19000</f>
        <v>-37000</v>
      </c>
      <c r="L48" s="22"/>
      <c r="M48" s="22"/>
      <c r="N48" s="21"/>
      <c r="O48" s="21"/>
      <c r="P48" s="21"/>
      <c r="Q48" s="21" t="str">
        <f>$A$43&amp;C48&amp;"INC"</f>
        <v>AEE2019INC</v>
      </c>
      <c r="R48" s="61">
        <f>IF(SUM(E48:J48)/D48&gt;100%,100%,SUM(E48:J48)/D48)</f>
        <v>1</v>
      </c>
      <c r="S48" s="62">
        <f>SUMIF('FERC Form 1_2 Data'!$C$11:$C$179,$A41,'FERC Form 1_2 Data'!$Y$11:$Y$179)/SUMIF('FERC Form 1_2 Data'!$C$11:$C$179,$A41,'FERC Form 1_2 Data'!$EA$11:$EA$179)</f>
        <v>0.86211371111069834</v>
      </c>
      <c r="T48" s="62">
        <f>SUMIF('FERC Form 1_2 Data'!$C$11:$C$179,$A41,'FERC Form 1_2 Data'!$BL$11:$BL$179)/SUMIF('FERC Form 1_2 Data'!$C$11:$C$179,$A41,'FERC Form 1_2 Data'!$EA$11:$EA$179)</f>
        <v>0.1378862888893016</v>
      </c>
      <c r="U48" s="63">
        <f>IF(OR(ISBLANK($R48),ISBLANK(S48)),"NA",$R48*S48)</f>
        <v>0.86211371111069834</v>
      </c>
      <c r="V48" s="63">
        <f>IF(OR(ISBLANK($R48),ISBLANK(T48)),"NA",$R48*T48)</f>
        <v>0.1378862888893016</v>
      </c>
      <c r="W48" s="63"/>
      <c r="X48" s="63"/>
    </row>
    <row r="49" spans="1:24" x14ac:dyDescent="0.2">
      <c r="A49" s="21"/>
      <c r="B49" s="19" t="s">
        <v>83</v>
      </c>
      <c r="C49" s="20">
        <v>2018</v>
      </c>
      <c r="D49" s="32">
        <f>SUM(E49:K49)</f>
        <v>1357000</v>
      </c>
      <c r="E49" s="43">
        <v>749000</v>
      </c>
      <c r="F49" s="43"/>
      <c r="G49" s="43"/>
      <c r="H49" s="43">
        <f>(137+41+73-26)*1000</f>
        <v>225000</v>
      </c>
      <c r="I49" s="49">
        <f>(71+25+38-9)*1000</f>
        <v>125000</v>
      </c>
      <c r="J49" s="49">
        <f>(165+56+75-7)*1000</f>
        <v>289000</v>
      </c>
      <c r="K49" s="49">
        <f>(-33-9+15-4)*1000</f>
        <v>-31000</v>
      </c>
      <c r="L49" s="22"/>
      <c r="M49" s="22"/>
      <c r="N49" s="21"/>
      <c r="O49" s="21"/>
      <c r="P49" s="21"/>
      <c r="Q49" s="21" t="str">
        <f t="shared" ref="Q49:Q50" si="18">$A$43&amp;C49&amp;"INC"</f>
        <v>AEE2018INC</v>
      </c>
      <c r="R49" s="61">
        <f t="shared" ref="R49:R50" si="19">IF(SUM(E49:J49)/D49&gt;100%,100%,SUM(E49:J49)/D49)</f>
        <v>1</v>
      </c>
      <c r="S49" s="62">
        <f>SUMIF('FERC Form 1_2 Data'!$C$11:$C$179,$A41,'FERC Form 1_2 Data'!$AL$11:$AL$179)/SUMIF('FERC Form 1_2 Data'!$C$11:$C$179,$A41,'FERC Form 1_2 Data'!$EB$11:$EB$179)</f>
        <v>0.88525190732716763</v>
      </c>
      <c r="T49" s="62">
        <f>SUMIF('FERC Form 1_2 Data'!$C$11:$C$179,$A41,'FERC Form 1_2 Data'!$BY$11:$BY$179)/SUMIF('FERC Form 1_2 Data'!$C$11:$C$179,$A41,'FERC Form 1_2 Data'!$EB$11:$EB$179)</f>
        <v>0.11474809267283237</v>
      </c>
      <c r="U49" s="63">
        <f t="shared" ref="U49:V50" si="20">IF(OR(ISBLANK($R49),ISBLANK(S49)),"NA",$R49*S49)</f>
        <v>0.88525190732716763</v>
      </c>
      <c r="V49" s="63">
        <f t="shared" si="20"/>
        <v>0.11474809267283237</v>
      </c>
      <c r="W49" s="63"/>
      <c r="X49" s="63"/>
    </row>
    <row r="50" spans="1:24" x14ac:dyDescent="0.2">
      <c r="A50" s="21"/>
      <c r="B50" s="19"/>
      <c r="C50" s="20">
        <v>2017</v>
      </c>
      <c r="D50" s="32">
        <f>SUM(E50:K50)</f>
        <v>1410000</v>
      </c>
      <c r="E50" s="43">
        <v>722000</v>
      </c>
      <c r="F50" s="43"/>
      <c r="G50" s="43"/>
      <c r="H50" s="43">
        <f>(132+83+73-11)*1000</f>
        <v>277000</v>
      </c>
      <c r="I50" s="49">
        <f>(61+36+36)*1000</f>
        <v>133000</v>
      </c>
      <c r="J50" s="49">
        <f>(141+90+67-2)*1000</f>
        <v>296000</v>
      </c>
      <c r="K50" s="49">
        <f>(-131+113+8-8)*1000</f>
        <v>-18000</v>
      </c>
      <c r="L50" s="22"/>
      <c r="M50" s="22"/>
      <c r="N50" s="21"/>
      <c r="O50" s="21"/>
      <c r="P50" s="21"/>
      <c r="Q50" s="21" t="str">
        <f t="shared" si="18"/>
        <v>AEE2017INC</v>
      </c>
      <c r="R50" s="61">
        <f t="shared" si="19"/>
        <v>1</v>
      </c>
      <c r="S50" s="62">
        <f>SUMIF('FERC Form 1_2 Data'!$C$11:$C$179,$A41,'FERC Form 1_2 Data'!$AY$11:$AY$179)/SUMIF('FERC Form 1_2 Data'!$C$11:$C$179,$A41,'FERC Form 1_2 Data'!$EC$11:$EC$179)</f>
        <v>0.88439746415176423</v>
      </c>
      <c r="T50" s="62">
        <f>SUMIF('FERC Form 1_2 Data'!$C$11:$C$179,$A41,'FERC Form 1_2 Data'!$CL$11:$CL$179)/SUMIF('FERC Form 1_2 Data'!$C$11:$C$179,$A41,'FERC Form 1_2 Data'!$EC$11:$EC$179)</f>
        <v>0.11560253584823579</v>
      </c>
      <c r="U50" s="63">
        <f t="shared" si="20"/>
        <v>0.88439746415176423</v>
      </c>
      <c r="V50" s="63">
        <f t="shared" si="20"/>
        <v>0.11560253584823579</v>
      </c>
      <c r="W50" s="63">
        <f>AVERAGE(T48:T50)</f>
        <v>0.12274563913678993</v>
      </c>
      <c r="X50" s="63"/>
    </row>
    <row r="51" spans="1:24" x14ac:dyDescent="0.2">
      <c r="A51" s="21"/>
      <c r="B51" s="19"/>
      <c r="C51" s="20"/>
      <c r="D51" s="32"/>
      <c r="E51" s="48"/>
      <c r="F51" s="48"/>
      <c r="G51" s="48"/>
      <c r="H51" s="48"/>
      <c r="I51" s="22"/>
      <c r="J51" s="22"/>
      <c r="K51" s="22"/>
      <c r="L51" s="22"/>
      <c r="M51" s="22"/>
      <c r="N51" s="21"/>
      <c r="O51" s="21"/>
      <c r="P51" s="21"/>
      <c r="Q51" s="21"/>
      <c r="R51" s="21"/>
    </row>
    <row r="52" spans="1:24" x14ac:dyDescent="0.2">
      <c r="A52" s="21"/>
      <c r="B52" s="19"/>
      <c r="C52" s="20">
        <v>2019</v>
      </c>
      <c r="D52" s="32">
        <f>SUM(E52:K52)</f>
        <v>36652000</v>
      </c>
      <c r="E52" s="43">
        <f>11880000+6371000</f>
        <v>18251000</v>
      </c>
      <c r="F52" s="43">
        <v>528000</v>
      </c>
      <c r="G52" s="43">
        <v>1405000</v>
      </c>
      <c r="H52" s="43">
        <v>6299000</v>
      </c>
      <c r="I52" s="49">
        <v>3024000</v>
      </c>
      <c r="J52" s="49">
        <f>3101000+1642000</f>
        <v>4743000</v>
      </c>
      <c r="K52" s="49">
        <v>2402000</v>
      </c>
      <c r="L52" s="22"/>
      <c r="M52" s="22"/>
      <c r="N52" s="21"/>
      <c r="O52" s="21"/>
      <c r="P52" s="21"/>
      <c r="Q52" s="21" t="str">
        <f>$A$43&amp;C52&amp;"ASSETS"</f>
        <v>AEE2019ASSETS</v>
      </c>
      <c r="R52" s="61">
        <f>SUM(E52:J52)/D52</f>
        <v>0.93446469496889661</v>
      </c>
      <c r="S52" s="62">
        <f>SUMIF('FERC Form 1_2 Data'!$C$11:$C$179,$A41,'FERC Form 1_2 Data'!$EJ$11:$EJ$179)/(SUMIF('FERC Form 1_2 Data'!$C$11:$C$179,$A41,'FERC Form 1_2 Data'!$EN$11:$EN$179))</f>
        <v>0.8821083542610838</v>
      </c>
      <c r="T52" s="62">
        <f>SUMIF('FERC Form 1_2 Data'!$C$11:$C$179,$A41,'FERC Form 1_2 Data'!$EK$11:$EK$179)/(SUMIF('FERC Form 1_2 Data'!$C$11:$C$179,$A41,'FERC Form 1_2 Data'!$EN$11:$EN$179))</f>
        <v>0.11789164573891617</v>
      </c>
      <c r="U52" s="63">
        <f>IF(OR(ISBLANK($R52),ISBLANK(S52)),"NA",$R52*S52)</f>
        <v>0.82429911419409907</v>
      </c>
      <c r="V52" s="63">
        <f>IF(OR(ISBLANK($R52),ISBLANK(T52)),"NA",$R52*T52)</f>
        <v>0.11016558077479752</v>
      </c>
      <c r="W52" s="63"/>
      <c r="X52" s="63"/>
    </row>
    <row r="53" spans="1:24" x14ac:dyDescent="0.2">
      <c r="A53" s="21"/>
      <c r="B53" s="19" t="s">
        <v>84</v>
      </c>
      <c r="C53" s="20">
        <v>2018</v>
      </c>
      <c r="D53" s="32">
        <f>SUM(E53:K53)</f>
        <v>34002000</v>
      </c>
      <c r="E53" s="43">
        <f>11432000+5989000</f>
        <v>17421000</v>
      </c>
      <c r="F53" s="43">
        <v>500000</v>
      </c>
      <c r="G53" s="43">
        <v>1277000</v>
      </c>
      <c r="H53" s="43">
        <v>5970000</v>
      </c>
      <c r="I53" s="49">
        <v>2701000</v>
      </c>
      <c r="J53" s="49">
        <f>2647000+1385000</f>
        <v>4032000</v>
      </c>
      <c r="K53" s="49">
        <v>2101000</v>
      </c>
      <c r="L53" s="22"/>
      <c r="M53" s="22"/>
      <c r="N53" s="21"/>
      <c r="O53" s="21"/>
      <c r="P53" s="21"/>
      <c r="Q53" s="21" t="str">
        <f t="shared" ref="Q53:Q54" si="21">$A$43&amp;C53&amp;"ASSETS"</f>
        <v>AEE2018ASSETS</v>
      </c>
      <c r="R53" s="61">
        <f>SUM(E53:J53)/D53</f>
        <v>0.93820951708723022</v>
      </c>
      <c r="S53" s="62">
        <f>SUMIF('FERC Form 1_2 Data'!$C$11:$C$179,$A41,'FERC Form 1_2 Data'!$EP$11:$EP$179)/(SUMIF('FERC Form 1_2 Data'!$C$11:$C$179,$A41,'FERC Form 1_2 Data'!$ET$11:$ET$179))</f>
        <v>0.88716370950294621</v>
      </c>
      <c r="T53" s="62">
        <f>SUMIF('FERC Form 1_2 Data'!$C$11:$C$179,$A41,'FERC Form 1_2 Data'!$EQ$11:$EQ$179)/(SUMIF('FERC Form 1_2 Data'!$C$11:$C$179,$A41,'FERC Form 1_2 Data'!$ET$11:$ET$179))</f>
        <v>0.11283629049705378</v>
      </c>
      <c r="U53" s="63">
        <f t="shared" ref="U53:V54" si="22">IF(OR(ISBLANK($R53),ISBLANK(S53)),"NA",$R53*S53)</f>
        <v>0.832345435470075</v>
      </c>
      <c r="V53" s="63">
        <f t="shared" si="22"/>
        <v>0.10586408161715526</v>
      </c>
      <c r="W53" s="63"/>
      <c r="X53" s="63"/>
    </row>
    <row r="54" spans="1:24" x14ac:dyDescent="0.2">
      <c r="A54" s="21"/>
      <c r="B54" s="21"/>
      <c r="C54" s="20">
        <v>2017</v>
      </c>
      <c r="D54" s="32">
        <f>SUM(E54:K54)</f>
        <v>32027000</v>
      </c>
      <c r="E54" s="43">
        <f>11132000+5766000</f>
        <v>16898000</v>
      </c>
      <c r="F54" s="43">
        <v>474000</v>
      </c>
      <c r="G54" s="43">
        <v>1201000</v>
      </c>
      <c r="H54" s="43">
        <v>5649000</v>
      </c>
      <c r="I54" s="49">
        <v>2419000</v>
      </c>
      <c r="J54" s="49">
        <f>2298000+1167000</f>
        <v>3465000</v>
      </c>
      <c r="K54" s="49">
        <v>1921000</v>
      </c>
      <c r="L54" s="22"/>
      <c r="M54" s="22"/>
      <c r="N54" s="21"/>
      <c r="O54" s="21"/>
      <c r="P54" s="21"/>
      <c r="Q54" s="21" t="str">
        <f t="shared" si="21"/>
        <v>AEE2017ASSETS</v>
      </c>
      <c r="R54" s="61">
        <f>SUM(E54:J54)/D54</f>
        <v>0.9400193586661254</v>
      </c>
      <c r="S54" s="62">
        <f>SUMIF('FERC Form 1_2 Data'!$C$11:$C$179,$A41,'FERC Form 1_2 Data'!$EV$11:$EV$179)/(SUMIF('FERC Form 1_2 Data'!$C$11:$C$179,$A41,'FERC Form 1_2 Data'!$EZ$11:$EZ$179))</f>
        <v>0.89466067269867255</v>
      </c>
      <c r="T54" s="62">
        <f>SUMIF('FERC Form 1_2 Data'!$C$11:$C$179,$A41,'FERC Form 1_2 Data'!$EW$11:$EW$179)/(SUMIF('FERC Form 1_2 Data'!$C$11:$C$179,$A41,'FERC Form 1_2 Data'!$EZ$11:$EZ$179))</f>
        <v>0.10533932730132746</v>
      </c>
      <c r="U54" s="63">
        <f t="shared" si="22"/>
        <v>0.8409983517740105</v>
      </c>
      <c r="V54" s="63">
        <f t="shared" si="22"/>
        <v>9.9021006892114918E-2</v>
      </c>
      <c r="W54" s="63"/>
      <c r="X54" s="63"/>
    </row>
    <row r="55" spans="1:24" x14ac:dyDescent="0.2">
      <c r="D55" s="76"/>
      <c r="R55" s="66"/>
      <c r="U55" s="67"/>
    </row>
    <row r="56" spans="1:24" x14ac:dyDescent="0.2">
      <c r="D56" s="76"/>
    </row>
    <row r="57" spans="1:24" x14ac:dyDescent="0.2">
      <c r="D57" s="77"/>
    </row>
    <row r="59" spans="1:24" x14ac:dyDescent="0.2">
      <c r="A59" s="18" t="s">
        <v>34</v>
      </c>
      <c r="B59" s="19"/>
      <c r="C59" s="20"/>
      <c r="D59" s="21"/>
      <c r="E59" s="22"/>
      <c r="F59" s="33"/>
      <c r="G59" s="33"/>
      <c r="H59" s="33"/>
      <c r="I59" s="33"/>
      <c r="J59" s="33"/>
      <c r="K59" s="33"/>
      <c r="L59" s="22"/>
      <c r="M59" s="22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x14ac:dyDescent="0.2">
      <c r="A60" s="21" t="s">
        <v>113</v>
      </c>
      <c r="B60" s="19"/>
      <c r="C60" s="20"/>
      <c r="D60" s="21"/>
      <c r="E60" s="22"/>
      <c r="F60" s="33"/>
      <c r="G60" s="33"/>
      <c r="H60" s="33"/>
      <c r="I60" s="33"/>
      <c r="J60" s="33"/>
      <c r="K60" s="33"/>
      <c r="L60" s="22"/>
      <c r="M60" s="22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63.75" x14ac:dyDescent="0.2">
      <c r="A61" s="18" t="s">
        <v>35</v>
      </c>
      <c r="B61" s="19"/>
      <c r="C61" s="20"/>
      <c r="D61" s="20" t="s">
        <v>75</v>
      </c>
      <c r="E61" s="72" t="s">
        <v>114</v>
      </c>
      <c r="F61" s="72" t="s">
        <v>115</v>
      </c>
      <c r="G61" s="72" t="s">
        <v>116</v>
      </c>
      <c r="H61" s="72" t="s">
        <v>117</v>
      </c>
      <c r="I61" s="72" t="s">
        <v>90</v>
      </c>
      <c r="J61" s="72" t="s">
        <v>118</v>
      </c>
      <c r="K61" s="22"/>
      <c r="L61" s="22"/>
      <c r="M61" s="21"/>
      <c r="N61" s="21"/>
      <c r="O61" s="21"/>
      <c r="P61" s="21"/>
      <c r="Q61" s="29"/>
      <c r="R61" s="30" t="s">
        <v>77</v>
      </c>
      <c r="S61" s="30" t="s">
        <v>78</v>
      </c>
      <c r="T61" s="30" t="s">
        <v>79</v>
      </c>
      <c r="U61" s="30" t="s">
        <v>80</v>
      </c>
      <c r="V61" s="30" t="s">
        <v>81</v>
      </c>
      <c r="W61" s="31"/>
      <c r="X61" s="31"/>
    </row>
    <row r="62" spans="1:24" x14ac:dyDescent="0.2">
      <c r="A62" s="18"/>
      <c r="B62" s="19"/>
      <c r="C62" s="20">
        <v>2019</v>
      </c>
      <c r="D62" s="32">
        <f>SUM(E62:L62)</f>
        <v>15561400</v>
      </c>
      <c r="E62" s="72">
        <v>9367100</v>
      </c>
      <c r="F62" s="72">
        <v>4482500</v>
      </c>
      <c r="G62" s="72">
        <v>1073200</v>
      </c>
      <c r="H62" s="72">
        <v>1857600</v>
      </c>
      <c r="I62" s="72">
        <v>95800</v>
      </c>
      <c r="J62" s="72">
        <v>-1314800</v>
      </c>
      <c r="K62" s="22"/>
      <c r="L62" s="22"/>
      <c r="M62" s="21"/>
      <c r="N62" s="21"/>
      <c r="O62" s="21"/>
      <c r="P62" s="21"/>
      <c r="Q62" s="21" t="str">
        <f>$A$61&amp;C62&amp;"REV"</f>
        <v>AEP2019REV</v>
      </c>
      <c r="R62" s="66">
        <f>SUM(E62:G62)/D62</f>
        <v>0.95896256120914569</v>
      </c>
      <c r="S62" s="66">
        <f>SUM(E62:G62)/SUM(E62:G62)</f>
        <v>1</v>
      </c>
      <c r="T62" s="66">
        <v>0</v>
      </c>
      <c r="U62" s="34">
        <f>IF(OR(ISBLANK($R62),ISBLANK(S62)),"NA",$R62*S62)</f>
        <v>0.95896256120914569</v>
      </c>
      <c r="V62" s="34">
        <f t="shared" ref="U62:V64" si="23">IF(OR(ISBLANK($R62),ISBLANK(T62)),"NA",$R62*T62)</f>
        <v>0</v>
      </c>
      <c r="W62" s="34"/>
      <c r="X62" s="34"/>
    </row>
    <row r="63" spans="1:24" x14ac:dyDescent="0.2">
      <c r="A63" s="21"/>
      <c r="B63" s="19" t="s">
        <v>82</v>
      </c>
      <c r="C63" s="20">
        <v>2018</v>
      </c>
      <c r="D63" s="32">
        <f>SUM(E63:L63)</f>
        <v>16195700</v>
      </c>
      <c r="E63" s="72">
        <v>9645500</v>
      </c>
      <c r="F63" s="72">
        <v>4653100</v>
      </c>
      <c r="G63" s="72">
        <v>804100</v>
      </c>
      <c r="H63" s="72">
        <v>1940300</v>
      </c>
      <c r="I63" s="72">
        <v>95100</v>
      </c>
      <c r="J63" s="72">
        <v>-942400</v>
      </c>
      <c r="K63" s="22"/>
      <c r="L63" s="22"/>
      <c r="M63" s="21"/>
      <c r="N63" s="21"/>
      <c r="O63" s="21"/>
      <c r="P63" s="21"/>
      <c r="Q63" s="21" t="str">
        <f t="shared" ref="Q63:Q64" si="24">$A$61&amp;C63&amp;"REV"</f>
        <v>AEP2018REV</v>
      </c>
      <c r="R63" s="66">
        <f>SUM(E63:G63)/D63</f>
        <v>0.93251295096846698</v>
      </c>
      <c r="S63" s="66">
        <f>SUM(E63:G63)/SUM(E63:G63)</f>
        <v>1</v>
      </c>
      <c r="T63" s="66">
        <v>0</v>
      </c>
      <c r="U63" s="34">
        <f t="shared" si="23"/>
        <v>0.93251295096846698</v>
      </c>
      <c r="V63" s="34">
        <f t="shared" si="23"/>
        <v>0</v>
      </c>
      <c r="W63" s="34"/>
      <c r="X63" s="34"/>
    </row>
    <row r="64" spans="1:24" x14ac:dyDescent="0.2">
      <c r="A64" s="21"/>
      <c r="B64" s="19"/>
      <c r="C64" s="20">
        <v>2017</v>
      </c>
      <c r="D64" s="32">
        <f>SUM(E64:L64)</f>
        <v>15424900</v>
      </c>
      <c r="E64" s="33">
        <v>9192000</v>
      </c>
      <c r="F64" s="33">
        <v>4419300</v>
      </c>
      <c r="G64" s="33">
        <v>766700</v>
      </c>
      <c r="H64" s="33">
        <v>1875100</v>
      </c>
      <c r="I64" s="38">
        <v>120800</v>
      </c>
      <c r="J64" s="38">
        <v>-949000</v>
      </c>
      <c r="K64" s="22"/>
      <c r="L64" s="22"/>
      <c r="M64" s="21"/>
      <c r="N64" s="21"/>
      <c r="O64" s="21"/>
      <c r="P64" s="21"/>
      <c r="Q64" s="21" t="str">
        <f t="shared" si="24"/>
        <v>AEP2017REV</v>
      </c>
      <c r="R64" s="66">
        <f>SUM(E64:G64)/D64</f>
        <v>0.93212921963837692</v>
      </c>
      <c r="S64" s="66">
        <f>SUM(E64:G64)/SUM(E64:G64)</f>
        <v>1</v>
      </c>
      <c r="T64" s="66">
        <v>0</v>
      </c>
      <c r="U64" s="34">
        <f t="shared" si="23"/>
        <v>0.93212921963837692</v>
      </c>
      <c r="V64" s="34">
        <f t="shared" si="23"/>
        <v>0</v>
      </c>
      <c r="W64" s="34"/>
      <c r="X64" s="34"/>
    </row>
    <row r="65" spans="1:26" x14ac:dyDescent="0.2">
      <c r="A65" s="21"/>
      <c r="B65" s="19"/>
      <c r="C65" s="20"/>
      <c r="D65" s="21"/>
      <c r="E65" s="33"/>
      <c r="F65" s="33"/>
      <c r="G65" s="33"/>
      <c r="H65" s="33"/>
      <c r="I65" s="33"/>
      <c r="J65" s="33"/>
      <c r="K65" s="22"/>
      <c r="L65" s="22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Z65" s="64"/>
    </row>
    <row r="66" spans="1:26" x14ac:dyDescent="0.2">
      <c r="A66" s="21"/>
      <c r="B66" s="19"/>
      <c r="C66" s="20">
        <v>2019</v>
      </c>
      <c r="D66" s="32">
        <f>SUM(E66:J66)</f>
        <v>2598700</v>
      </c>
      <c r="E66" s="33">
        <v>1328800</v>
      </c>
      <c r="F66" s="38">
        <v>597800</v>
      </c>
      <c r="G66" s="38">
        <v>596400</v>
      </c>
      <c r="H66" s="38">
        <v>61500</v>
      </c>
      <c r="I66" s="38">
        <f>-141000+27600+193700</f>
        <v>80300</v>
      </c>
      <c r="J66" s="38">
        <v>-66100</v>
      </c>
      <c r="K66" s="33"/>
      <c r="L66" s="22"/>
      <c r="M66" s="21"/>
      <c r="N66" s="21"/>
      <c r="O66" s="21"/>
      <c r="P66" s="21"/>
      <c r="Q66" s="21" t="str">
        <f>$A$61&amp;C66&amp;"INC"</f>
        <v>AEP2019INC</v>
      </c>
      <c r="R66" s="66">
        <f>SUM(E66:G66)/D66</f>
        <v>0.97087005040982033</v>
      </c>
      <c r="S66" s="66">
        <f>SUM(E66:G66)/SUM(E66:G66)</f>
        <v>1</v>
      </c>
      <c r="T66" s="66">
        <v>0</v>
      </c>
      <c r="U66" s="34">
        <f t="shared" ref="U66:V68" si="25">IF(OR(ISBLANK($R66),ISBLANK(S66)),"NA",$R66*S66)</f>
        <v>0.97087005040982033</v>
      </c>
      <c r="V66" s="34">
        <f t="shared" si="25"/>
        <v>0</v>
      </c>
      <c r="W66" s="34"/>
      <c r="X66" s="34"/>
    </row>
    <row r="67" spans="1:26" x14ac:dyDescent="0.2">
      <c r="A67" s="21"/>
      <c r="B67" s="19" t="s">
        <v>83</v>
      </c>
      <c r="C67" s="20">
        <v>2018</v>
      </c>
      <c r="D67" s="32">
        <f>SUM(E67:J67)</f>
        <v>2668500</v>
      </c>
      <c r="E67" s="33">
        <v>1444000</v>
      </c>
      <c r="F67" s="38">
        <v>749800</v>
      </c>
      <c r="G67" s="38">
        <v>418400</v>
      </c>
      <c r="H67" s="38">
        <v>71600</v>
      </c>
      <c r="I67" s="38">
        <f>-99300+21100+122600</f>
        <v>44400</v>
      </c>
      <c r="J67" s="38">
        <v>-59700</v>
      </c>
      <c r="K67" s="22"/>
      <c r="L67" s="22"/>
      <c r="M67" s="21"/>
      <c r="N67" s="21"/>
      <c r="O67" s="21"/>
      <c r="P67" s="21"/>
      <c r="Q67" s="21" t="str">
        <f t="shared" ref="Q67:Q68" si="26">$A$61&amp;C67&amp;"INC"</f>
        <v>AEP2018INC</v>
      </c>
      <c r="R67" s="66">
        <f>SUM(E67:G67)/D67</f>
        <v>0.97890200487165069</v>
      </c>
      <c r="S67" s="66">
        <f>SUM(E67:G67)/SUM(E67:G67)</f>
        <v>1</v>
      </c>
      <c r="T67" s="66">
        <v>0</v>
      </c>
      <c r="U67" s="34">
        <f t="shared" si="25"/>
        <v>0.97890200487165069</v>
      </c>
      <c r="V67" s="34">
        <f t="shared" si="25"/>
        <v>0</v>
      </c>
      <c r="W67" s="34"/>
      <c r="X67" s="34"/>
    </row>
    <row r="68" spans="1:26" x14ac:dyDescent="0.2">
      <c r="A68" s="21"/>
      <c r="B68" s="19"/>
      <c r="C68" s="20">
        <v>2017</v>
      </c>
      <c r="D68" s="32">
        <f>SUM(E68:L68)</f>
        <v>3528900</v>
      </c>
      <c r="E68" s="33">
        <v>1699200</v>
      </c>
      <c r="F68" s="38">
        <v>974300</v>
      </c>
      <c r="G68" s="38">
        <v>475800</v>
      </c>
      <c r="H68" s="38">
        <v>355000</v>
      </c>
      <c r="I68" s="38">
        <f>-32400+37400+63900</f>
        <v>68900</v>
      </c>
      <c r="J68" s="38">
        <v>-44300</v>
      </c>
      <c r="K68" s="22"/>
      <c r="L68" s="22"/>
      <c r="M68" s="21"/>
      <c r="N68" s="21"/>
      <c r="O68" s="21"/>
      <c r="P68" s="21"/>
      <c r="Q68" s="21" t="str">
        <f t="shared" si="26"/>
        <v>AEP2017INC</v>
      </c>
      <c r="R68" s="62">
        <f>IF(SUM(E68:G68)/(D68-H68)&gt;100%,100%,SUM(E68:G68)/(D68-H68))</f>
        <v>0.9922492832162324</v>
      </c>
      <c r="S68" s="66">
        <f>SUM(E68:G68)/SUM(E68:G68)</f>
        <v>1</v>
      </c>
      <c r="T68" s="66">
        <v>0</v>
      </c>
      <c r="U68" s="34">
        <f t="shared" si="25"/>
        <v>0.9922492832162324</v>
      </c>
      <c r="V68" s="34">
        <f t="shared" si="25"/>
        <v>0</v>
      </c>
      <c r="W68" s="34"/>
      <c r="X68" s="34"/>
    </row>
    <row r="69" spans="1:26" x14ac:dyDescent="0.2">
      <c r="A69" s="21"/>
      <c r="B69" s="19"/>
      <c r="C69" s="20"/>
      <c r="D69" s="57"/>
      <c r="E69" s="33"/>
      <c r="F69" s="33"/>
      <c r="G69" s="33"/>
      <c r="H69" s="33"/>
      <c r="I69" s="33"/>
      <c r="J69" s="33"/>
      <c r="K69" s="22"/>
      <c r="L69" s="22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Z69" s="64"/>
    </row>
    <row r="70" spans="1:26" x14ac:dyDescent="0.2">
      <c r="A70" s="21"/>
      <c r="B70" s="19"/>
      <c r="C70" s="20">
        <v>2019</v>
      </c>
      <c r="D70" s="32">
        <f>SUM(E70:L70)</f>
        <v>75892300</v>
      </c>
      <c r="E70" s="38">
        <v>41228800</v>
      </c>
      <c r="F70" s="38">
        <v>18757500</v>
      </c>
      <c r="G70" s="38">
        <v>11143500</v>
      </c>
      <c r="H70" s="38">
        <v>3123800</v>
      </c>
      <c r="I70" s="38">
        <v>5440000</v>
      </c>
      <c r="J70" s="38">
        <v>-3801300</v>
      </c>
      <c r="K70" s="22"/>
      <c r="L70" s="22"/>
      <c r="M70" s="21"/>
      <c r="N70" s="21"/>
      <c r="O70" s="21"/>
      <c r="P70" s="21"/>
      <c r="Q70" s="21" t="str">
        <f>$A$61&amp;C70&amp;"ASSETS"</f>
        <v>AEP2019ASSETS</v>
      </c>
      <c r="R70" s="66">
        <f>SUM(E70:G70)/D70</f>
        <v>0.93724659813973221</v>
      </c>
      <c r="S70" s="66">
        <f>SUM(E70:G70)/SUM(E70:G70)</f>
        <v>1</v>
      </c>
      <c r="T70" s="66">
        <v>0</v>
      </c>
      <c r="U70" s="34">
        <f t="shared" ref="U70:V72" si="27">IF(OR(ISBLANK($R70),ISBLANK(S70)),"NA",$R70*S70)</f>
        <v>0.93724659813973221</v>
      </c>
      <c r="V70" s="34">
        <f t="shared" si="27"/>
        <v>0</v>
      </c>
      <c r="W70" s="34"/>
      <c r="X70" s="34"/>
    </row>
    <row r="71" spans="1:26" x14ac:dyDescent="0.2">
      <c r="A71" s="21"/>
      <c r="B71" s="19" t="s">
        <v>84</v>
      </c>
      <c r="C71" s="20">
        <v>2018</v>
      </c>
      <c r="D71" s="32">
        <f>SUM(E71:L71)</f>
        <v>68802800</v>
      </c>
      <c r="E71" s="38">
        <v>38874300</v>
      </c>
      <c r="F71" s="38">
        <v>17083400</v>
      </c>
      <c r="G71" s="38">
        <v>9543700</v>
      </c>
      <c r="H71" s="38">
        <v>1979700</v>
      </c>
      <c r="I71" s="38">
        <v>4036500</v>
      </c>
      <c r="J71" s="38">
        <v>-2714800</v>
      </c>
      <c r="K71" s="22"/>
      <c r="L71" s="22"/>
      <c r="M71" s="21"/>
      <c r="N71" s="21"/>
      <c r="O71" s="21"/>
      <c r="P71" s="21"/>
      <c r="Q71" s="21" t="str">
        <f t="shared" ref="Q71:Q72" si="28">$A$61&amp;C71&amp;"ASSETS"</f>
        <v>AEP2018ASSETS</v>
      </c>
      <c r="R71" s="66">
        <f>SUM(E71:G71)/D71</f>
        <v>0.95201648770108194</v>
      </c>
      <c r="S71" s="66">
        <f>SUM(E71:G71)/SUM(E71:G71)</f>
        <v>1</v>
      </c>
      <c r="T71" s="66">
        <v>0</v>
      </c>
      <c r="U71" s="34">
        <f t="shared" si="27"/>
        <v>0.95201648770108194</v>
      </c>
      <c r="V71" s="34">
        <f t="shared" si="27"/>
        <v>0</v>
      </c>
      <c r="W71" s="34"/>
      <c r="X71" s="34"/>
    </row>
    <row r="72" spans="1:26" x14ac:dyDescent="0.2">
      <c r="A72" s="21"/>
      <c r="B72" s="21"/>
      <c r="C72" s="20">
        <v>2017</v>
      </c>
      <c r="D72" s="32">
        <f>SUM(E72:L72)</f>
        <v>64729100</v>
      </c>
      <c r="E72" s="38">
        <v>37579700</v>
      </c>
      <c r="F72" s="38">
        <v>16060700</v>
      </c>
      <c r="G72" s="38">
        <v>8141800</v>
      </c>
      <c r="H72" s="38">
        <v>2009800</v>
      </c>
      <c r="I72" s="38">
        <v>3959100</v>
      </c>
      <c r="J72" s="38">
        <v>-3022000</v>
      </c>
      <c r="K72" s="22"/>
      <c r="L72" s="22"/>
      <c r="M72" s="21"/>
      <c r="N72" s="21"/>
      <c r="O72" s="21"/>
      <c r="P72" s="21"/>
      <c r="Q72" s="21" t="str">
        <f t="shared" si="28"/>
        <v>AEP2017ASSETS</v>
      </c>
      <c r="R72" s="66">
        <f>SUM(E72:G72)/D72</f>
        <v>0.95447333579487437</v>
      </c>
      <c r="S72" s="66">
        <f>SUM(E72:G72)/SUM(E72:G72)</f>
        <v>1</v>
      </c>
      <c r="T72" s="66">
        <v>0</v>
      </c>
      <c r="U72" s="34">
        <f t="shared" si="27"/>
        <v>0.95447333579487437</v>
      </c>
      <c r="V72" s="34">
        <f t="shared" si="27"/>
        <v>0</v>
      </c>
      <c r="W72" s="34"/>
      <c r="X72" s="34"/>
    </row>
    <row r="73" spans="1:26" x14ac:dyDescent="0.2">
      <c r="B73" s="23"/>
      <c r="D73" s="76"/>
      <c r="R73" s="66"/>
      <c r="S73" s="66"/>
      <c r="T73" s="66"/>
      <c r="U73" s="66"/>
      <c r="V73" s="63"/>
      <c r="W73" s="63"/>
      <c r="X73" s="63"/>
      <c r="Z73" s="64"/>
    </row>
    <row r="74" spans="1:26" x14ac:dyDescent="0.2">
      <c r="D74" s="76"/>
    </row>
    <row r="75" spans="1:26" x14ac:dyDescent="0.2">
      <c r="D75" s="76"/>
    </row>
    <row r="76" spans="1:26" x14ac:dyDescent="0.2">
      <c r="A76" s="18" t="s">
        <v>119</v>
      </c>
      <c r="B76" s="19"/>
      <c r="C76" s="20"/>
      <c r="D76" s="21"/>
      <c r="E76" s="28"/>
      <c r="F76" s="28"/>
      <c r="G76" s="28"/>
      <c r="H76" s="28"/>
      <c r="I76" s="28"/>
      <c r="J76" s="28"/>
      <c r="K76" s="28"/>
      <c r="L76" s="22"/>
      <c r="M76" s="22"/>
      <c r="N76" s="21"/>
      <c r="O76" s="21"/>
      <c r="P76" s="21"/>
      <c r="Q76" s="21"/>
      <c r="R76" s="21"/>
    </row>
    <row r="77" spans="1:26" x14ac:dyDescent="0.2">
      <c r="A77" s="21" t="s">
        <v>120</v>
      </c>
      <c r="B77" s="19"/>
      <c r="C77" s="20"/>
      <c r="D77" s="21"/>
      <c r="E77" s="28"/>
      <c r="F77" s="28"/>
      <c r="G77" s="28"/>
      <c r="H77" s="28"/>
      <c r="I77" s="28"/>
      <c r="J77" s="28"/>
      <c r="K77" s="28"/>
      <c r="L77" s="22"/>
      <c r="M77" s="22"/>
      <c r="N77" s="21"/>
      <c r="O77" s="21"/>
      <c r="P77" s="21"/>
      <c r="Q77" s="21"/>
      <c r="R77" s="21"/>
    </row>
    <row r="78" spans="1:26" ht="63.75" x14ac:dyDescent="0.2">
      <c r="A78" s="18" t="s">
        <v>121</v>
      </c>
      <c r="B78" s="19"/>
      <c r="C78" s="20" t="s">
        <v>74</v>
      </c>
      <c r="D78" s="20" t="s">
        <v>75</v>
      </c>
      <c r="E78" s="26" t="s">
        <v>122</v>
      </c>
      <c r="F78" s="26" t="s">
        <v>123</v>
      </c>
      <c r="G78" s="26" t="s">
        <v>88</v>
      </c>
      <c r="H78" s="21"/>
      <c r="I78" s="28"/>
      <c r="J78" s="28"/>
      <c r="K78" s="28"/>
      <c r="L78" s="22"/>
      <c r="M78" s="22"/>
      <c r="N78" s="21"/>
      <c r="O78" s="21"/>
      <c r="P78" s="21"/>
      <c r="Q78" s="29"/>
      <c r="R78" s="30" t="s">
        <v>77</v>
      </c>
      <c r="S78" s="59" t="s">
        <v>78</v>
      </c>
      <c r="T78" s="59" t="s">
        <v>79</v>
      </c>
      <c r="U78" s="59" t="s">
        <v>80</v>
      </c>
      <c r="V78" s="59" t="s">
        <v>81</v>
      </c>
      <c r="W78" s="60"/>
      <c r="X78" s="60"/>
    </row>
    <row r="79" spans="1:26" x14ac:dyDescent="0.2">
      <c r="A79" s="21"/>
      <c r="B79" s="19"/>
      <c r="C79" s="20">
        <v>2019</v>
      </c>
      <c r="D79" s="32">
        <f>SUM(E79:G79)</f>
        <v>6338000</v>
      </c>
      <c r="E79" s="26">
        <v>5164000</v>
      </c>
      <c r="F79" s="26">
        <v>1186000</v>
      </c>
      <c r="G79" s="26">
        <v>-12000</v>
      </c>
      <c r="H79" s="21"/>
      <c r="I79" s="28"/>
      <c r="J79" s="28"/>
      <c r="K79" s="28"/>
      <c r="L79" s="22"/>
      <c r="M79" s="22"/>
      <c r="N79" s="21"/>
      <c r="O79" s="21"/>
      <c r="P79" s="21"/>
      <c r="Q79" s="21" t="str">
        <f>$A$78&amp;C79&amp;"REV"</f>
        <v>AGR2019REV</v>
      </c>
      <c r="R79" s="78">
        <f>E79/D79</f>
        <v>0.81476806563584725</v>
      </c>
      <c r="S79" s="62">
        <f>SUMIF('FERC Form 1_2 Data'!$C$11:$C$179,$A76,'FERC Form 1_2 Data'!$D$11:$D$179)/SUM(SUMIF('FERC Form 1_2 Data'!$C$11:$C$179,$A76,'FERC Form 1_2 Data'!$D$11:$D$179),SUMIF('FERC Form 1_2 Data'!$C$11:$C$179,$A76,'FERC Form 1_2 Data'!$E$11:$E$179),SUMIF('FERC Form 1_2 Data'!$C$11:$C$179,$A76,'FERC Form 1_2 Data'!$F$11:$F$179))</f>
        <v>0.71273773436678078</v>
      </c>
      <c r="T79" s="62">
        <f>SUMIF('FERC Form 1_2 Data'!$C$11:$C$179,$A76,'FERC Form 1_2 Data'!$E$11:$E$179)/SUM(SUMIF('FERC Form 1_2 Data'!$C$11:$C$179,$A76,'FERC Form 1_2 Data'!$D$11:$D$179),SUMIF('FERC Form 1_2 Data'!$C$11:$C$179,$A76,'FERC Form 1_2 Data'!$E$11:$E$179),SUMIF('FERC Form 1_2 Data'!$C$11:$C$179,$A76,'FERC Form 1_2 Data'!$F$11:$F$179))</f>
        <v>0.28726226563321927</v>
      </c>
      <c r="U79" s="63">
        <f t="shared" ref="U79:V81" si="29">IF(OR(ISBLANK($R79),ISBLANK(S79)),"NA",$R79*S79)</f>
        <v>0.58071594513569835</v>
      </c>
      <c r="V79" s="63">
        <f t="shared" si="29"/>
        <v>0.23405212050014898</v>
      </c>
      <c r="W79" s="63"/>
      <c r="X79" s="63"/>
    </row>
    <row r="80" spans="1:26" x14ac:dyDescent="0.2">
      <c r="A80" s="21"/>
      <c r="B80" s="19" t="s">
        <v>82</v>
      </c>
      <c r="C80" s="20">
        <v>2018</v>
      </c>
      <c r="D80" s="32">
        <f>SUM(E80:G80)</f>
        <v>6478000</v>
      </c>
      <c r="E80" s="28">
        <v>5310000</v>
      </c>
      <c r="F80" s="28">
        <v>1139000</v>
      </c>
      <c r="G80" s="28">
        <v>29000</v>
      </c>
      <c r="H80" s="21"/>
      <c r="I80" s="28"/>
      <c r="J80" s="28"/>
      <c r="K80" s="28"/>
      <c r="L80" s="22"/>
      <c r="M80" s="22"/>
      <c r="N80" s="21"/>
      <c r="O80" s="21"/>
      <c r="P80" s="21"/>
      <c r="Q80" s="21" t="str">
        <f t="shared" ref="Q80:Q81" si="30">$A$78&amp;C80&amp;"REV"</f>
        <v>AGR2018REV</v>
      </c>
      <c r="R80" s="78">
        <f t="shared" ref="R80:R89" si="31">E80/D80</f>
        <v>0.81969743748070389</v>
      </c>
      <c r="S80" s="62">
        <f>SUMIF('FERC Form 1_2 Data'!$C$11:$C$179,$A76,'FERC Form 1_2 Data'!$G$11:$G$179)/SUM(SUMIF('FERC Form 1_2 Data'!$C$11:$C$179,$A76,'FERC Form 1_2 Data'!$G$11:$G$179),SUMIF('FERC Form 1_2 Data'!$C$11:$C$179,$A76,'FERC Form 1_2 Data'!$H$11:$H$179),SUMIF('FERC Form 1_2 Data'!$C$11:$C$179,$A76,'FERC Form 1_2 Data'!$I$11:$I$179))</f>
        <v>0.71851956554477314</v>
      </c>
      <c r="T80" s="62">
        <f>SUMIF('FERC Form 1_2 Data'!$C$11:$C$179,$A76,'FERC Form 1_2 Data'!$H$11:$H$179)/SUM(SUMIF('FERC Form 1_2 Data'!$C$11:$C$179,$A76,'FERC Form 1_2 Data'!$G$11:$G$179),SUMIF('FERC Form 1_2 Data'!$C$11:$C$179,$A76,'FERC Form 1_2 Data'!$H$11:$H$179),SUMIF('FERC Form 1_2 Data'!$C$11:$C$179,$A76,'FERC Form 1_2 Data'!$I$11:$I$179))</f>
        <v>0.28148043445522686</v>
      </c>
      <c r="U80" s="63">
        <f t="shared" si="29"/>
        <v>0.58896864665679916</v>
      </c>
      <c r="V80" s="63">
        <f t="shared" si="29"/>
        <v>0.23072879082390468</v>
      </c>
      <c r="W80" s="63"/>
      <c r="X80" s="63"/>
    </row>
    <row r="81" spans="1:24" x14ac:dyDescent="0.2">
      <c r="A81" s="21"/>
      <c r="B81" s="19"/>
      <c r="C81" s="20">
        <v>2017</v>
      </c>
      <c r="D81" s="32">
        <f>SUM(E81:G81)</f>
        <v>5963000</v>
      </c>
      <c r="E81" s="28">
        <v>4961000</v>
      </c>
      <c r="F81" s="28">
        <v>1047000</v>
      </c>
      <c r="G81" s="28">
        <v>-45000</v>
      </c>
      <c r="H81" s="21"/>
      <c r="I81" s="28"/>
      <c r="J81" s="28"/>
      <c r="K81" s="28"/>
      <c r="L81" s="22"/>
      <c r="M81" s="22"/>
      <c r="N81" s="21"/>
      <c r="O81" s="21"/>
      <c r="P81" s="21"/>
      <c r="Q81" s="21" t="str">
        <f t="shared" si="30"/>
        <v>AGR2017REV</v>
      </c>
      <c r="R81" s="78">
        <f t="shared" si="31"/>
        <v>0.83196377662250542</v>
      </c>
      <c r="S81" s="62">
        <f>SUMIF('FERC Form 1_2 Data'!$C$11:$C$179,$A76,'FERC Form 1_2 Data'!$J$11:$J$179)/SUM(SUMIF('FERC Form 1_2 Data'!$C$11:$C$179,$A76,'FERC Form 1_2 Data'!$J$11:$J$179),SUMIF('FERC Form 1_2 Data'!$C$11:$C$179,$A76,'FERC Form 1_2 Data'!$K$11:$K$179),SUMIF('FERC Form 1_2 Data'!$C$11:$C$179,$A76,'FERC Form 1_2 Data'!$L$11:$L$179))</f>
        <v>0.72325994144375094</v>
      </c>
      <c r="T81" s="62">
        <f>SUMIF('FERC Form 1_2 Data'!$C$11:$C$179,$A76,'FERC Form 1_2 Data'!$K$11:$K$179)/SUM(SUMIF('FERC Form 1_2 Data'!$C$11:$C$179,$A76,'FERC Form 1_2 Data'!$J$11:$J$179),SUMIF('FERC Form 1_2 Data'!$C$11:$C$179,$A76,'FERC Form 1_2 Data'!$K$11:$K$179),SUMIF('FERC Form 1_2 Data'!$C$11:$C$179,$A76,'FERC Form 1_2 Data'!$L$11:$L$179))</f>
        <v>0.27674005855624906</v>
      </c>
      <c r="U81" s="63">
        <f t="shared" si="29"/>
        <v>0.60172607236331521</v>
      </c>
      <c r="V81" s="63">
        <f t="shared" si="29"/>
        <v>0.23023770425919027</v>
      </c>
      <c r="W81" s="63"/>
      <c r="X81" s="63"/>
    </row>
    <row r="82" spans="1:24" x14ac:dyDescent="0.2">
      <c r="A82" s="21"/>
      <c r="B82" s="19"/>
      <c r="C82" s="20"/>
      <c r="D82" s="21"/>
      <c r="E82" s="28"/>
      <c r="F82" s="28"/>
      <c r="G82" s="28"/>
      <c r="H82" s="21"/>
      <c r="I82" s="28"/>
      <c r="J82" s="28"/>
      <c r="K82" s="28"/>
      <c r="L82" s="22"/>
      <c r="M82" s="22"/>
      <c r="N82" s="21"/>
      <c r="O82" s="21"/>
      <c r="P82" s="21"/>
      <c r="Q82" s="21"/>
      <c r="R82" s="79"/>
    </row>
    <row r="83" spans="1:24" x14ac:dyDescent="0.2">
      <c r="A83" s="21"/>
      <c r="B83" s="19"/>
      <c r="C83" s="20">
        <v>2019</v>
      </c>
      <c r="D83" s="32">
        <f>SUM(E83:G83)</f>
        <v>1003000</v>
      </c>
      <c r="E83" s="28">
        <v>893000</v>
      </c>
      <c r="F83" s="28">
        <v>95000</v>
      </c>
      <c r="G83" s="28">
        <v>15000</v>
      </c>
      <c r="H83" s="21"/>
      <c r="I83" s="28"/>
      <c r="J83" s="28"/>
      <c r="K83" s="28"/>
      <c r="L83" s="22"/>
      <c r="M83" s="22"/>
      <c r="N83" s="21"/>
      <c r="O83" s="21"/>
      <c r="P83" s="21"/>
      <c r="Q83" s="21" t="str">
        <f>$A$78&amp;C83&amp;"INC"</f>
        <v>AGR2019INC</v>
      </c>
      <c r="R83" s="78">
        <f>IF(E83/D83&gt;100%,100%, E83/D83)</f>
        <v>0.89032901296111666</v>
      </c>
      <c r="S83" s="62">
        <f>SUMIF('FERC Form 1_2 Data'!$C$11:$C$179,$A76,'FERC Form 1_2 Data'!$Y$11:$Y$179)/SUMIF('FERC Form 1_2 Data'!$C$11:$C$179,$A76,'FERC Form 1_2 Data'!$EA$11:$EA$179)</f>
        <v>0.76742420363712649</v>
      </c>
      <c r="T83" s="62">
        <f>SUMIF('FERC Form 1_2 Data'!$C$11:$C$179,$A76,'FERC Form 1_2 Data'!$BL$11:$BL$179)/SUMIF('FERC Form 1_2 Data'!$C$11:$C$179,$A76,'FERC Form 1_2 Data'!$EA$11:$EA$179)</f>
        <v>0.23257579636287348</v>
      </c>
      <c r="U83" s="63">
        <f t="shared" ref="U83:V85" si="32">IF(OR(ISBLANK($R83),ISBLANK(S83)),"NA",$R83*S83)</f>
        <v>0.68326003374671385</v>
      </c>
      <c r="V83" s="63">
        <f t="shared" si="32"/>
        <v>0.20706897921440282</v>
      </c>
      <c r="W83" s="63"/>
      <c r="X83" s="63"/>
    </row>
    <row r="84" spans="1:24" x14ac:dyDescent="0.2">
      <c r="A84" s="21"/>
      <c r="B84" s="19" t="s">
        <v>83</v>
      </c>
      <c r="C84" s="20">
        <v>2018</v>
      </c>
      <c r="D84" s="32">
        <f>SUM(E84:G84)</f>
        <v>1127000</v>
      </c>
      <c r="E84" s="28">
        <v>975000</v>
      </c>
      <c r="F84" s="28">
        <v>136000</v>
      </c>
      <c r="G84" s="28">
        <v>16000</v>
      </c>
      <c r="H84" s="21"/>
      <c r="I84" s="28"/>
      <c r="J84" s="28"/>
      <c r="K84" s="28"/>
      <c r="L84" s="22"/>
      <c r="M84" s="22"/>
      <c r="N84" s="21"/>
      <c r="O84" s="21"/>
      <c r="P84" s="21"/>
      <c r="Q84" s="21" t="str">
        <f t="shared" ref="Q84:Q85" si="33">$A$78&amp;C84&amp;"INC"</f>
        <v>AGR2018INC</v>
      </c>
      <c r="R84" s="78">
        <f t="shared" ref="R84:R85" si="34">IF(E84/D84&gt;100%,100%, E84/D84)</f>
        <v>0.86512866015971601</v>
      </c>
      <c r="S84" s="62">
        <f>SUMIF('FERC Form 1_2 Data'!$C$11:$C$179,$A76,'FERC Form 1_2 Data'!$AL$11:$AL$179)/SUMIF('FERC Form 1_2 Data'!$C$11:$C$179,$A76,'FERC Form 1_2 Data'!$EB$11:$EB$179)</f>
        <v>0.77342348956894047</v>
      </c>
      <c r="T84" s="62">
        <f>SUMIF('FERC Form 1_2 Data'!$C$11:$C$179,$A76,'FERC Form 1_2 Data'!$BY$11:$BY$179)/SUMIF('FERC Form 1_2 Data'!$C$11:$C$179,$A76,'FERC Form 1_2 Data'!$EB$11:$EB$179)</f>
        <v>0.2265765104310595</v>
      </c>
      <c r="U84" s="63">
        <f t="shared" si="32"/>
        <v>0.66911082726682958</v>
      </c>
      <c r="V84" s="63">
        <f t="shared" si="32"/>
        <v>0.19601783289288643</v>
      </c>
      <c r="W84" s="63"/>
      <c r="X84" s="63"/>
    </row>
    <row r="85" spans="1:24" x14ac:dyDescent="0.2">
      <c r="A85" s="21"/>
      <c r="B85" s="19"/>
      <c r="C85" s="20">
        <v>2017</v>
      </c>
      <c r="D85" s="32">
        <f>SUM(E85:G85)</f>
        <v>505000</v>
      </c>
      <c r="E85" s="28">
        <v>1114000</v>
      </c>
      <c r="F85" s="28">
        <v>92000</v>
      </c>
      <c r="G85" s="28">
        <v>-701000</v>
      </c>
      <c r="H85" s="21"/>
      <c r="I85" s="28"/>
      <c r="J85" s="28"/>
      <c r="K85" s="28"/>
      <c r="L85" s="22"/>
      <c r="M85" s="22"/>
      <c r="N85" s="21"/>
      <c r="O85" s="21"/>
      <c r="P85" s="21"/>
      <c r="Q85" s="21" t="str">
        <f t="shared" si="33"/>
        <v>AGR2017INC</v>
      </c>
      <c r="R85" s="78">
        <f t="shared" si="34"/>
        <v>1</v>
      </c>
      <c r="S85" s="62">
        <f>SUMIF('FERC Form 1_2 Data'!$C$11:$C$179,$A76,'FERC Form 1_2 Data'!$AY$11:$AY$179)/SUMIF('FERC Form 1_2 Data'!$C$11:$C$179,$A76,'FERC Form 1_2 Data'!$EC$11:$EC$179)</f>
        <v>0.80670689290922304</v>
      </c>
      <c r="T85" s="62">
        <f>SUMIF('FERC Form 1_2 Data'!$C$11:$C$179,$A76,'FERC Form 1_2 Data'!$CL$11:$CL$179)/SUMIF('FERC Form 1_2 Data'!$C$11:$C$179,$A76,'FERC Form 1_2 Data'!$EC$11:$EC$179)</f>
        <v>0.19329310709077699</v>
      </c>
      <c r="U85" s="63">
        <f t="shared" si="32"/>
        <v>0.80670689290922304</v>
      </c>
      <c r="V85" s="63">
        <f t="shared" si="32"/>
        <v>0.19329310709077699</v>
      </c>
      <c r="W85" s="63"/>
      <c r="X85" s="63"/>
    </row>
    <row r="86" spans="1:24" x14ac:dyDescent="0.2">
      <c r="A86" s="21"/>
      <c r="B86" s="19"/>
      <c r="C86" s="20"/>
      <c r="D86" s="57"/>
      <c r="E86" s="28"/>
      <c r="F86" s="28"/>
      <c r="G86" s="28"/>
      <c r="H86" s="21"/>
      <c r="I86" s="28"/>
      <c r="J86" s="28"/>
      <c r="K86" s="28"/>
      <c r="L86" s="22"/>
      <c r="M86" s="22"/>
      <c r="N86" s="21"/>
      <c r="O86" s="21"/>
      <c r="P86" s="21"/>
      <c r="Q86" s="21"/>
      <c r="R86" s="79"/>
    </row>
    <row r="87" spans="1:24" x14ac:dyDescent="0.2">
      <c r="A87" s="21"/>
      <c r="B87" s="19"/>
      <c r="C87" s="20">
        <v>2019</v>
      </c>
      <c r="D87" s="32">
        <f>SUM(E87:G87)</f>
        <v>34416000</v>
      </c>
      <c r="E87" s="28">
        <v>23250000</v>
      </c>
      <c r="F87" s="28">
        <v>13163000</v>
      </c>
      <c r="G87" s="28">
        <v>-1997000</v>
      </c>
      <c r="H87" s="21"/>
      <c r="I87" s="28"/>
      <c r="J87" s="28"/>
      <c r="K87" s="28"/>
      <c r="L87" s="22"/>
      <c r="M87" s="22"/>
      <c r="N87" s="21"/>
      <c r="O87" s="21"/>
      <c r="P87" s="21"/>
      <c r="Q87" s="21" t="str">
        <f>$A$78&amp;C87&amp;"ASSETS"</f>
        <v>AGR2019ASSETS</v>
      </c>
      <c r="R87" s="78">
        <f t="shared" si="31"/>
        <v>0.67555788005578798</v>
      </c>
      <c r="S87" s="62">
        <f>SUMIF('FERC Form 1_2 Data'!$C$11:$C$179,$A76,'FERC Form 1_2 Data'!$EJ$11:$EJ$179)/(SUMIF('FERC Form 1_2 Data'!$C$11:$C$179,$A76,'FERC Form 1_2 Data'!$EN$11:$EN$179))</f>
        <v>0.78722130510892807</v>
      </c>
      <c r="T87" s="62">
        <f>SUMIF('FERC Form 1_2 Data'!$C$11:$C$179,$A76,'FERC Form 1_2 Data'!$EK$11:$EK$179)/(SUMIF('FERC Form 1_2 Data'!$C$11:$C$179,$A76,'FERC Form 1_2 Data'!$EN$11:$EN$179))</f>
        <v>0.21277869489107193</v>
      </c>
      <c r="U87" s="63">
        <f t="shared" ref="U87:V89" si="35">IF(OR(ISBLANK($R87),ISBLANK(S87)),"NA",$R87*S87)</f>
        <v>0.53181355601413816</v>
      </c>
      <c r="V87" s="63">
        <f t="shared" si="35"/>
        <v>0.14374432404164988</v>
      </c>
      <c r="W87" s="63"/>
      <c r="X87" s="63"/>
    </row>
    <row r="88" spans="1:24" x14ac:dyDescent="0.2">
      <c r="A88" s="21"/>
      <c r="B88" s="20" t="s">
        <v>84</v>
      </c>
      <c r="C88" s="20">
        <v>2018</v>
      </c>
      <c r="D88" s="32">
        <f>SUM(E88:G88)</f>
        <v>32167000</v>
      </c>
      <c r="E88" s="28">
        <v>22239000</v>
      </c>
      <c r="F88" s="28">
        <v>10703000</v>
      </c>
      <c r="G88" s="28">
        <v>-775000</v>
      </c>
      <c r="H88" s="21"/>
      <c r="I88" s="28"/>
      <c r="J88" s="28"/>
      <c r="K88" s="28"/>
      <c r="L88" s="22"/>
      <c r="M88" s="22"/>
      <c r="N88" s="21"/>
      <c r="O88" s="21"/>
      <c r="P88" s="21"/>
      <c r="Q88" s="21" t="str">
        <f t="shared" ref="Q88:Q89" si="36">$A$78&amp;C88&amp;"ASSETS"</f>
        <v>AGR2018ASSETS</v>
      </c>
      <c r="R88" s="78">
        <f t="shared" si="31"/>
        <v>0.69136071128796595</v>
      </c>
      <c r="S88" s="62">
        <f>SUMIF('FERC Form 1_2 Data'!$C$11:$C$179,$A76,'FERC Form 1_2 Data'!$EP$11:$EP$179)/(SUMIF('FERC Form 1_2 Data'!$C$11:$C$179,$A76,'FERC Form 1_2 Data'!$ET$11:$ET$179))</f>
        <v>0.77863634459785291</v>
      </c>
      <c r="T88" s="62">
        <f>SUMIF('FERC Form 1_2 Data'!$C$11:$C$179,$A76,'FERC Form 1_2 Data'!$EQ$11:$EQ$179)/(SUMIF('FERC Form 1_2 Data'!$C$11:$C$179,$A76,'FERC Form 1_2 Data'!$ET$11:$ET$179))</f>
        <v>0.22136365540214709</v>
      </c>
      <c r="U88" s="63">
        <f t="shared" si="35"/>
        <v>0.5383185770358333</v>
      </c>
      <c r="V88" s="63">
        <f t="shared" si="35"/>
        <v>0.15304213425213259</v>
      </c>
      <c r="W88" s="63"/>
      <c r="X88" s="63"/>
    </row>
    <row r="89" spans="1:24" x14ac:dyDescent="0.2">
      <c r="A89" s="21"/>
      <c r="B89" s="21"/>
      <c r="C89" s="20">
        <v>2017</v>
      </c>
      <c r="D89" s="32">
        <f>SUM(E89:G89)</f>
        <v>31671000</v>
      </c>
      <c r="E89" s="28">
        <v>21411000</v>
      </c>
      <c r="F89" s="28">
        <v>11308000</v>
      </c>
      <c r="G89" s="28">
        <v>-1048000</v>
      </c>
      <c r="H89" s="21"/>
      <c r="I89" s="28"/>
      <c r="J89" s="28"/>
      <c r="K89" s="28"/>
      <c r="L89" s="22"/>
      <c r="M89" s="22"/>
      <c r="N89" s="21"/>
      <c r="O89" s="21"/>
      <c r="P89" s="21"/>
      <c r="Q89" s="21" t="str">
        <f t="shared" si="36"/>
        <v>AGR2017ASSETS</v>
      </c>
      <c r="R89" s="78">
        <f t="shared" si="31"/>
        <v>0.67604433077578863</v>
      </c>
      <c r="S89" s="62">
        <f>SUMIF('FERC Form 1_2 Data'!$C$11:$C$179,$A76,'FERC Form 1_2 Data'!$EV$11:$EV$179)/(SUMIF('FERC Form 1_2 Data'!$C$11:$C$179,$A76,'FERC Form 1_2 Data'!$EZ$11:$EZ$179))</f>
        <v>0.78146531649316298</v>
      </c>
      <c r="T89" s="62">
        <f>SUMIF('FERC Form 1_2 Data'!$C$11:$C$179,$A76,'FERC Form 1_2 Data'!$EW$11:$EW$179)/(SUMIF('FERC Form 1_2 Data'!$C$11:$C$179,$A76,'FERC Form 1_2 Data'!$EZ$11:$EZ$179))</f>
        <v>0.21853468350683702</v>
      </c>
      <c r="U89" s="63">
        <f t="shared" si="35"/>
        <v>0.52830519691311018</v>
      </c>
      <c r="V89" s="63">
        <f t="shared" si="35"/>
        <v>0.1477391338626784</v>
      </c>
      <c r="W89" s="63"/>
      <c r="X89" s="63"/>
    </row>
    <row r="90" spans="1:24" x14ac:dyDescent="0.2">
      <c r="D90" s="76"/>
    </row>
    <row r="91" spans="1:24" x14ac:dyDescent="0.2">
      <c r="D91" s="76"/>
    </row>
    <row r="92" spans="1:24" x14ac:dyDescent="0.2">
      <c r="D92" s="76"/>
    </row>
    <row r="93" spans="1:24" x14ac:dyDescent="0.2">
      <c r="A93" s="18" t="s">
        <v>124</v>
      </c>
      <c r="B93" s="19"/>
      <c r="C93" s="20"/>
      <c r="D93" s="80"/>
      <c r="E93" s="21"/>
      <c r="F93" s="33"/>
      <c r="G93" s="33"/>
      <c r="H93" s="33"/>
      <c r="I93" s="22"/>
      <c r="J93" s="22"/>
      <c r="K93" s="22"/>
      <c r="L93" s="22"/>
      <c r="M93" s="22"/>
      <c r="N93" s="21"/>
      <c r="O93" s="21"/>
      <c r="P93" s="21"/>
      <c r="Q93" s="21"/>
      <c r="R93" s="21"/>
    </row>
    <row r="94" spans="1:24" x14ac:dyDescent="0.2">
      <c r="A94" s="24" t="s">
        <v>125</v>
      </c>
      <c r="B94" s="19"/>
      <c r="C94" s="20"/>
      <c r="D94" s="80"/>
      <c r="E94" s="24"/>
      <c r="F94" s="33"/>
      <c r="G94" s="33"/>
      <c r="H94" s="33"/>
      <c r="I94" s="22"/>
      <c r="J94" s="22"/>
      <c r="K94" s="22"/>
      <c r="L94" s="22"/>
      <c r="M94" s="22"/>
      <c r="N94" s="21"/>
      <c r="O94" s="21"/>
      <c r="P94" s="21"/>
      <c r="Q94" s="21"/>
      <c r="R94" s="21"/>
    </row>
    <row r="95" spans="1:24" ht="63.75" x14ac:dyDescent="0.2">
      <c r="A95" s="18" t="s">
        <v>126</v>
      </c>
      <c r="B95" s="19"/>
      <c r="C95" s="20"/>
      <c r="D95" s="20" t="s">
        <v>75</v>
      </c>
      <c r="E95" s="72" t="s">
        <v>127</v>
      </c>
      <c r="F95" s="72" t="s">
        <v>128</v>
      </c>
      <c r="G95" s="72" t="s">
        <v>88</v>
      </c>
      <c r="H95" s="72" t="s">
        <v>129</v>
      </c>
      <c r="I95" s="22"/>
      <c r="J95" s="22"/>
      <c r="K95" s="22"/>
      <c r="L95" s="22"/>
      <c r="M95" s="22"/>
      <c r="N95" s="21"/>
      <c r="O95" s="21"/>
      <c r="P95" s="21"/>
      <c r="Q95" s="29"/>
      <c r="R95" s="30" t="s">
        <v>77</v>
      </c>
      <c r="S95" s="59" t="s">
        <v>78</v>
      </c>
      <c r="T95" s="59" t="s">
        <v>79</v>
      </c>
      <c r="U95" s="59" t="s">
        <v>80</v>
      </c>
      <c r="V95" s="59" t="s">
        <v>81</v>
      </c>
      <c r="W95" s="60"/>
      <c r="X95" s="60"/>
    </row>
    <row r="96" spans="1:24" x14ac:dyDescent="0.2">
      <c r="A96" s="18"/>
      <c r="B96" s="19"/>
      <c r="C96" s="20">
        <v>2019</v>
      </c>
      <c r="D96" s="32">
        <f>SUM(E96:H96)</f>
        <v>1345622</v>
      </c>
      <c r="E96" s="72">
        <v>1295873</v>
      </c>
      <c r="F96" s="72">
        <v>37265</v>
      </c>
      <c r="G96" s="72">
        <v>12484</v>
      </c>
      <c r="H96" s="72" t="s">
        <v>91</v>
      </c>
      <c r="I96" s="22"/>
      <c r="J96" s="22"/>
      <c r="K96" s="22"/>
      <c r="L96" s="22"/>
      <c r="M96" s="22"/>
      <c r="N96" s="21"/>
      <c r="O96" s="21"/>
      <c r="P96" s="21"/>
      <c r="Q96" s="21" t="str">
        <f>$A$95&amp;C96&amp;"REV"</f>
        <v>AVA2019REV</v>
      </c>
      <c r="R96" s="66">
        <f>(E96+F96)/D96</f>
        <v>0.99072250602323686</v>
      </c>
      <c r="S96" s="62">
        <f>SUMIF('FERC Form 1_2 Data'!$C$11:$C$179,$A93,'FERC Form 1_2 Data'!$D$11:$D$179)/SUM(SUMIF('FERC Form 1_2 Data'!$C$11:$C$179,$A93,'FERC Form 1_2 Data'!$D$11:$D$179),SUMIF('FERC Form 1_2 Data'!$C$11:$C$179,$A93,'FERC Form 1_2 Data'!$E$11:$E$179),SUMIF('FERC Form 1_2 Data'!$C$11:$C$179,$A93,'FERC Form 1_2 Data'!$F$11:$F$179))</f>
        <v>0.69802602892495191</v>
      </c>
      <c r="T96" s="62">
        <f>SUMIF('FERC Form 1_2 Data'!$C$11:$C$179,$A93,'FERC Form 1_2 Data'!$E$11:$E$179)/SUM(SUMIF('FERC Form 1_2 Data'!$C$11:$C$179,$A93,'FERC Form 1_2 Data'!$D$11:$D$179),SUMIF('FERC Form 1_2 Data'!$C$11:$C$179,$A93,'FERC Form 1_2 Data'!$E$11:$E$179),SUMIF('FERC Form 1_2 Data'!$C$11:$C$179,$A93,'FERC Form 1_2 Data'!$F$11:$F$179))</f>
        <v>0.30197397107504814</v>
      </c>
      <c r="U96" s="63">
        <f>IF(OR(ISBLANK($R96),ISBLANK(S96)),"NA",$R96*S96)</f>
        <v>0.69155009664597678</v>
      </c>
      <c r="V96" s="63">
        <f>IF(OR(ISBLANK($R96),ISBLANK(T96)),"NA",$R96*T96)</f>
        <v>0.29917240937726014</v>
      </c>
      <c r="W96" s="63"/>
      <c r="X96" s="63"/>
    </row>
    <row r="97" spans="1:24" x14ac:dyDescent="0.2">
      <c r="A97" s="18"/>
      <c r="B97" s="19" t="s">
        <v>82</v>
      </c>
      <c r="C97" s="20">
        <v>2018</v>
      </c>
      <c r="D97" s="32">
        <f>SUM(E97:H97)</f>
        <v>1396893</v>
      </c>
      <c r="E97" s="72">
        <v>1325966</v>
      </c>
      <c r="F97" s="72">
        <v>43599</v>
      </c>
      <c r="G97" s="72">
        <v>27328</v>
      </c>
      <c r="H97" s="72" t="s">
        <v>91</v>
      </c>
      <c r="I97" s="22"/>
      <c r="J97" s="22"/>
      <c r="K97" s="22"/>
      <c r="L97" s="22"/>
      <c r="M97" s="22"/>
      <c r="N97" s="21"/>
      <c r="O97" s="21"/>
      <c r="P97" s="21"/>
      <c r="Q97" s="21" t="str">
        <f t="shared" ref="Q97:Q98" si="37">$A$95&amp;C97&amp;"REV"</f>
        <v>AVA2018REV</v>
      </c>
      <c r="R97" s="66">
        <f>(E97+F97)/D97</f>
        <v>0.98043658318854776</v>
      </c>
      <c r="S97" s="62">
        <f>SUMIF('FERC Form 1_2 Data'!$C$11:$C$179,$A93,'FERC Form 1_2 Data'!$G$11:$G$179)/SUM(SUMIF('FERC Form 1_2 Data'!$C$11:$C$179,$A93,'FERC Form 1_2 Data'!$G$11:$G$179),SUMIF('FERC Form 1_2 Data'!$C$11:$C$179,$A93,'FERC Form 1_2 Data'!$H$11:$H$179),SUMIF('FERC Form 1_2 Data'!$C$11:$C$179,$A93,'FERC Form 1_2 Data'!$I$11:$I$179))</f>
        <v>0.70551202329667684</v>
      </c>
      <c r="T97" s="62">
        <f>SUMIF('FERC Form 1_2 Data'!$C$11:$C$179,$A93,'FERC Form 1_2 Data'!$H$11:$H$179)/SUM(SUMIF('FERC Form 1_2 Data'!$C$11:$C$179,$A93,'FERC Form 1_2 Data'!$G$11:$G$179),SUMIF('FERC Form 1_2 Data'!$C$11:$C$179,$A93,'FERC Form 1_2 Data'!$H$11:$H$179),SUMIF('FERC Form 1_2 Data'!$C$11:$C$179,$A93,'FERC Form 1_2 Data'!$I$11:$I$179))</f>
        <v>0.29448797670332316</v>
      </c>
      <c r="U97" s="63">
        <f t="shared" ref="U97:V98" si="38">IF(OR(ISBLANK($R97),ISBLANK(S97)),"NA",$R97*S97)</f>
        <v>0.69170979751943296</v>
      </c>
      <c r="V97" s="63">
        <f t="shared" si="38"/>
        <v>0.2887267856691148</v>
      </c>
      <c r="W97" s="63"/>
      <c r="X97" s="63"/>
    </row>
    <row r="98" spans="1:24" x14ac:dyDescent="0.2">
      <c r="A98" s="21"/>
      <c r="B98" s="19"/>
      <c r="C98" s="20">
        <v>2017</v>
      </c>
      <c r="D98" s="32">
        <f>SUM(E98:H98)</f>
        <v>1445929</v>
      </c>
      <c r="E98" s="33">
        <v>1370359</v>
      </c>
      <c r="F98" s="33">
        <v>53027</v>
      </c>
      <c r="G98" s="33">
        <v>22543</v>
      </c>
      <c r="H98" s="33">
        <v>0</v>
      </c>
      <c r="I98" s="22"/>
      <c r="J98" s="22"/>
      <c r="K98" s="22"/>
      <c r="L98" s="22"/>
      <c r="M98" s="22"/>
      <c r="N98" s="21"/>
      <c r="O98" s="21"/>
      <c r="P98" s="21"/>
      <c r="Q98" s="21" t="str">
        <f t="shared" si="37"/>
        <v>AVA2017REV</v>
      </c>
      <c r="R98" s="66">
        <f>(E98+F98)/D98</f>
        <v>0.98440933130188268</v>
      </c>
      <c r="S98" s="62">
        <f>SUMIF('FERC Form 1_2 Data'!$C$11:$C$179,$A93,'FERC Form 1_2 Data'!$J$11:$J$179)/SUM(SUMIF('FERC Form 1_2 Data'!$C$11:$C$179,$A93,'FERC Form 1_2 Data'!$J$11:$J$179),SUMIF('FERC Form 1_2 Data'!$C$11:$C$179,$A93,'FERC Form 1_2 Data'!$K$11:$K$179),SUMIF('FERC Form 1_2 Data'!$C$11:$C$179,$A93,'FERC Form 1_2 Data'!$L$11:$L$179))</f>
        <v>0.68637874896741569</v>
      </c>
      <c r="T98" s="62">
        <f>SUMIF('FERC Form 1_2 Data'!$C$11:$C$179,$A93,'FERC Form 1_2 Data'!$K$11:$K$179)/SUM(SUMIF('FERC Form 1_2 Data'!$C$11:$C$179,$A93,'FERC Form 1_2 Data'!$J$11:$J$179),SUMIF('FERC Form 1_2 Data'!$C$11:$C$179,$A93,'FERC Form 1_2 Data'!$K$11:$K$179),SUMIF('FERC Form 1_2 Data'!$C$11:$C$179,$A93,'FERC Form 1_2 Data'!$L$11:$L$179))</f>
        <v>0.31362125103258437</v>
      </c>
      <c r="U98" s="63">
        <f t="shared" si="38"/>
        <v>0.67567764529083651</v>
      </c>
      <c r="V98" s="63">
        <f t="shared" si="38"/>
        <v>0.30873168601104628</v>
      </c>
      <c r="W98" s="63"/>
      <c r="X98" s="63"/>
    </row>
    <row r="99" spans="1:24" x14ac:dyDescent="0.2">
      <c r="A99" s="21"/>
      <c r="B99" s="19"/>
      <c r="C99" s="20"/>
      <c r="D99" s="21"/>
      <c r="E99" s="33"/>
      <c r="F99" s="33"/>
      <c r="G99" s="33"/>
      <c r="H99" s="33"/>
      <c r="I99" s="22"/>
      <c r="J99" s="28"/>
      <c r="K99" s="22"/>
      <c r="L99" s="22"/>
      <c r="M99" s="22"/>
      <c r="N99" s="21"/>
      <c r="O99" s="21"/>
      <c r="P99" s="21"/>
      <c r="Q99" s="21"/>
      <c r="R99" s="21"/>
    </row>
    <row r="100" spans="1:24" x14ac:dyDescent="0.2">
      <c r="A100" s="21"/>
      <c r="B100" s="19"/>
      <c r="C100" s="20">
        <v>2019</v>
      </c>
      <c r="D100" s="32">
        <f>SUM(E100:H100)</f>
        <v>210389</v>
      </c>
      <c r="E100" s="33">
        <v>200994</v>
      </c>
      <c r="F100" s="33">
        <v>16423</v>
      </c>
      <c r="G100" s="33">
        <v>-7028</v>
      </c>
      <c r="H100" s="33">
        <v>0</v>
      </c>
      <c r="I100" s="22"/>
      <c r="J100" s="28"/>
      <c r="K100" s="22"/>
      <c r="L100" s="22"/>
      <c r="M100" s="22"/>
      <c r="N100" s="21"/>
      <c r="O100" s="21"/>
      <c r="P100" s="21"/>
      <c r="Q100" s="21" t="str">
        <f>$A$95&amp;C100&amp;"INC"</f>
        <v>AVA2019INC</v>
      </c>
      <c r="R100" s="66">
        <f>IF((E100+F100)/D100&gt;100%,100%, (E100+F100)/D100)</f>
        <v>1</v>
      </c>
      <c r="S100" s="62">
        <f>SUMIF('FERC Form 1_2 Data'!$C$11:$C$179,$A93,'FERC Form 1_2 Data'!$Y$11:$Y$179)/SUMIF('FERC Form 1_2 Data'!$C$11:$C$179,$A93,'FERC Form 1_2 Data'!$EA$11:$EA$179)</f>
        <v>0.78608288800715576</v>
      </c>
      <c r="T100" s="62">
        <f>SUMIF('FERC Form 1_2 Data'!$C$11:$C$179,$A93,'FERC Form 1_2 Data'!$BL$11:$BL$179)/SUMIF('FERC Form 1_2 Data'!$C$11:$C$179,$A93,'FERC Form 1_2 Data'!$EA$11:$EA$179)</f>
        <v>0.21391711199284419</v>
      </c>
      <c r="U100" s="63">
        <f>IF(OR(ISBLANK($R100),ISBLANK(S100)),"NA",$R100*S100)</f>
        <v>0.78608288800715576</v>
      </c>
      <c r="V100" s="63">
        <f>IF(OR(ISBLANK($R100),ISBLANK(T100)),"NA",$R100*T100)</f>
        <v>0.21391711199284419</v>
      </c>
      <c r="W100" s="63"/>
      <c r="X100" s="63"/>
    </row>
    <row r="101" spans="1:24" x14ac:dyDescent="0.2">
      <c r="A101" s="21"/>
      <c r="B101" s="19" t="s">
        <v>83</v>
      </c>
      <c r="C101" s="20">
        <v>2018</v>
      </c>
      <c r="D101" s="32">
        <f>SUM(E101:H101)</f>
        <v>261113</v>
      </c>
      <c r="E101" s="33">
        <v>248000</v>
      </c>
      <c r="F101" s="33">
        <v>14665</v>
      </c>
      <c r="G101" s="33">
        <v>-1552</v>
      </c>
      <c r="H101" s="33">
        <v>0</v>
      </c>
      <c r="I101" s="22"/>
      <c r="J101" s="28"/>
      <c r="K101" s="22"/>
      <c r="L101" s="22"/>
      <c r="M101" s="22"/>
      <c r="N101" s="21"/>
      <c r="O101" s="21"/>
      <c r="P101" s="21"/>
      <c r="Q101" s="21" t="str">
        <f t="shared" ref="Q101:Q102" si="39">$A$95&amp;C101&amp;"INC"</f>
        <v>AVA2018INC</v>
      </c>
      <c r="R101" s="66">
        <f t="shared" ref="R101:R102" si="40">IF((E101+F101)/D101&gt;100%,100%, (E101+F101)/D101)</f>
        <v>1</v>
      </c>
      <c r="S101" s="62">
        <f>SUMIF('FERC Form 1_2 Data'!$C$11:$C$179,$A93,'FERC Form 1_2 Data'!$AL$11:$AL$179)/SUMIF('FERC Form 1_2 Data'!$C$11:$C$179,$A93,'FERC Form 1_2 Data'!$EB$11:$EB$179)</f>
        <v>0.78225029440102778</v>
      </c>
      <c r="T101" s="62">
        <f>SUMIF('FERC Form 1_2 Data'!$C$11:$C$179,$A93,'FERC Form 1_2 Data'!$BY$11:$BY$179)/SUMIF('FERC Form 1_2 Data'!$C$11:$C$179,$A93,'FERC Form 1_2 Data'!$EB$11:$EB$179)</f>
        <v>0.21774970559897228</v>
      </c>
      <c r="U101" s="63">
        <f t="shared" ref="U101:V102" si="41">IF(OR(ISBLANK($R101),ISBLANK(S101)),"NA",$R101*S101)</f>
        <v>0.78225029440102778</v>
      </c>
      <c r="V101" s="63">
        <f t="shared" si="41"/>
        <v>0.21774970559897228</v>
      </c>
      <c r="W101" s="63"/>
      <c r="X101" s="63"/>
    </row>
    <row r="102" spans="1:24" x14ac:dyDescent="0.2">
      <c r="A102" s="21"/>
      <c r="B102" s="19"/>
      <c r="C102" s="20">
        <v>2017</v>
      </c>
      <c r="D102" s="32">
        <f>SUM(E102:H102)</f>
        <v>292179</v>
      </c>
      <c r="E102" s="33">
        <v>278079</v>
      </c>
      <c r="F102" s="33">
        <v>17947</v>
      </c>
      <c r="G102" s="33">
        <v>-3847</v>
      </c>
      <c r="H102" s="33">
        <v>0</v>
      </c>
      <c r="I102" s="22"/>
      <c r="J102" s="22"/>
      <c r="K102" s="22"/>
      <c r="L102" s="22"/>
      <c r="M102" s="22"/>
      <c r="N102" s="21"/>
      <c r="O102" s="21"/>
      <c r="P102" s="21"/>
      <c r="Q102" s="21" t="str">
        <f t="shared" si="39"/>
        <v>AVA2017INC</v>
      </c>
      <c r="R102" s="66">
        <f t="shared" si="40"/>
        <v>1</v>
      </c>
      <c r="S102" s="62">
        <f>SUMIF('FERC Form 1_2 Data'!$C$11:$C$179,$A93,'FERC Form 1_2 Data'!$AY$11:$AY$179)/SUMIF('FERC Form 1_2 Data'!$C$11:$C$179,$A93,'FERC Form 1_2 Data'!$EC$11:$EC$179)</f>
        <v>0.7783116842855814</v>
      </c>
      <c r="T102" s="62">
        <f>SUMIF('FERC Form 1_2 Data'!$C$11:$C$179,$A93,'FERC Form 1_2 Data'!$CL$11:$CL$179)/SUMIF('FERC Form 1_2 Data'!$C$11:$C$179,$A93,'FERC Form 1_2 Data'!$EC$11:$EC$179)</f>
        <v>0.22168831571441858</v>
      </c>
      <c r="U102" s="63">
        <f t="shared" si="41"/>
        <v>0.7783116842855814</v>
      </c>
      <c r="V102" s="63">
        <f t="shared" si="41"/>
        <v>0.22168831571441858</v>
      </c>
      <c r="W102" s="63"/>
      <c r="X102" s="63"/>
    </row>
    <row r="103" spans="1:24" x14ac:dyDescent="0.2">
      <c r="A103" s="21"/>
      <c r="B103" s="19"/>
      <c r="C103" s="20"/>
      <c r="D103" s="57"/>
      <c r="E103" s="33"/>
      <c r="F103" s="33"/>
      <c r="G103" s="33"/>
      <c r="H103" s="33"/>
      <c r="I103" s="22"/>
      <c r="J103" s="22"/>
      <c r="K103" s="22"/>
      <c r="L103" s="22"/>
      <c r="M103" s="22"/>
      <c r="N103" s="21"/>
      <c r="O103" s="21"/>
      <c r="P103" s="21"/>
      <c r="Q103" s="21"/>
      <c r="R103" s="21"/>
    </row>
    <row r="104" spans="1:24" x14ac:dyDescent="0.2">
      <c r="A104" s="21"/>
      <c r="B104" s="19"/>
      <c r="C104" s="20">
        <v>2019</v>
      </c>
      <c r="D104" s="32">
        <f>SUM(E104:H104)</f>
        <v>6082456</v>
      </c>
      <c r="E104" s="33">
        <v>5713268</v>
      </c>
      <c r="F104" s="33">
        <v>271393</v>
      </c>
      <c r="G104" s="33">
        <v>113390</v>
      </c>
      <c r="H104" s="33">
        <v>-15595</v>
      </c>
      <c r="I104" s="22"/>
      <c r="J104" s="22"/>
      <c r="K104" s="22"/>
      <c r="L104" s="22"/>
      <c r="M104" s="22"/>
      <c r="N104" s="21"/>
      <c r="O104" s="21"/>
      <c r="P104" s="21"/>
      <c r="Q104" s="21" t="str">
        <f>$A$95&amp;C104&amp;"ASSETS"</f>
        <v>AVA2019ASSETS</v>
      </c>
      <c r="R104" s="66">
        <f>(E104+F104)/D104</f>
        <v>0.98392179080292563</v>
      </c>
      <c r="S104" s="62">
        <f>SUMIF('FERC Form 1_2 Data'!$C$11:$C$179,$A93,'FERC Form 1_2 Data'!$EJ$11:$EJ$179)/(SUMIF('FERC Form 1_2 Data'!$C$11:$C$179,$A93,'FERC Form 1_2 Data'!$EN$11:$EN$179))</f>
        <v>0.76935842422852485</v>
      </c>
      <c r="T104" s="62">
        <f>SUMIF('FERC Form 1_2 Data'!$C$11:$C$179,$A93,'FERC Form 1_2 Data'!$EK$11:$EK$179)/(SUMIF('FERC Form 1_2 Data'!$C$11:$C$179,$A93,'FERC Form 1_2 Data'!$EN$11:$EN$179))</f>
        <v>0.23064157577147515</v>
      </c>
      <c r="U104" s="63">
        <f>IF(OR(ISBLANK($R104),ISBLANK(S104)),"NA",$R104*S104)</f>
        <v>0.75698851853624716</v>
      </c>
      <c r="V104" s="63">
        <f>IF(OR(ISBLANK($R104),ISBLANK(T104)),"NA",$R104*T104)</f>
        <v>0.2269332722666785</v>
      </c>
      <c r="W104" s="63"/>
      <c r="X104" s="63"/>
    </row>
    <row r="105" spans="1:24" x14ac:dyDescent="0.2">
      <c r="A105" s="21"/>
      <c r="B105" s="19" t="s">
        <v>84</v>
      </c>
      <c r="C105" s="20">
        <v>2018</v>
      </c>
      <c r="D105" s="32">
        <f>SUM(E105:H105)</f>
        <v>5782576</v>
      </c>
      <c r="E105" s="33">
        <v>5458104</v>
      </c>
      <c r="F105" s="33">
        <v>272950</v>
      </c>
      <c r="G105" s="33">
        <v>87050</v>
      </c>
      <c r="H105" s="33">
        <v>-35528</v>
      </c>
      <c r="I105" s="22"/>
      <c r="J105" s="22"/>
      <c r="K105" s="22"/>
      <c r="L105" s="22"/>
      <c r="M105" s="22"/>
      <c r="N105" s="21"/>
      <c r="O105" s="21"/>
      <c r="P105" s="21"/>
      <c r="Q105" s="21" t="str">
        <f t="shared" ref="Q105:Q106" si="42">$A$95&amp;C105&amp;"ASSETS"</f>
        <v>AVA2018ASSETS</v>
      </c>
      <c r="R105" s="66">
        <f>(E105+F105)/D105</f>
        <v>0.99109013007351743</v>
      </c>
      <c r="S105" s="62">
        <f>SUMIF('FERC Form 1_2 Data'!$C$11:$C$179,$A93,'FERC Form 1_2 Data'!$EP$11:$EP$179)/(SUMIF('FERC Form 1_2 Data'!$C$11:$C$179,$A93,'FERC Form 1_2 Data'!$ET$11:$ET$179))</f>
        <v>0.77766079738329752</v>
      </c>
      <c r="T105" s="62">
        <f>SUMIF('FERC Form 1_2 Data'!$C$11:$C$179,$A93,'FERC Form 1_2 Data'!$EQ$11:$EQ$179)/(SUMIF('FERC Form 1_2 Data'!$C$11:$C$179,$A93,'FERC Form 1_2 Data'!$ET$11:$ET$179))</f>
        <v>0.22233920261670251</v>
      </c>
      <c r="U105" s="63">
        <f t="shared" ref="U105:V106" si="43">IF(OR(ISBLANK($R105),ISBLANK(S105)),"NA",$R105*S105)</f>
        <v>0.77073194083168761</v>
      </c>
      <c r="V105" s="63">
        <f t="shared" si="43"/>
        <v>0.22035818924182984</v>
      </c>
      <c r="W105" s="63"/>
      <c r="X105" s="63"/>
    </row>
    <row r="106" spans="1:24" x14ac:dyDescent="0.2">
      <c r="A106" s="21"/>
      <c r="B106" s="21"/>
      <c r="C106" s="20">
        <v>2017</v>
      </c>
      <c r="D106" s="32">
        <f>SUM(E106:H106)</f>
        <v>5514732</v>
      </c>
      <c r="E106" s="33">
        <v>5177878</v>
      </c>
      <c r="F106" s="33">
        <v>278688</v>
      </c>
      <c r="G106" s="33">
        <v>73241</v>
      </c>
      <c r="H106" s="33">
        <v>-15075</v>
      </c>
      <c r="I106" s="22"/>
      <c r="J106" s="22"/>
      <c r="K106" s="22"/>
      <c r="L106" s="22"/>
      <c r="M106" s="22"/>
      <c r="N106" s="21"/>
      <c r="O106" s="21"/>
      <c r="P106" s="21"/>
      <c r="Q106" s="21" t="str">
        <f t="shared" si="42"/>
        <v>AVA2017ASSETS</v>
      </c>
      <c r="R106" s="66">
        <f>(E106+F106)/D106</f>
        <v>0.98945261528574735</v>
      </c>
      <c r="S106" s="62">
        <f>SUMIF('FERC Form 1_2 Data'!$C$11:$C$179,$A93,'FERC Form 1_2 Data'!$EV$11:$EV$179)/(SUMIF('FERC Form 1_2 Data'!$C$11:$C$179,$A93,'FERC Form 1_2 Data'!$EZ$11:$EZ$179))</f>
        <v>0.78852543149716725</v>
      </c>
      <c r="T106" s="62">
        <f>SUMIF('FERC Form 1_2 Data'!$C$11:$C$179,$A93,'FERC Form 1_2 Data'!$EW$11:$EW$179)/(SUMIF('FERC Form 1_2 Data'!$C$11:$C$179,$A93,'FERC Form 1_2 Data'!$EZ$11:$EZ$179))</f>
        <v>0.21147456850283272</v>
      </c>
      <c r="U106" s="63">
        <f t="shared" si="43"/>
        <v>0.78020855041419457</v>
      </c>
      <c r="V106" s="63">
        <f t="shared" si="43"/>
        <v>0.20924406487155278</v>
      </c>
      <c r="W106" s="63"/>
      <c r="X106" s="63"/>
    </row>
    <row r="107" spans="1:24" x14ac:dyDescent="0.2">
      <c r="B107" s="23"/>
      <c r="D107" s="76"/>
      <c r="R107" s="66"/>
      <c r="U107" s="67"/>
    </row>
    <row r="108" spans="1:24" x14ac:dyDescent="0.2">
      <c r="D108" s="76"/>
    </row>
    <row r="109" spans="1:24" x14ac:dyDescent="0.2">
      <c r="D109" s="76"/>
    </row>
    <row r="110" spans="1:24" x14ac:dyDescent="0.2">
      <c r="A110" s="18" t="s">
        <v>130</v>
      </c>
      <c r="B110" s="19"/>
      <c r="C110" s="20"/>
      <c r="D110" s="21"/>
      <c r="E110" s="43"/>
      <c r="F110" s="48"/>
      <c r="G110" s="48"/>
      <c r="H110" s="48"/>
      <c r="I110" s="48"/>
      <c r="J110" s="48"/>
      <c r="K110" s="48"/>
      <c r="L110" s="22"/>
      <c r="M110" s="22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x14ac:dyDescent="0.2">
      <c r="A111" s="21" t="s">
        <v>131</v>
      </c>
      <c r="B111" s="19"/>
      <c r="C111" s="20"/>
      <c r="D111" s="21"/>
      <c r="E111" s="43"/>
      <c r="F111" s="48"/>
      <c r="G111" s="48"/>
      <c r="H111" s="48"/>
      <c r="I111" s="48"/>
      <c r="J111" s="48"/>
      <c r="K111" s="48"/>
      <c r="L111" s="22"/>
      <c r="M111" s="22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63.75" x14ac:dyDescent="0.2">
      <c r="A112" s="18" t="s">
        <v>132</v>
      </c>
      <c r="B112" s="19"/>
      <c r="C112" s="20"/>
      <c r="D112" s="20" t="s">
        <v>75</v>
      </c>
      <c r="E112" s="46" t="s">
        <v>133</v>
      </c>
      <c r="F112" s="44" t="s">
        <v>87</v>
      </c>
      <c r="G112" s="44" t="s">
        <v>134</v>
      </c>
      <c r="H112" s="44" t="s">
        <v>135</v>
      </c>
      <c r="I112" s="44" t="s">
        <v>136</v>
      </c>
      <c r="J112" s="44" t="s">
        <v>137</v>
      </c>
      <c r="K112" s="44" t="s">
        <v>93</v>
      </c>
      <c r="L112" s="81"/>
      <c r="M112" s="22"/>
      <c r="N112" s="21"/>
      <c r="O112" s="21"/>
      <c r="P112" s="21"/>
      <c r="Q112" s="29"/>
      <c r="R112" s="30" t="s">
        <v>77</v>
      </c>
      <c r="S112" s="30" t="s">
        <v>78</v>
      </c>
      <c r="T112" s="30" t="s">
        <v>79</v>
      </c>
      <c r="U112" s="30" t="s">
        <v>80</v>
      </c>
      <c r="V112" s="30" t="s">
        <v>81</v>
      </c>
      <c r="W112" s="31"/>
      <c r="X112" s="31"/>
    </row>
    <row r="113" spans="1:24" x14ac:dyDescent="0.2">
      <c r="A113" s="21"/>
      <c r="B113" s="19"/>
      <c r="C113" s="20">
        <v>2019</v>
      </c>
      <c r="D113" s="27">
        <f>SUM(E113:K113)</f>
        <v>1734900</v>
      </c>
      <c r="E113" s="82">
        <v>712752</v>
      </c>
      <c r="F113" s="82">
        <v>1010030</v>
      </c>
      <c r="G113" s="82">
        <v>101258</v>
      </c>
      <c r="H113" s="82">
        <v>61629</v>
      </c>
      <c r="I113" s="82">
        <v>344205</v>
      </c>
      <c r="J113" s="82">
        <v>-494974</v>
      </c>
      <c r="K113" s="83">
        <v>0</v>
      </c>
      <c r="L113" s="81"/>
      <c r="M113" s="22"/>
      <c r="N113" s="21"/>
      <c r="O113" s="21"/>
      <c r="P113" s="21"/>
      <c r="Q113" s="21" t="str">
        <f>$A$112&amp;C113&amp;"REV"</f>
        <v>BKH2019REV</v>
      </c>
      <c r="R113" s="66">
        <f>SUM(E113:F113)/D113</f>
        <v>0.99301515937518015</v>
      </c>
      <c r="S113" s="66">
        <f>E113/SUM(E113:F113)</f>
        <v>0.41372152715781801</v>
      </c>
      <c r="T113" s="66">
        <f>F113/SUM(E113:F113)</f>
        <v>0.58627847284218204</v>
      </c>
      <c r="U113" s="34">
        <f>IF(OR(ISBLANK($R113),ISBLANK(S113)),"NA",$R113*S113)</f>
        <v>0.41083174822756358</v>
      </c>
      <c r="V113" s="34">
        <f>IF(OR(ISBLANK($R113),ISBLANK(T113)),"NA",$R113*T113)</f>
        <v>0.58218341114761663</v>
      </c>
      <c r="W113" s="34"/>
      <c r="X113" s="34"/>
    </row>
    <row r="114" spans="1:24" x14ac:dyDescent="0.2">
      <c r="A114" s="18"/>
      <c r="B114" s="19" t="s">
        <v>82</v>
      </c>
      <c r="C114" s="20">
        <v>2018</v>
      </c>
      <c r="D114" s="27">
        <f t="shared" ref="D114:D122" si="44">SUM(E114:K114)</f>
        <v>1724268</v>
      </c>
      <c r="E114" s="55">
        <v>711451</v>
      </c>
      <c r="F114" s="55">
        <v>1025307</v>
      </c>
      <c r="G114" s="55">
        <v>92451</v>
      </c>
      <c r="H114" s="55">
        <v>68033</v>
      </c>
      <c r="I114" s="55">
        <v>379923</v>
      </c>
      <c r="J114" s="55">
        <v>-552897</v>
      </c>
      <c r="K114" s="83">
        <v>0</v>
      </c>
      <c r="L114" s="22"/>
      <c r="M114" s="22"/>
      <c r="N114" s="21"/>
      <c r="O114" s="21"/>
      <c r="P114" s="21"/>
      <c r="Q114" s="21" t="str">
        <f t="shared" ref="Q114:Q115" si="45">$A$112&amp;C114&amp;"REV"</f>
        <v>BKH2018REV</v>
      </c>
      <c r="R114" s="66">
        <f>SUM(E114:F114)/D114</f>
        <v>1.007243653538777</v>
      </c>
      <c r="S114" s="66">
        <f>E114/SUM(E114:F114)</f>
        <v>0.40964313968900679</v>
      </c>
      <c r="T114" s="66">
        <f>F114/SUM(E114:F114)</f>
        <v>0.59035686031099321</v>
      </c>
      <c r="U114" s="34">
        <f>IF(OR(ISBLANK($R114),ISBLANK(S114)),"NA",$R114*S114)</f>
        <v>0.41261045266745078</v>
      </c>
      <c r="V114" s="34">
        <f>IF(OR(ISBLANK($R114),ISBLANK(T114)),"NA",$R114*T114)</f>
        <v>0.59463320087132621</v>
      </c>
      <c r="W114" s="34"/>
      <c r="X114" s="34"/>
    </row>
    <row r="115" spans="1:24" x14ac:dyDescent="0.2">
      <c r="A115" s="21"/>
      <c r="B115" s="19"/>
      <c r="C115" s="20">
        <v>2017</v>
      </c>
      <c r="D115" s="27">
        <f t="shared" si="44"/>
        <v>1680266</v>
      </c>
      <c r="E115" s="55">
        <v>704650</v>
      </c>
      <c r="F115" s="55">
        <v>947630</v>
      </c>
      <c r="G115" s="55">
        <v>94620</v>
      </c>
      <c r="H115" s="55">
        <v>66621</v>
      </c>
      <c r="I115" s="55">
        <v>344685</v>
      </c>
      <c r="J115" s="55">
        <v>-477940</v>
      </c>
      <c r="K115" s="83">
        <v>0</v>
      </c>
      <c r="L115" s="22"/>
      <c r="M115" s="22"/>
      <c r="N115" s="21"/>
      <c r="O115" s="21"/>
      <c r="P115" s="21"/>
      <c r="Q115" s="21" t="str">
        <f t="shared" si="45"/>
        <v>BKH2017REV</v>
      </c>
      <c r="R115" s="66">
        <f>SUM(E115:F115)/D115</f>
        <v>0.98334430381856208</v>
      </c>
      <c r="S115" s="66">
        <f>E115/SUM(E115:F115)</f>
        <v>0.42647130026387781</v>
      </c>
      <c r="T115" s="66">
        <f>F115/SUM(E115:F115)</f>
        <v>0.57352869973612219</v>
      </c>
      <c r="U115" s="34">
        <f t="shared" ref="U115:V115" si="46">IF(OR(ISBLANK($R115),ISBLANK(S115)),"NA",$R115*S115)</f>
        <v>0.4193681238565799</v>
      </c>
      <c r="V115" s="34">
        <f t="shared" si="46"/>
        <v>0.56397617996198224</v>
      </c>
      <c r="W115" s="34"/>
      <c r="X115" s="34"/>
    </row>
    <row r="116" spans="1:24" x14ac:dyDescent="0.2">
      <c r="A116" s="21"/>
      <c r="B116" s="19"/>
      <c r="C116" s="20"/>
      <c r="D116" s="27"/>
      <c r="K116" s="84"/>
      <c r="L116" s="28"/>
      <c r="M116" s="22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x14ac:dyDescent="0.2">
      <c r="A117" s="21"/>
      <c r="B117" s="19"/>
      <c r="C117" s="20">
        <v>2019</v>
      </c>
      <c r="D117" s="27">
        <f t="shared" si="44"/>
        <v>406042</v>
      </c>
      <c r="E117" s="27">
        <v>160297</v>
      </c>
      <c r="F117" s="27">
        <v>189971</v>
      </c>
      <c r="G117" s="27">
        <v>44779</v>
      </c>
      <c r="H117" s="27">
        <v>12627</v>
      </c>
      <c r="I117" s="27">
        <v>35073</v>
      </c>
      <c r="J117" s="27">
        <v>-36705</v>
      </c>
      <c r="K117" s="83">
        <v>0</v>
      </c>
      <c r="L117" s="28"/>
      <c r="M117" s="22"/>
      <c r="N117" s="21"/>
      <c r="O117" s="21"/>
      <c r="P117" s="21"/>
      <c r="Q117" s="21" t="str">
        <f>$A$112&amp;C117&amp;"INC"</f>
        <v>BKH2019INC</v>
      </c>
      <c r="R117" s="66">
        <f>SUM(E117:F117)/(SUM(E117:H117,J117:K117))</f>
        <v>0.94419749359110872</v>
      </c>
      <c r="S117" s="66">
        <f>E117/SUM(E117:F117)</f>
        <v>0.45764100631516441</v>
      </c>
      <c r="T117" s="66">
        <f>F117/SUM(E117:F117)</f>
        <v>0.54235899368483564</v>
      </c>
      <c r="U117" s="34">
        <f>IF(OR(ISBLANK($R117),ISBLANK(S117)),"NA",$R117*S117)</f>
        <v>0.43210349112729102</v>
      </c>
      <c r="V117" s="34">
        <f>IF(OR(ISBLANK($R117),ISBLANK(T117)),"NA",$R117*T117)</f>
        <v>0.51209400246381775</v>
      </c>
      <c r="W117" s="34"/>
      <c r="X117" s="34"/>
    </row>
    <row r="118" spans="1:24" x14ac:dyDescent="0.2">
      <c r="A118" s="21"/>
      <c r="B118" s="19" t="s">
        <v>83</v>
      </c>
      <c r="C118" s="20">
        <v>2018</v>
      </c>
      <c r="D118" s="27">
        <f t="shared" si="44"/>
        <v>397037</v>
      </c>
      <c r="E118" s="27">
        <v>155869</v>
      </c>
      <c r="F118" s="27">
        <v>185239</v>
      </c>
      <c r="G118" s="27">
        <v>42614</v>
      </c>
      <c r="H118" s="27">
        <v>16340</v>
      </c>
      <c r="I118" s="27">
        <v>33802</v>
      </c>
      <c r="J118" s="27">
        <v>-36827</v>
      </c>
      <c r="K118" s="83">
        <v>0</v>
      </c>
      <c r="L118" s="85"/>
      <c r="M118" s="85"/>
      <c r="N118" s="85"/>
      <c r="O118" s="21"/>
      <c r="P118" s="21"/>
      <c r="Q118" s="21" t="str">
        <f t="shared" ref="Q118:Q119" si="47">$A$112&amp;C118&amp;"INC"</f>
        <v>BKH2018INC</v>
      </c>
      <c r="R118" s="66">
        <f>SUM(E118:F118)/(SUM(E118:H118,J118:K118))</f>
        <v>0.93908351342794605</v>
      </c>
      <c r="S118" s="66">
        <f>E118/SUM(E118:F118)</f>
        <v>0.45694911875417754</v>
      </c>
      <c r="T118" s="66">
        <f>F118/SUM(E118:F118)</f>
        <v>0.54305088124582246</v>
      </c>
      <c r="U118" s="34">
        <f>IF(OR(ISBLANK($R118),ISBLANK(S118)),"NA",$R118*S118)</f>
        <v>0.42911338389747677</v>
      </c>
      <c r="V118" s="34">
        <f>IF(OR(ISBLANK($R118),ISBLANK(T118)),"NA",$R118*T118)</f>
        <v>0.50997012953046927</v>
      </c>
      <c r="W118" s="34"/>
      <c r="X118" s="34"/>
    </row>
    <row r="119" spans="1:24" x14ac:dyDescent="0.2">
      <c r="A119" s="21"/>
      <c r="B119" s="19"/>
      <c r="C119" s="20">
        <v>2017</v>
      </c>
      <c r="D119" s="27">
        <f t="shared" si="44"/>
        <v>416736</v>
      </c>
      <c r="E119" s="27">
        <v>177737</v>
      </c>
      <c r="F119" s="27">
        <v>185105</v>
      </c>
      <c r="G119" s="27">
        <v>46690</v>
      </c>
      <c r="H119" s="27">
        <v>13500</v>
      </c>
      <c r="I119" s="27">
        <v>27436</v>
      </c>
      <c r="J119" s="27">
        <v>-33732</v>
      </c>
      <c r="K119" s="83">
        <v>0</v>
      </c>
      <c r="L119" s="85"/>
      <c r="M119" s="85"/>
      <c r="N119" s="85"/>
      <c r="O119" s="21"/>
      <c r="P119" s="21"/>
      <c r="Q119" s="21" t="str">
        <f t="shared" si="47"/>
        <v>BKH2017INC</v>
      </c>
      <c r="R119" s="66">
        <f>SUM(E119:F119)/(SUM(E119:H119,J119:K119))</f>
        <v>0.9320369894682764</v>
      </c>
      <c r="S119" s="66">
        <f>E119/SUM(E119:F119)</f>
        <v>0.4898468203791182</v>
      </c>
      <c r="T119" s="66">
        <f>F119/SUM(E119:F119)</f>
        <v>0.5101531796208818</v>
      </c>
      <c r="U119" s="34">
        <f t="shared" ref="U119:V119" si="48">IF(OR(ISBLANK($R119),ISBLANK(S119)),"NA",$R119*S119)</f>
        <v>0.45655535576676087</v>
      </c>
      <c r="V119" s="34">
        <f t="shared" si="48"/>
        <v>0.47548163370151553</v>
      </c>
      <c r="W119" s="34"/>
      <c r="X119" s="34"/>
    </row>
    <row r="120" spans="1:24" x14ac:dyDescent="0.2">
      <c r="A120" s="21"/>
      <c r="B120" s="19"/>
      <c r="C120" s="20"/>
      <c r="D120" s="27"/>
      <c r="K120" s="84"/>
      <c r="L120" s="28"/>
      <c r="M120" s="22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x14ac:dyDescent="0.2">
      <c r="A121" s="21"/>
      <c r="B121" s="19"/>
      <c r="C121" s="20">
        <v>2019</v>
      </c>
      <c r="D121" s="27">
        <f t="shared" si="44"/>
        <v>7558457</v>
      </c>
      <c r="E121" s="27">
        <v>2900983</v>
      </c>
      <c r="F121" s="27">
        <v>4032339</v>
      </c>
      <c r="G121" s="27">
        <v>417715</v>
      </c>
      <c r="H121" s="27">
        <v>77175</v>
      </c>
      <c r="I121" s="27">
        <v>130245</v>
      </c>
      <c r="J121" s="27">
        <v>0</v>
      </c>
      <c r="K121" s="83">
        <v>0</v>
      </c>
      <c r="L121" s="28"/>
      <c r="M121" s="22"/>
      <c r="N121" s="21"/>
      <c r="O121" s="21"/>
      <c r="P121" s="21"/>
      <c r="Q121" s="21" t="str">
        <f>$A$112&amp;C121&amp;"ASSETS"</f>
        <v>BKH2019ASSETS</v>
      </c>
      <c r="R121" s="66">
        <f>SUM(E121:F121)/D121</f>
        <v>0.91729330470491532</v>
      </c>
      <c r="S121" s="66">
        <f>E121/SUM(E121:F121)</f>
        <v>0.41841169355757601</v>
      </c>
      <c r="T121" s="66">
        <f>F121/SUM(E121:F121)</f>
        <v>0.58158830644242399</v>
      </c>
      <c r="U121" s="34">
        <f>IF(OR(ISBLANK($R121),ISBLANK(S121)),"NA",$R121*S121)</f>
        <v>0.38380624511060923</v>
      </c>
      <c r="V121" s="34">
        <f>IF(OR(ISBLANK($R121),ISBLANK(T121)),"NA",$R121*T121)</f>
        <v>0.53348705959430609</v>
      </c>
      <c r="W121" s="34"/>
      <c r="X121" s="34"/>
    </row>
    <row r="122" spans="1:24" x14ac:dyDescent="0.2">
      <c r="A122" s="21"/>
      <c r="B122" s="19" t="s">
        <v>84</v>
      </c>
      <c r="C122" s="20">
        <v>2018</v>
      </c>
      <c r="D122" s="27">
        <f t="shared" si="44"/>
        <v>6963327</v>
      </c>
      <c r="E122" s="27">
        <v>2707695</v>
      </c>
      <c r="F122" s="27">
        <v>3623475</v>
      </c>
      <c r="G122" s="27">
        <v>342085</v>
      </c>
      <c r="H122" s="40">
        <v>80594</v>
      </c>
      <c r="I122" s="40">
        <v>209478</v>
      </c>
      <c r="J122" s="40">
        <v>0</v>
      </c>
      <c r="K122" s="83">
        <v>0</v>
      </c>
      <c r="L122" s="28"/>
      <c r="M122" s="22"/>
      <c r="N122" s="21"/>
      <c r="O122" s="21"/>
      <c r="P122" s="21"/>
      <c r="Q122" s="21" t="str">
        <f t="shared" ref="Q122:Q123" si="49">$A$112&amp;C122&amp;"ASSETS"</f>
        <v>BKH2018ASSETS</v>
      </c>
      <c r="R122" s="66">
        <f>SUM(E122:F122)/D122</f>
        <v>0.90921624102961129</v>
      </c>
      <c r="S122" s="66">
        <f>E122/SUM(E122:F122)</f>
        <v>0.42767687489042311</v>
      </c>
      <c r="T122" s="66">
        <f>F122/SUM(E122:F122)</f>
        <v>0.57232312510957695</v>
      </c>
      <c r="U122" s="34">
        <f>IF(OR(ISBLANK($R122),ISBLANK(S122)),"NA",$R122*S122)</f>
        <v>0.38885076056316187</v>
      </c>
      <c r="V122" s="34">
        <f>IF(OR(ISBLANK($R122),ISBLANK(T122)),"NA",$R122*T122)</f>
        <v>0.52036548046644948</v>
      </c>
      <c r="W122" s="34"/>
      <c r="X122" s="34"/>
    </row>
    <row r="123" spans="1:24" x14ac:dyDescent="0.2">
      <c r="A123" s="21"/>
      <c r="B123" s="21"/>
      <c r="C123" s="20">
        <v>2017</v>
      </c>
      <c r="D123" s="27">
        <f>SUM(E123:K123)</f>
        <v>6658902</v>
      </c>
      <c r="E123" s="27">
        <v>2906275</v>
      </c>
      <c r="F123" s="27">
        <v>3426466</v>
      </c>
      <c r="G123" s="27">
        <v>60852</v>
      </c>
      <c r="H123" s="40">
        <v>65455</v>
      </c>
      <c r="I123" s="40">
        <v>115612</v>
      </c>
      <c r="J123" s="40">
        <v>84242</v>
      </c>
      <c r="K123" s="83">
        <v>0</v>
      </c>
      <c r="L123" s="28"/>
      <c r="M123" s="22"/>
      <c r="N123" s="21"/>
      <c r="O123" s="21"/>
      <c r="P123" s="21"/>
      <c r="Q123" s="21" t="str">
        <f t="shared" si="49"/>
        <v>BKH2017ASSETS</v>
      </c>
      <c r="R123" s="66">
        <f>SUM(E123:F123)/D123</f>
        <v>0.9510188015982215</v>
      </c>
      <c r="S123" s="66">
        <f t="shared" ref="S123" si="50">E123/SUM(E123:F123)</f>
        <v>0.45892844820276085</v>
      </c>
      <c r="T123" s="66">
        <f t="shared" ref="T123" si="51">F123/SUM(E123:F123)</f>
        <v>0.54107155179723909</v>
      </c>
      <c r="U123" s="34">
        <f t="shared" ref="U123:V123" si="52">IF(OR(ISBLANK($R123),ISBLANK(S123)),"NA",$R123*S123)</f>
        <v>0.43644958282912111</v>
      </c>
      <c r="V123" s="34">
        <f t="shared" si="52"/>
        <v>0.51456921876910033</v>
      </c>
      <c r="W123" s="34"/>
      <c r="X123" s="34"/>
    </row>
    <row r="124" spans="1:24" x14ac:dyDescent="0.2">
      <c r="B124" s="23"/>
      <c r="D124" s="76"/>
      <c r="H124" s="40"/>
      <c r="I124" s="40"/>
      <c r="J124" s="40"/>
    </row>
    <row r="125" spans="1:24" x14ac:dyDescent="0.2">
      <c r="D125" s="76"/>
      <c r="H125" s="40"/>
      <c r="I125" s="40"/>
      <c r="J125" s="40"/>
    </row>
    <row r="126" spans="1:24" x14ac:dyDescent="0.2">
      <c r="D126" s="76"/>
      <c r="H126" s="40"/>
      <c r="I126" s="40"/>
      <c r="J126" s="40"/>
    </row>
    <row r="127" spans="1:24" x14ac:dyDescent="0.2">
      <c r="A127" s="18" t="s">
        <v>138</v>
      </c>
      <c r="B127" s="19"/>
      <c r="C127" s="20"/>
      <c r="D127" s="21"/>
      <c r="E127" s="48"/>
      <c r="F127" s="48"/>
      <c r="G127" s="48"/>
      <c r="H127" s="48"/>
      <c r="I127" s="48"/>
      <c r="J127" s="48"/>
      <c r="K127" s="22"/>
      <c r="L127" s="22"/>
      <c r="M127" s="22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x14ac:dyDescent="0.2">
      <c r="A128" s="86" t="s">
        <v>139</v>
      </c>
      <c r="B128" s="19"/>
      <c r="C128" s="20"/>
      <c r="D128" s="21"/>
      <c r="E128" s="48"/>
      <c r="F128" s="48"/>
      <c r="G128" s="48"/>
      <c r="H128" s="48"/>
      <c r="I128" s="48"/>
      <c r="J128" s="48"/>
      <c r="K128" s="22"/>
      <c r="L128" s="22"/>
      <c r="M128" s="22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63.75" x14ac:dyDescent="0.2">
      <c r="A129" s="18" t="s">
        <v>140</v>
      </c>
      <c r="B129" s="19"/>
      <c r="C129" s="20"/>
      <c r="D129" s="20" t="s">
        <v>75</v>
      </c>
      <c r="E129" s="35" t="s">
        <v>141</v>
      </c>
      <c r="F129" s="35" t="s">
        <v>142</v>
      </c>
      <c r="G129" s="35" t="s">
        <v>85</v>
      </c>
      <c r="H129" s="35" t="s">
        <v>89</v>
      </c>
      <c r="I129" s="35" t="s">
        <v>143</v>
      </c>
      <c r="J129" s="35" t="s">
        <v>144</v>
      </c>
      <c r="K129" s="35" t="s">
        <v>90</v>
      </c>
      <c r="L129" s="35" t="s">
        <v>76</v>
      </c>
      <c r="M129" s="22"/>
      <c r="N129" s="21"/>
      <c r="O129" s="21"/>
      <c r="P129" s="21"/>
      <c r="Q129" s="29"/>
      <c r="R129" s="30" t="s">
        <v>77</v>
      </c>
      <c r="S129" s="30" t="s">
        <v>78</v>
      </c>
      <c r="T129" s="30" t="s">
        <v>79</v>
      </c>
      <c r="U129" s="30" t="s">
        <v>80</v>
      </c>
      <c r="V129" s="30" t="s">
        <v>81</v>
      </c>
      <c r="W129" s="31"/>
      <c r="X129" s="31"/>
    </row>
    <row r="130" spans="1:24" x14ac:dyDescent="0.2">
      <c r="A130" s="21"/>
      <c r="B130" s="19"/>
      <c r="C130" s="20">
        <v>2019</v>
      </c>
      <c r="D130" s="76">
        <f>SUM(E130:L130)</f>
        <v>12301</v>
      </c>
      <c r="E130" s="35">
        <v>2996</v>
      </c>
      <c r="F130" s="35">
        <v>523</v>
      </c>
      <c r="G130" s="35">
        <v>3643</v>
      </c>
      <c r="H130" s="35">
        <v>3653</v>
      </c>
      <c r="I130" s="35">
        <v>1186</v>
      </c>
      <c r="J130" s="27">
        <v>0</v>
      </c>
      <c r="K130" s="35">
        <v>300</v>
      </c>
      <c r="L130" s="22">
        <v>0</v>
      </c>
      <c r="M130" s="22"/>
      <c r="N130" s="21"/>
      <c r="O130" s="21"/>
      <c r="P130" s="21"/>
      <c r="Q130" s="21" t="str">
        <f>$A$129&amp;C130&amp;"REV"</f>
        <v>CNP2019REV</v>
      </c>
      <c r="R130" s="61">
        <f>SUM(E130:G130)/D130</f>
        <v>0.58222908706609222</v>
      </c>
      <c r="S130" s="61">
        <f>SUM(E130:F130)/SUM(E130:G130)</f>
        <v>0.49134320022340128</v>
      </c>
      <c r="T130" s="61">
        <f>G130/SUM(E130:G130)</f>
        <v>0.50865679977659872</v>
      </c>
      <c r="U130" s="34">
        <f>IF(OR(ISBLANK($R130),ISBLANK(S130)),"NA",$R130*S130)</f>
        <v>0.28607430290220309</v>
      </c>
      <c r="V130" s="34">
        <f>IF(OR(ISBLANK($R130),ISBLANK(T130)),"NA",$R130*T130)</f>
        <v>0.29615478416388913</v>
      </c>
      <c r="W130" s="34"/>
      <c r="X130" s="34"/>
    </row>
    <row r="131" spans="1:24" x14ac:dyDescent="0.2">
      <c r="A131" s="18"/>
      <c r="B131" s="19" t="s">
        <v>82</v>
      </c>
      <c r="C131" s="87">
        <v>2018</v>
      </c>
      <c r="D131" s="88">
        <f t="shared" ref="D131:D132" si="53">SUM(E131:L131)</f>
        <v>10589</v>
      </c>
      <c r="E131" s="89">
        <v>3232</v>
      </c>
      <c r="F131" s="89">
        <v>0</v>
      </c>
      <c r="G131" s="89">
        <v>2931</v>
      </c>
      <c r="H131" s="90">
        <v>4411</v>
      </c>
      <c r="I131" s="89">
        <v>0</v>
      </c>
      <c r="J131" s="91">
        <v>0</v>
      </c>
      <c r="K131" s="90">
        <v>15</v>
      </c>
      <c r="L131" s="92">
        <v>0</v>
      </c>
      <c r="M131" s="92"/>
      <c r="N131" s="93"/>
      <c r="O131" s="93"/>
      <c r="P131" s="93"/>
      <c r="Q131" s="93" t="str">
        <f>$A$129&amp;C131&amp;"REV"</f>
        <v>CNP2018REV</v>
      </c>
      <c r="R131" s="94"/>
      <c r="S131" s="94"/>
      <c r="T131" s="94"/>
      <c r="U131" s="95"/>
      <c r="V131" s="95"/>
      <c r="W131" s="34"/>
      <c r="X131" s="34"/>
    </row>
    <row r="132" spans="1:24" x14ac:dyDescent="0.2">
      <c r="A132" s="21"/>
      <c r="B132" s="19"/>
      <c r="C132" s="87">
        <v>2017</v>
      </c>
      <c r="D132" s="88">
        <f t="shared" si="53"/>
        <v>9614</v>
      </c>
      <c r="E132" s="89">
        <v>2997</v>
      </c>
      <c r="F132" s="89">
        <v>0</v>
      </c>
      <c r="G132" s="89">
        <v>2606</v>
      </c>
      <c r="H132" s="90">
        <v>3997</v>
      </c>
      <c r="I132" s="89">
        <v>0</v>
      </c>
      <c r="J132" s="91">
        <v>0</v>
      </c>
      <c r="K132" s="90">
        <v>14</v>
      </c>
      <c r="L132" s="92">
        <v>0</v>
      </c>
      <c r="M132" s="92"/>
      <c r="N132" s="93"/>
      <c r="O132" s="93"/>
      <c r="P132" s="93"/>
      <c r="Q132" s="93" t="str">
        <f>$A$129&amp;C132&amp;"REV"</f>
        <v>CNP2017REV</v>
      </c>
      <c r="R132" s="94"/>
      <c r="S132" s="94"/>
      <c r="T132" s="94"/>
      <c r="U132" s="95"/>
      <c r="V132" s="95"/>
      <c r="W132" s="34"/>
      <c r="X132" s="34"/>
    </row>
    <row r="133" spans="1:24" x14ac:dyDescent="0.2">
      <c r="A133" s="21"/>
      <c r="B133" s="19"/>
      <c r="C133" s="20"/>
      <c r="D133" s="21"/>
      <c r="E133" s="33"/>
      <c r="F133" s="33"/>
      <c r="G133" s="33"/>
      <c r="H133" s="51"/>
      <c r="I133" s="33"/>
      <c r="K133" s="51"/>
      <c r="L133" s="22"/>
      <c r="M133" s="22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x14ac:dyDescent="0.2">
      <c r="A134" s="21"/>
      <c r="B134" s="19"/>
      <c r="C134" s="20">
        <v>2019</v>
      </c>
      <c r="D134" s="76">
        <f>SUM(E134:L134)</f>
        <v>1226</v>
      </c>
      <c r="E134" s="33">
        <v>624</v>
      </c>
      <c r="F134" s="33">
        <v>90</v>
      </c>
      <c r="G134" s="33">
        <v>408</v>
      </c>
      <c r="H134" s="51">
        <v>32</v>
      </c>
      <c r="I134" s="33">
        <v>95</v>
      </c>
      <c r="J134" s="27">
        <v>0</v>
      </c>
      <c r="K134" s="51">
        <v>-23</v>
      </c>
      <c r="L134" s="22">
        <v>0</v>
      </c>
      <c r="M134" s="22"/>
      <c r="N134" s="21"/>
      <c r="O134" s="21"/>
      <c r="P134" s="21"/>
      <c r="Q134" s="21" t="str">
        <f>$A$129&amp;C134&amp;"INC"</f>
        <v>CNP2019INC</v>
      </c>
      <c r="R134" s="61">
        <f>SUM(E134:G134)/D134</f>
        <v>0.91517128874388254</v>
      </c>
      <c r="S134" s="61">
        <f>SUM(E134:F134)/SUM(E134:G134)</f>
        <v>0.63636363636363635</v>
      </c>
      <c r="T134" s="61">
        <f>G134/SUM(E134:G134)</f>
        <v>0.36363636363636365</v>
      </c>
      <c r="U134" s="34">
        <f t="shared" ref="U134:V134" si="54">IF(OR(ISBLANK($R134),ISBLANK(S134)),"NA",$R134*S134)</f>
        <v>0.58238172920065256</v>
      </c>
      <c r="V134" s="34">
        <f t="shared" si="54"/>
        <v>0.33278955954323003</v>
      </c>
      <c r="W134" s="34"/>
      <c r="X134" s="34"/>
    </row>
    <row r="135" spans="1:24" x14ac:dyDescent="0.2">
      <c r="A135" s="21"/>
      <c r="B135" s="19" t="s">
        <v>83</v>
      </c>
      <c r="C135" s="87">
        <v>2018</v>
      </c>
      <c r="D135" s="88">
        <f t="shared" ref="D135:D136" si="55">SUM(E135:L135)</f>
        <v>831</v>
      </c>
      <c r="E135" s="89">
        <v>623</v>
      </c>
      <c r="F135" s="89">
        <v>0</v>
      </c>
      <c r="G135" s="89">
        <v>266</v>
      </c>
      <c r="H135" s="90">
        <v>-47</v>
      </c>
      <c r="I135" s="89">
        <v>0</v>
      </c>
      <c r="J135" s="91">
        <v>0</v>
      </c>
      <c r="K135" s="90">
        <v>-11</v>
      </c>
      <c r="L135" s="92">
        <v>0</v>
      </c>
      <c r="M135" s="92"/>
      <c r="N135" s="93"/>
      <c r="O135" s="93"/>
      <c r="P135" s="93"/>
      <c r="Q135" s="93" t="str">
        <f>$A$129&amp;C135&amp;"INC"</f>
        <v>CNP2018INC</v>
      </c>
      <c r="R135" s="94"/>
      <c r="S135" s="94"/>
      <c r="T135" s="94"/>
      <c r="U135" s="95"/>
      <c r="V135" s="95"/>
      <c r="W135" s="34"/>
      <c r="X135" s="34"/>
    </row>
    <row r="136" spans="1:24" x14ac:dyDescent="0.2">
      <c r="A136" s="21"/>
      <c r="B136" s="19"/>
      <c r="C136" s="87">
        <v>2017</v>
      </c>
      <c r="D136" s="88">
        <f t="shared" si="55"/>
        <v>1136</v>
      </c>
      <c r="E136" s="89">
        <v>636</v>
      </c>
      <c r="F136" s="89">
        <v>0</v>
      </c>
      <c r="G136" s="89">
        <v>348</v>
      </c>
      <c r="H136" s="90">
        <v>126</v>
      </c>
      <c r="I136" s="89">
        <v>0</v>
      </c>
      <c r="J136" s="91">
        <v>0</v>
      </c>
      <c r="K136" s="90">
        <v>26</v>
      </c>
      <c r="L136" s="92">
        <v>0</v>
      </c>
      <c r="M136" s="92"/>
      <c r="N136" s="93"/>
      <c r="O136" s="93"/>
      <c r="P136" s="93"/>
      <c r="Q136" s="93" t="str">
        <f>$A$129&amp;C136&amp;"INC"</f>
        <v>CNP2017INC</v>
      </c>
      <c r="R136" s="94"/>
      <c r="S136" s="94"/>
      <c r="T136" s="94"/>
      <c r="U136" s="95"/>
      <c r="V136" s="95"/>
      <c r="W136" s="34"/>
      <c r="X136" s="34"/>
    </row>
    <row r="137" spans="1:24" x14ac:dyDescent="0.2">
      <c r="A137" s="21"/>
      <c r="B137" s="19"/>
      <c r="C137" s="20"/>
      <c r="D137" s="57"/>
      <c r="E137" s="33"/>
      <c r="F137" s="33"/>
      <c r="G137" s="33"/>
      <c r="H137" s="33"/>
      <c r="I137" s="33"/>
      <c r="J137" s="51"/>
      <c r="K137" s="22"/>
      <c r="L137" s="28"/>
      <c r="M137" s="22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x14ac:dyDescent="0.2">
      <c r="A138" s="21"/>
      <c r="B138" s="19"/>
      <c r="C138" s="20">
        <v>2019</v>
      </c>
      <c r="D138" s="76">
        <f>SUM(E138:L138)</f>
        <v>35439</v>
      </c>
      <c r="E138" s="33">
        <v>11264</v>
      </c>
      <c r="F138" s="33">
        <v>3168</v>
      </c>
      <c r="G138" s="33">
        <v>13903</v>
      </c>
      <c r="H138" s="33">
        <v>1301</v>
      </c>
      <c r="I138" s="33">
        <v>1077</v>
      </c>
      <c r="J138" s="51">
        <v>2473</v>
      </c>
      <c r="K138" s="22">
        <v>4784</v>
      </c>
      <c r="L138" s="28">
        <v>-2531</v>
      </c>
      <c r="M138" s="22"/>
      <c r="N138" s="21"/>
      <c r="O138" s="21"/>
      <c r="P138" s="21"/>
      <c r="Q138" s="21" t="str">
        <f>$A$129&amp;C138&amp;"ASSETS"</f>
        <v>CNP2019ASSETS</v>
      </c>
      <c r="R138" s="61">
        <f>SUM(E138:G138)/D138</f>
        <v>0.79954287649200029</v>
      </c>
      <c r="S138" s="61">
        <f>SUM(E138:F138)/SUM(E138:G138)</f>
        <v>0.50933474501499909</v>
      </c>
      <c r="T138" s="61">
        <f>G138/SUM(E138:G138)</f>
        <v>0.49066525498500091</v>
      </c>
      <c r="U138" s="34">
        <f t="shared" ref="U138:V138" si="56">IF(OR(ISBLANK($R138),ISBLANK(S138)),"NA",$R138*S138)</f>
        <v>0.40723496712661189</v>
      </c>
      <c r="V138" s="34">
        <f t="shared" si="56"/>
        <v>0.3923079093653884</v>
      </c>
      <c r="W138" s="34"/>
      <c r="X138" s="34"/>
    </row>
    <row r="139" spans="1:24" x14ac:dyDescent="0.2">
      <c r="A139" s="21"/>
      <c r="B139" s="19" t="s">
        <v>84</v>
      </c>
      <c r="C139" s="87">
        <v>2018</v>
      </c>
      <c r="D139" s="88">
        <f t="shared" ref="D139:D140" si="57">SUM(E139:L139)</f>
        <v>27009</v>
      </c>
      <c r="E139" s="89">
        <v>10509</v>
      </c>
      <c r="F139" s="89">
        <v>0</v>
      </c>
      <c r="G139" s="89">
        <v>6956</v>
      </c>
      <c r="H139" s="90">
        <v>1558</v>
      </c>
      <c r="I139" s="89">
        <v>2482</v>
      </c>
      <c r="J139" s="91">
        <v>6156</v>
      </c>
      <c r="K139" s="90">
        <v>-652</v>
      </c>
      <c r="L139" s="92">
        <v>0</v>
      </c>
      <c r="M139" s="92"/>
      <c r="N139" s="93"/>
      <c r="O139" s="93"/>
      <c r="P139" s="93"/>
      <c r="Q139" s="93" t="str">
        <f>$A$129&amp;C139&amp;"ASSETS"</f>
        <v>CNP2018ASSETS</v>
      </c>
      <c r="R139" s="94"/>
      <c r="S139" s="94"/>
      <c r="T139" s="94"/>
      <c r="U139" s="95"/>
      <c r="V139" s="95"/>
      <c r="W139" s="34"/>
      <c r="X139" s="34"/>
    </row>
    <row r="140" spans="1:24" x14ac:dyDescent="0.2">
      <c r="A140" s="21"/>
      <c r="B140" s="19"/>
      <c r="C140" s="87">
        <v>2017</v>
      </c>
      <c r="D140" s="88">
        <f t="shared" si="57"/>
        <v>22736</v>
      </c>
      <c r="E140" s="89">
        <v>10292</v>
      </c>
      <c r="F140" s="89">
        <v>0</v>
      </c>
      <c r="G140" s="89">
        <v>6608</v>
      </c>
      <c r="H140" s="90">
        <v>1521</v>
      </c>
      <c r="I140" s="89">
        <v>2472</v>
      </c>
      <c r="J140" s="91">
        <v>2497</v>
      </c>
      <c r="K140" s="90">
        <v>-654</v>
      </c>
      <c r="L140" s="92">
        <v>0</v>
      </c>
      <c r="M140" s="92"/>
      <c r="N140" s="93"/>
      <c r="O140" s="93"/>
      <c r="P140" s="93"/>
      <c r="Q140" s="93" t="str">
        <f>$A$129&amp;C140&amp;"ASSETS"</f>
        <v>CNP2017ASSETS</v>
      </c>
      <c r="R140" s="94"/>
      <c r="S140" s="94"/>
      <c r="T140" s="94"/>
      <c r="U140" s="95"/>
      <c r="V140" s="95"/>
      <c r="W140" s="34"/>
      <c r="X140" s="34"/>
    </row>
    <row r="141" spans="1:24" x14ac:dyDescent="0.2">
      <c r="D141" s="76"/>
    </row>
    <row r="142" spans="1:24" x14ac:dyDescent="0.2">
      <c r="D142" s="76"/>
    </row>
    <row r="143" spans="1:24" x14ac:dyDescent="0.2">
      <c r="D143" s="76"/>
    </row>
    <row r="144" spans="1:24" x14ac:dyDescent="0.2">
      <c r="A144" s="18" t="s">
        <v>145</v>
      </c>
      <c r="B144" s="19"/>
      <c r="C144" s="20"/>
      <c r="D144" s="21"/>
      <c r="E144" s="33"/>
      <c r="F144" s="33"/>
      <c r="G144" s="33"/>
      <c r="H144" s="33"/>
      <c r="I144" s="22"/>
      <c r="J144" s="22"/>
      <c r="K144" s="22"/>
      <c r="L144" s="22"/>
      <c r="M144" s="22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x14ac:dyDescent="0.2">
      <c r="A145" s="21" t="s">
        <v>146</v>
      </c>
      <c r="B145" s="19"/>
      <c r="C145" s="20"/>
      <c r="D145" s="21"/>
      <c r="E145" s="33"/>
      <c r="F145" s="33"/>
      <c r="G145" s="33"/>
      <c r="H145" s="33"/>
      <c r="I145" s="22"/>
      <c r="J145" s="22"/>
      <c r="K145" s="22"/>
      <c r="L145" s="22"/>
      <c r="M145" s="22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63.75" x14ac:dyDescent="0.2">
      <c r="A146" s="18" t="s">
        <v>147</v>
      </c>
      <c r="B146" s="19"/>
      <c r="C146" s="20"/>
      <c r="D146" s="31" t="s">
        <v>75</v>
      </c>
      <c r="E146" s="35" t="s">
        <v>133</v>
      </c>
      <c r="F146" s="35" t="s">
        <v>87</v>
      </c>
      <c r="G146" s="35" t="s">
        <v>148</v>
      </c>
      <c r="H146" s="35" t="s">
        <v>149</v>
      </c>
      <c r="I146" s="52" t="s">
        <v>150</v>
      </c>
      <c r="J146" s="22"/>
      <c r="K146" s="22"/>
      <c r="L146" s="22"/>
      <c r="M146" s="22"/>
      <c r="N146" s="21"/>
      <c r="O146" s="21"/>
      <c r="P146" s="21"/>
      <c r="Q146" s="29"/>
      <c r="R146" s="30" t="s">
        <v>77</v>
      </c>
      <c r="S146" s="30" t="s">
        <v>78</v>
      </c>
      <c r="T146" s="30" t="s">
        <v>79</v>
      </c>
      <c r="U146" s="30" t="s">
        <v>80</v>
      </c>
      <c r="V146" s="30" t="s">
        <v>81</v>
      </c>
      <c r="W146" s="31"/>
      <c r="X146" s="31"/>
    </row>
    <row r="147" spans="1:24" x14ac:dyDescent="0.2">
      <c r="A147" s="18"/>
      <c r="B147" s="19"/>
      <c r="C147" s="20">
        <v>2019</v>
      </c>
      <c r="D147" s="32">
        <f>SUM(E147:I147)</f>
        <v>6845</v>
      </c>
      <c r="E147" s="33">
        <v>4439</v>
      </c>
      <c r="F147" s="33">
        <v>1937</v>
      </c>
      <c r="G147" s="33">
        <v>248</v>
      </c>
      <c r="H147" s="33">
        <v>221</v>
      </c>
      <c r="I147" s="22">
        <v>0</v>
      </c>
      <c r="J147" s="22"/>
      <c r="K147" s="22"/>
      <c r="L147" s="22"/>
      <c r="M147" s="22"/>
      <c r="N147" s="21"/>
      <c r="O147" s="21"/>
      <c r="P147" s="21"/>
      <c r="Q147" s="21" t="str">
        <f>$A$146&amp;C147&amp;"REV"</f>
        <v>CMS2019REV</v>
      </c>
      <c r="R147" s="61">
        <f>SUM(E147:F147)/D147</f>
        <v>0.9314828341855369</v>
      </c>
      <c r="S147" s="61">
        <f>E147/SUM(E147:F147)</f>
        <v>0.69620451693851948</v>
      </c>
      <c r="T147" s="61">
        <f>F147/SUM(E147:F147)</f>
        <v>0.30379548306148058</v>
      </c>
      <c r="U147" s="34">
        <f>IF(OR(ISBLANK($R147),ISBLANK(S147)),"NA",$R147*S147)</f>
        <v>0.6485025566106648</v>
      </c>
      <c r="V147" s="34">
        <f>IF(OR(ISBLANK($R147),ISBLANK(T147)),"NA",$R147*T147)</f>
        <v>0.28298027757487221</v>
      </c>
      <c r="W147" s="34"/>
      <c r="X147" s="34"/>
    </row>
    <row r="148" spans="1:24" x14ac:dyDescent="0.2">
      <c r="A148" s="18"/>
      <c r="B148" s="19" t="s">
        <v>82</v>
      </c>
      <c r="C148" s="20">
        <v>2018</v>
      </c>
      <c r="D148" s="32">
        <f t="shared" ref="D148:D149" si="58">SUM(E148:I148)</f>
        <v>6873</v>
      </c>
      <c r="E148" s="33">
        <v>4561</v>
      </c>
      <c r="F148" s="33">
        <v>1903</v>
      </c>
      <c r="G148" s="33">
        <v>252</v>
      </c>
      <c r="H148" s="33">
        <v>157</v>
      </c>
      <c r="I148" s="22">
        <v>0</v>
      </c>
      <c r="J148" s="22"/>
      <c r="K148" s="22"/>
      <c r="L148" s="22"/>
      <c r="M148" s="22"/>
      <c r="N148" s="21"/>
      <c r="O148" s="21"/>
      <c r="P148" s="21"/>
      <c r="Q148" s="21" t="str">
        <f t="shared" ref="Q148:Q149" si="59">$A$146&amp;C148&amp;"REV"</f>
        <v>CMS2018REV</v>
      </c>
      <c r="R148" s="61">
        <f>SUM(E148:F148)/D148</f>
        <v>0.94049177942674234</v>
      </c>
      <c r="S148" s="61">
        <f>E148/SUM(E148:F148)</f>
        <v>0.70560024752475248</v>
      </c>
      <c r="T148" s="61">
        <f>F148/SUM(E148:F148)</f>
        <v>0.29439975247524752</v>
      </c>
      <c r="U148" s="34">
        <f>IF(OR(ISBLANK($R148),ISBLANK(S148)),"NA",$R148*S148)</f>
        <v>0.66361123235850428</v>
      </c>
      <c r="V148" s="34">
        <f>IF(OR(ISBLANK($R148),ISBLANK(T148)),"NA",$R148*T148)</f>
        <v>0.27688054706823806</v>
      </c>
      <c r="W148" s="34"/>
      <c r="X148" s="34"/>
    </row>
    <row r="149" spans="1:24" x14ac:dyDescent="0.2">
      <c r="A149" s="21"/>
      <c r="B149" s="19"/>
      <c r="C149" s="20">
        <v>2017</v>
      </c>
      <c r="D149" s="32">
        <f t="shared" si="58"/>
        <v>6583</v>
      </c>
      <c r="E149" s="33">
        <v>4448</v>
      </c>
      <c r="F149" s="33">
        <v>1774</v>
      </c>
      <c r="G149" s="33">
        <v>229</v>
      </c>
      <c r="H149" s="33">
        <v>132</v>
      </c>
      <c r="I149" s="22">
        <v>0</v>
      </c>
      <c r="J149" s="22"/>
      <c r="K149" s="22"/>
      <c r="L149" s="22"/>
      <c r="M149" s="22"/>
      <c r="N149" s="21"/>
      <c r="O149" s="21"/>
      <c r="P149" s="21"/>
      <c r="Q149" s="21" t="str">
        <f t="shared" si="59"/>
        <v>CMS2017REV</v>
      </c>
      <c r="R149" s="61">
        <f>SUM(E149:F149)/D149</f>
        <v>0.94516178034330856</v>
      </c>
      <c r="S149" s="61">
        <f>E149/SUM(E149:F149)</f>
        <v>0.71488267438122788</v>
      </c>
      <c r="T149" s="61">
        <f>F149/SUM(E149:F149)</f>
        <v>0.28511732561877212</v>
      </c>
      <c r="U149" s="34">
        <f t="shared" ref="U149:V149" si="60">IF(OR(ISBLANK($R149),ISBLANK(S149)),"NA",$R149*S149)</f>
        <v>0.67567978125474704</v>
      </c>
      <c r="V149" s="34">
        <f t="shared" si="60"/>
        <v>0.26948199908856146</v>
      </c>
      <c r="W149" s="63">
        <f>AVERAGE(T147:T149)</f>
        <v>0.29443752038516674</v>
      </c>
      <c r="X149" s="34"/>
    </row>
    <row r="150" spans="1:24" x14ac:dyDescent="0.2">
      <c r="A150" s="21"/>
      <c r="B150" s="19"/>
      <c r="C150" s="20"/>
      <c r="D150" s="21"/>
      <c r="E150" s="33"/>
      <c r="F150" s="33"/>
      <c r="G150" s="33"/>
      <c r="H150" s="33"/>
      <c r="I150" s="22"/>
      <c r="J150" s="22"/>
      <c r="K150" s="22"/>
      <c r="L150" s="22"/>
      <c r="M150" s="22"/>
      <c r="N150" s="21"/>
      <c r="O150" s="21"/>
      <c r="P150" s="21"/>
      <c r="Q150" s="21"/>
      <c r="R150" s="21"/>
      <c r="S150" s="21"/>
      <c r="T150" s="21"/>
      <c r="U150" s="21"/>
      <c r="V150" s="21"/>
      <c r="X150" s="21"/>
    </row>
    <row r="151" spans="1:24" x14ac:dyDescent="0.2">
      <c r="A151" s="21"/>
      <c r="B151" s="19"/>
      <c r="C151" s="20">
        <v>2019</v>
      </c>
      <c r="D151" s="32">
        <f>SUM(E151:I151)</f>
        <v>1336</v>
      </c>
      <c r="E151" s="33">
        <f>509+134+213</f>
        <v>856</v>
      </c>
      <c r="F151" s="33">
        <f>233+51+83</f>
        <v>367</v>
      </c>
      <c r="G151" s="33">
        <f>33+2+7-10</f>
        <v>32</v>
      </c>
      <c r="H151" s="33">
        <f>49+16+59</f>
        <v>124</v>
      </c>
      <c r="I151" s="22">
        <f>-144-56+157</f>
        <v>-43</v>
      </c>
      <c r="J151" s="22"/>
      <c r="K151" s="22"/>
      <c r="L151" s="22"/>
      <c r="M151" s="22"/>
      <c r="N151" s="21"/>
      <c r="O151" s="21"/>
      <c r="P151" s="21"/>
      <c r="Q151" s="21" t="str">
        <f>$A$146&amp;C151&amp;"INC"</f>
        <v>CMS2019INC</v>
      </c>
      <c r="R151" s="61">
        <f>SUM(E151:F151)/D151</f>
        <v>0.91541916167664672</v>
      </c>
      <c r="S151" s="61">
        <f>E151/SUM(E151:F151)</f>
        <v>0.69991823385118557</v>
      </c>
      <c r="T151" s="61">
        <f>F151/SUM(E151:F151)</f>
        <v>0.30008176614881438</v>
      </c>
      <c r="U151" s="34">
        <f>IF(OR(ISBLANK($R151),ISBLANK(S151)),"NA",$R151*S151)</f>
        <v>0.64071856287425144</v>
      </c>
      <c r="V151" s="34">
        <f>IF(OR(ISBLANK($R151),ISBLANK(T151)),"NA",$R151*T151)</f>
        <v>0.27470059880239522</v>
      </c>
      <c r="W151" s="63"/>
      <c r="X151" s="34"/>
    </row>
    <row r="152" spans="1:24" x14ac:dyDescent="0.2">
      <c r="A152" s="21"/>
      <c r="B152" s="19" t="s">
        <v>83</v>
      </c>
      <c r="C152" s="20">
        <v>2018</v>
      </c>
      <c r="D152" s="32">
        <f t="shared" ref="D152:D153" si="61">SUM(E152:I152)</f>
        <v>1230</v>
      </c>
      <c r="E152" s="33">
        <f>535+109+209</f>
        <v>853</v>
      </c>
      <c r="F152" s="33">
        <f>169+33+79</f>
        <v>281</v>
      </c>
      <c r="G152" s="33">
        <f>34+2+2</f>
        <v>38</v>
      </c>
      <c r="H152" s="33">
        <f>38+12+32</f>
        <v>82</v>
      </c>
      <c r="I152" s="22">
        <f>-119-41+136</f>
        <v>-24</v>
      </c>
      <c r="J152" s="22"/>
      <c r="K152" s="22"/>
      <c r="L152" s="22"/>
      <c r="M152" s="22"/>
      <c r="N152" s="21"/>
      <c r="O152" s="21"/>
      <c r="P152" s="21"/>
      <c r="Q152" s="21" t="str">
        <f t="shared" ref="Q152:Q153" si="62">$A$146&amp;C152&amp;"INC"</f>
        <v>CMS2018INC</v>
      </c>
      <c r="R152" s="61">
        <f>SUM(E152:F152)/D152</f>
        <v>0.92195121951219516</v>
      </c>
      <c r="S152" s="61">
        <f>E152/SUM(E152:F152)</f>
        <v>0.75220458553791891</v>
      </c>
      <c r="T152" s="61">
        <f>F152/SUM(E152:F152)</f>
        <v>0.24779541446208111</v>
      </c>
      <c r="U152" s="34">
        <f>IF(OR(ISBLANK($R152),ISBLANK(S152)),"NA",$R152*S152)</f>
        <v>0.69349593495934969</v>
      </c>
      <c r="V152" s="34">
        <f>IF(OR(ISBLANK($R152),ISBLANK(T152)),"NA",$R152*T152)</f>
        <v>0.22845528455284553</v>
      </c>
      <c r="W152" s="63"/>
      <c r="X152" s="34"/>
    </row>
    <row r="153" spans="1:24" x14ac:dyDescent="0.2">
      <c r="A153" s="21"/>
      <c r="B153" s="19"/>
      <c r="C153" s="20">
        <v>2017</v>
      </c>
      <c r="D153" s="32">
        <f t="shared" si="61"/>
        <v>1322</v>
      </c>
      <c r="E153" s="33">
        <f>455+245+201</f>
        <v>901</v>
      </c>
      <c r="F153" s="33">
        <f>173+96+74</f>
        <v>343</v>
      </c>
      <c r="G153" s="33">
        <f>-27+72+0</f>
        <v>45</v>
      </c>
      <c r="H153" s="33">
        <f>28+22+19</f>
        <v>69</v>
      </c>
      <c r="I153" s="22">
        <f>-169-11+144</f>
        <v>-36</v>
      </c>
      <c r="J153" s="22"/>
      <c r="K153" s="22"/>
      <c r="L153" s="22"/>
      <c r="M153" s="22"/>
      <c r="N153" s="21"/>
      <c r="O153" s="21"/>
      <c r="P153" s="21"/>
      <c r="Q153" s="21" t="str">
        <f t="shared" si="62"/>
        <v>CMS2017INC</v>
      </c>
      <c r="R153" s="61">
        <f>SUM(E153:F153)/D153</f>
        <v>0.94099848714069589</v>
      </c>
      <c r="S153" s="61">
        <f>E153/SUM(E153:F153)</f>
        <v>0.72427652733118975</v>
      </c>
      <c r="T153" s="61">
        <f>F153/SUM(E153:F153)</f>
        <v>0.27572347266881031</v>
      </c>
      <c r="U153" s="34">
        <f t="shared" ref="U153:V153" si="63">IF(OR(ISBLANK($R153),ISBLANK(S153)),"NA",$R153*S153)</f>
        <v>0.68154311649016641</v>
      </c>
      <c r="V153" s="34">
        <f t="shared" si="63"/>
        <v>0.25945537065052954</v>
      </c>
      <c r="W153" s="63">
        <f>AVERAGE(T151:T153)</f>
        <v>0.27453355109323524</v>
      </c>
      <c r="X153" s="34"/>
    </row>
    <row r="154" spans="1:24" x14ac:dyDescent="0.2">
      <c r="A154" s="21"/>
      <c r="B154" s="19"/>
      <c r="C154" s="20"/>
      <c r="D154" s="57"/>
      <c r="E154" s="38"/>
      <c r="F154" s="38"/>
      <c r="G154" s="38"/>
      <c r="H154" s="38"/>
      <c r="I154" s="49"/>
      <c r="J154" s="22"/>
      <c r="K154" s="22"/>
      <c r="L154" s="22"/>
      <c r="M154" s="22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x14ac:dyDescent="0.2">
      <c r="A155" s="21"/>
      <c r="B155" s="19"/>
      <c r="C155" s="20">
        <v>2019</v>
      </c>
      <c r="D155" s="32">
        <f>SUM(E155:I155)</f>
        <v>26837</v>
      </c>
      <c r="E155" s="38">
        <v>14911</v>
      </c>
      <c r="F155" s="38">
        <v>8659</v>
      </c>
      <c r="G155" s="38">
        <v>527</v>
      </c>
      <c r="H155" s="38">
        <v>2692</v>
      </c>
      <c r="I155" s="49">
        <v>48</v>
      </c>
      <c r="J155" s="22"/>
      <c r="K155" s="22"/>
      <c r="L155" s="22"/>
      <c r="M155" s="22"/>
      <c r="N155" s="21"/>
      <c r="O155" s="21"/>
      <c r="P155" s="21"/>
      <c r="Q155" s="21" t="str">
        <f>$A$146&amp;C155&amp;"ASSETS"</f>
        <v>CMS2019ASSETS</v>
      </c>
      <c r="R155" s="61">
        <f>SUM(E155:F155)/D155</f>
        <v>0.8782650817900659</v>
      </c>
      <c r="S155" s="61">
        <f>E155/SUM(E155:F155)</f>
        <v>0.63262621977089517</v>
      </c>
      <c r="T155" s="61">
        <f>F155/SUM(E155:F155)</f>
        <v>0.36737378022910477</v>
      </c>
      <c r="U155" s="34">
        <f>IF(OR(ISBLANK($R155),ISBLANK(S155)),"NA",$R155*S155)</f>
        <v>0.55561351864962549</v>
      </c>
      <c r="V155" s="34">
        <f>IF(OR(ISBLANK($R155),ISBLANK(T155)),"NA",$R155*T155)</f>
        <v>0.32265156314044041</v>
      </c>
      <c r="W155" s="34"/>
      <c r="X155" s="34"/>
    </row>
    <row r="156" spans="1:24" x14ac:dyDescent="0.2">
      <c r="A156" s="21"/>
      <c r="B156" s="19" t="s">
        <v>84</v>
      </c>
      <c r="C156" s="20">
        <v>2018</v>
      </c>
      <c r="D156" s="32">
        <f t="shared" ref="D156:D157" si="64">SUM(E156:I156)</f>
        <v>24529</v>
      </c>
      <c r="E156" s="38">
        <v>14079</v>
      </c>
      <c r="F156" s="38">
        <v>7806</v>
      </c>
      <c r="G156" s="38">
        <v>540</v>
      </c>
      <c r="H156" s="38">
        <v>2006</v>
      </c>
      <c r="I156" s="49">
        <v>98</v>
      </c>
      <c r="J156" s="22"/>
      <c r="K156" s="22"/>
      <c r="L156" s="22"/>
      <c r="M156" s="22"/>
      <c r="N156" s="21"/>
      <c r="O156" s="21"/>
      <c r="P156" s="21"/>
      <c r="Q156" s="21" t="str">
        <f t="shared" ref="Q156:Q157" si="65">$A$146&amp;C156&amp;"ASSETS"</f>
        <v>CMS2018ASSETS</v>
      </c>
      <c r="R156" s="61">
        <f>SUM(E156:F156)/D156</f>
        <v>0.89220922173753514</v>
      </c>
      <c r="S156" s="61">
        <f>E156/SUM(E156:F156)</f>
        <v>0.64331734064427692</v>
      </c>
      <c r="T156" s="61">
        <f>F156/SUM(E156:F156)</f>
        <v>0.35668265935572308</v>
      </c>
      <c r="U156" s="34">
        <f>IF(OR(ISBLANK($R156),ISBLANK(S156)),"NA",$R156*S156)</f>
        <v>0.57397366382649107</v>
      </c>
      <c r="V156" s="34">
        <f>IF(OR(ISBLANK($R156),ISBLANK(T156)),"NA",$R156*T156)</f>
        <v>0.31823555791104402</v>
      </c>
      <c r="W156" s="34"/>
      <c r="X156" s="34"/>
    </row>
    <row r="157" spans="1:24" x14ac:dyDescent="0.2">
      <c r="A157" s="21"/>
      <c r="B157" s="21"/>
      <c r="C157" s="20">
        <v>2017</v>
      </c>
      <c r="D157" s="32">
        <f t="shared" si="64"/>
        <v>23050</v>
      </c>
      <c r="E157" s="33">
        <v>13906</v>
      </c>
      <c r="F157" s="33">
        <v>7139</v>
      </c>
      <c r="G157" s="33">
        <v>342</v>
      </c>
      <c r="H157" s="33">
        <v>1453</v>
      </c>
      <c r="I157" s="22">
        <v>210</v>
      </c>
      <c r="J157" s="22"/>
      <c r="K157" s="22"/>
      <c r="L157" s="22"/>
      <c r="M157" s="22"/>
      <c r="N157" s="21"/>
      <c r="O157" s="21"/>
      <c r="P157" s="21"/>
      <c r="Q157" s="21" t="str">
        <f t="shared" si="65"/>
        <v>CMS2017ASSETS</v>
      </c>
      <c r="R157" s="61">
        <f>SUM(E157:F157)/D157</f>
        <v>0.91301518438177875</v>
      </c>
      <c r="S157" s="61">
        <f>E157/SUM(E157:F157)</f>
        <v>0.66077453076740322</v>
      </c>
      <c r="T157" s="61">
        <f>F157/SUM(E157:F157)</f>
        <v>0.33922546923259683</v>
      </c>
      <c r="U157" s="34">
        <f t="shared" ref="U157:V157" si="66">IF(OR(ISBLANK($R157),ISBLANK(S157)),"NA",$R157*S157)</f>
        <v>0.60329718004338395</v>
      </c>
      <c r="V157" s="34">
        <f t="shared" si="66"/>
        <v>0.3097180043383948</v>
      </c>
      <c r="W157" s="34"/>
      <c r="X157" s="34"/>
    </row>
    <row r="158" spans="1:24" x14ac:dyDescent="0.2">
      <c r="D158" s="76"/>
    </row>
    <row r="159" spans="1:24" x14ac:dyDescent="0.2">
      <c r="D159" s="76"/>
    </row>
    <row r="160" spans="1:24" x14ac:dyDescent="0.2">
      <c r="D160" s="76"/>
    </row>
    <row r="162" spans="1:24" x14ac:dyDescent="0.2">
      <c r="A162" s="18" t="s">
        <v>151</v>
      </c>
      <c r="B162" s="19"/>
      <c r="C162" s="20"/>
      <c r="D162" s="21"/>
      <c r="E162" s="33"/>
      <c r="F162" s="33"/>
      <c r="G162" s="33"/>
      <c r="H162" s="33"/>
      <c r="I162" s="33"/>
      <c r="J162" s="33"/>
      <c r="K162" s="33"/>
      <c r="L162" s="33"/>
      <c r="M162" s="33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x14ac:dyDescent="0.2">
      <c r="A163" s="21" t="s">
        <v>152</v>
      </c>
      <c r="B163" s="19"/>
      <c r="C163" s="20"/>
      <c r="D163" s="21"/>
      <c r="E163" s="21"/>
      <c r="F163" s="21"/>
      <c r="G163" s="21"/>
      <c r="H163" s="21"/>
      <c r="I163" s="21"/>
      <c r="J163" s="33"/>
      <c r="K163" s="33"/>
      <c r="L163" s="33"/>
      <c r="M163" s="33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x14ac:dyDescent="0.2">
      <c r="A164" s="21"/>
      <c r="B164" s="19"/>
      <c r="C164" s="20"/>
      <c r="D164" s="21"/>
      <c r="E164" s="96" t="s">
        <v>153</v>
      </c>
      <c r="F164" s="97"/>
      <c r="G164" s="97"/>
      <c r="H164" s="98"/>
      <c r="I164" s="96" t="s">
        <v>154</v>
      </c>
      <c r="J164" s="97"/>
      <c r="K164" s="98"/>
      <c r="L164" s="33"/>
      <c r="M164" s="33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63.75" x14ac:dyDescent="0.2">
      <c r="A165" s="18" t="s">
        <v>155</v>
      </c>
      <c r="B165" s="19"/>
      <c r="C165" s="20"/>
      <c r="D165" s="20" t="s">
        <v>75</v>
      </c>
      <c r="E165" s="35" t="s">
        <v>156</v>
      </c>
      <c r="F165" s="35" t="s">
        <v>157</v>
      </c>
      <c r="G165" s="35" t="s">
        <v>158</v>
      </c>
      <c r="H165" s="35" t="s">
        <v>159</v>
      </c>
      <c r="I165" s="35" t="s">
        <v>156</v>
      </c>
      <c r="J165" s="35" t="s">
        <v>157</v>
      </c>
      <c r="K165" s="35" t="s">
        <v>88</v>
      </c>
      <c r="L165" s="35" t="s">
        <v>160</v>
      </c>
      <c r="M165" s="35" t="s">
        <v>88</v>
      </c>
      <c r="N165" s="21"/>
      <c r="O165" s="21"/>
      <c r="P165" s="21"/>
      <c r="Q165" s="29"/>
      <c r="R165" s="30" t="s">
        <v>77</v>
      </c>
      <c r="S165" s="30" t="s">
        <v>78</v>
      </c>
      <c r="T165" s="30" t="s">
        <v>79</v>
      </c>
      <c r="U165" s="30" t="s">
        <v>80</v>
      </c>
      <c r="V165" s="30" t="s">
        <v>81</v>
      </c>
      <c r="W165" s="31"/>
      <c r="X165" s="31"/>
    </row>
    <row r="166" spans="1:24" x14ac:dyDescent="0.2">
      <c r="A166" s="18"/>
      <c r="B166" s="19"/>
      <c r="C166" s="20">
        <v>2019</v>
      </c>
      <c r="D166" s="32">
        <f>SUM(E166:M166)</f>
        <v>12574</v>
      </c>
      <c r="E166" s="72">
        <v>8062</v>
      </c>
      <c r="F166" s="72">
        <v>2132</v>
      </c>
      <c r="G166" s="72">
        <v>627</v>
      </c>
      <c r="H166" s="99">
        <v>0</v>
      </c>
      <c r="I166" s="72">
        <v>634</v>
      </c>
      <c r="J166" s="72">
        <v>259</v>
      </c>
      <c r="K166" s="35">
        <v>0</v>
      </c>
      <c r="L166" s="72">
        <v>857</v>
      </c>
      <c r="M166" s="72">
        <v>3</v>
      </c>
      <c r="N166" s="21"/>
      <c r="O166" s="21"/>
      <c r="P166" s="21"/>
      <c r="Q166" s="21" t="str">
        <f>$A$165&amp;C166&amp;"REV"</f>
        <v>ED2019REV</v>
      </c>
      <c r="R166" s="61">
        <f>SUM(E166:K166)/D166</f>
        <v>0.9316048989979322</v>
      </c>
      <c r="S166" s="61">
        <f>SUM(E166,I166)/SUM(E166:K166)</f>
        <v>0.74235956974560358</v>
      </c>
      <c r="T166" s="61">
        <f>SUM(F166,J166)/SUM(E166:K166)</f>
        <v>0.20411473450571965</v>
      </c>
      <c r="U166" s="34">
        <f>IF(OR(ISBLANK($R166),ISBLANK(S166)),"NA",$R166*S166)</f>
        <v>0.6915858119930014</v>
      </c>
      <c r="V166" s="34">
        <f>IF(OR(ISBLANK($R166),ISBLANK(T166)),"NA",$R166*T166)</f>
        <v>0.1901542866231907</v>
      </c>
      <c r="W166" s="34"/>
      <c r="X166" s="34"/>
    </row>
    <row r="167" spans="1:24" x14ac:dyDescent="0.2">
      <c r="A167" s="21"/>
      <c r="B167" s="19" t="s">
        <v>82</v>
      </c>
      <c r="C167" s="20">
        <v>2018</v>
      </c>
      <c r="D167" s="32">
        <f>SUM(E167:M167)</f>
        <v>12337</v>
      </c>
      <c r="E167" s="33">
        <v>7971</v>
      </c>
      <c r="F167" s="33">
        <v>2078</v>
      </c>
      <c r="G167" s="33">
        <v>631</v>
      </c>
      <c r="H167" s="100">
        <v>0</v>
      </c>
      <c r="I167" s="33">
        <v>642</v>
      </c>
      <c r="J167" s="33">
        <v>249</v>
      </c>
      <c r="K167" s="51">
        <v>0</v>
      </c>
      <c r="L167" s="33">
        <v>763</v>
      </c>
      <c r="M167" s="33">
        <v>3</v>
      </c>
      <c r="N167" s="21"/>
      <c r="O167" s="21"/>
      <c r="P167" s="21"/>
      <c r="Q167" s="21" t="str">
        <f t="shared" ref="Q167:Q168" si="67">$A$165&amp;C167&amp;"REV"</f>
        <v>ED2018REV</v>
      </c>
      <c r="R167" s="61">
        <f>SUM(E167:K167)/D167</f>
        <v>0.9379103509767367</v>
      </c>
      <c r="S167" s="61">
        <f>SUM(E167,I167)/SUM(E167:K167)</f>
        <v>0.74436090225563911</v>
      </c>
      <c r="T167" s="61">
        <f>SUM(F167,J167)/SUM(E167:K167)</f>
        <v>0.20110621381038804</v>
      </c>
      <c r="U167" s="34">
        <f>IF(OR(ISBLANK($R167),ISBLANK(S167)),"NA",$R167*S167)</f>
        <v>0.69814379508794688</v>
      </c>
      <c r="V167" s="34">
        <f>IF(OR(ISBLANK($R167),ISBLANK(T167)),"NA",$R167*T167)</f>
        <v>0.18861959957850369</v>
      </c>
      <c r="W167" s="34"/>
      <c r="X167" s="34"/>
    </row>
    <row r="168" spans="1:24" x14ac:dyDescent="0.2">
      <c r="A168" s="21"/>
      <c r="B168" s="19"/>
      <c r="C168" s="20">
        <v>2017</v>
      </c>
      <c r="D168" s="32">
        <f t="shared" ref="D168" si="68">SUM(E168:M168)</f>
        <v>12033</v>
      </c>
      <c r="E168" s="33">
        <v>7972</v>
      </c>
      <c r="F168" s="33">
        <v>1901</v>
      </c>
      <c r="G168" s="33">
        <v>595</v>
      </c>
      <c r="H168" s="100">
        <v>0</v>
      </c>
      <c r="I168" s="33">
        <v>642</v>
      </c>
      <c r="J168" s="33">
        <v>232</v>
      </c>
      <c r="K168" s="51">
        <v>0</v>
      </c>
      <c r="L168" s="33">
        <v>694</v>
      </c>
      <c r="M168" s="33">
        <v>-3</v>
      </c>
      <c r="N168" s="21"/>
      <c r="O168" s="21"/>
      <c r="P168" s="21"/>
      <c r="Q168" s="21" t="str">
        <f t="shared" si="67"/>
        <v>ED2017REV</v>
      </c>
      <c r="R168" s="61">
        <f>SUM(E168:K168)/D168</f>
        <v>0.94257458655364412</v>
      </c>
      <c r="S168" s="61">
        <f>SUM(E168,I168)/SUM(E168:K168)</f>
        <v>0.75947804619996473</v>
      </c>
      <c r="T168" s="61">
        <f>SUM(F168,J168)/SUM(E168:K168)</f>
        <v>0.18806207018162582</v>
      </c>
      <c r="U168" s="34">
        <f t="shared" ref="U168:V168" si="69">IF(OR(ISBLANK($R168),ISBLANK(S168)),"NA",$R168*S168)</f>
        <v>0.71586470539350122</v>
      </c>
      <c r="V168" s="34">
        <f t="shared" si="69"/>
        <v>0.17726252804786838</v>
      </c>
      <c r="W168" s="34"/>
      <c r="X168" s="34"/>
    </row>
    <row r="169" spans="1:24" x14ac:dyDescent="0.2">
      <c r="A169" s="21"/>
      <c r="B169" s="19"/>
      <c r="C169" s="20"/>
      <c r="D169" s="21"/>
      <c r="E169" s="33"/>
      <c r="F169" s="33"/>
      <c r="G169" s="33"/>
      <c r="H169" s="100"/>
      <c r="I169" s="33"/>
      <c r="J169" s="33"/>
      <c r="K169" s="51"/>
      <c r="L169" s="33"/>
      <c r="M169" s="33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x14ac:dyDescent="0.2">
      <c r="A170" s="21"/>
      <c r="B170" s="19"/>
      <c r="C170" s="20">
        <v>2019</v>
      </c>
      <c r="D170" s="32">
        <f t="shared" ref="D170:D172" si="70">SUM(E170:M170)</f>
        <v>2676</v>
      </c>
      <c r="E170" s="33">
        <v>1758</v>
      </c>
      <c r="F170" s="33">
        <v>528</v>
      </c>
      <c r="G170" s="33">
        <v>62</v>
      </c>
      <c r="H170" s="100">
        <v>0</v>
      </c>
      <c r="I170" s="33">
        <v>98</v>
      </c>
      <c r="J170" s="33">
        <v>41</v>
      </c>
      <c r="K170" s="51">
        <v>0</v>
      </c>
      <c r="L170" s="33">
        <v>202</v>
      </c>
      <c r="M170" s="33">
        <v>-13</v>
      </c>
      <c r="N170" s="21"/>
      <c r="O170" s="21"/>
      <c r="P170" s="21"/>
      <c r="Q170" s="21" t="str">
        <f>$A$165&amp;C170&amp;"INC"</f>
        <v>ED2019INC</v>
      </c>
      <c r="R170" s="61">
        <f>SUM(E170:K170)/D170</f>
        <v>0.929372197309417</v>
      </c>
      <c r="S170" s="61">
        <f>SUM(E170,I170)/SUM(E170:K170)</f>
        <v>0.74628065942903099</v>
      </c>
      <c r="T170" s="61">
        <f>SUM(F170,J170)/SUM(E170:K170)</f>
        <v>0.22878970647366303</v>
      </c>
      <c r="U170" s="34">
        <f>IF(OR(ISBLANK($R170),ISBLANK(S170)),"NA",$R170*S170)</f>
        <v>0.69357249626307926</v>
      </c>
      <c r="V170" s="34">
        <f>IF(OR(ISBLANK($R170),ISBLANK(T170)),"NA",$R170*T170)</f>
        <v>0.21263079222720477</v>
      </c>
      <c r="W170" s="34"/>
      <c r="X170" s="34"/>
    </row>
    <row r="171" spans="1:24" x14ac:dyDescent="0.2">
      <c r="A171" s="21"/>
      <c r="B171" s="19" t="s">
        <v>83</v>
      </c>
      <c r="C171" s="20">
        <v>2018</v>
      </c>
      <c r="D171" s="32">
        <f t="shared" si="70"/>
        <v>2664</v>
      </c>
      <c r="E171" s="33">
        <v>1799</v>
      </c>
      <c r="F171" s="33">
        <v>478</v>
      </c>
      <c r="G171" s="33">
        <v>77</v>
      </c>
      <c r="H171" s="100">
        <v>0</v>
      </c>
      <c r="I171" s="33">
        <v>93</v>
      </c>
      <c r="J171" s="33">
        <v>39</v>
      </c>
      <c r="K171" s="51">
        <v>0</v>
      </c>
      <c r="L171" s="33">
        <v>194</v>
      </c>
      <c r="M171" s="33">
        <v>-16</v>
      </c>
      <c r="N171" s="21"/>
      <c r="O171" s="21"/>
      <c r="P171" s="21"/>
      <c r="Q171" s="21" t="str">
        <f t="shared" ref="Q171:Q172" si="71">$A$165&amp;C171&amp;"INC"</f>
        <v>ED2018INC</v>
      </c>
      <c r="R171" s="61">
        <f>SUM(E171:K171)/D171</f>
        <v>0.93318318318318316</v>
      </c>
      <c r="S171" s="61">
        <f>SUM(E171,I171)/SUM(E171:K171)</f>
        <v>0.76106194690265483</v>
      </c>
      <c r="T171" s="61">
        <f>SUM(F171,J171)/SUM(E171:K171)</f>
        <v>0.20796460176991149</v>
      </c>
      <c r="U171" s="34">
        <f>IF(OR(ISBLANK($R171),ISBLANK(S171)),"NA",$R171*S171)</f>
        <v>0.71021021021021014</v>
      </c>
      <c r="V171" s="34">
        <f>IF(OR(ISBLANK($R171),ISBLANK(T171)),"NA",$R171*T171)</f>
        <v>0.19406906906906907</v>
      </c>
      <c r="W171" s="34"/>
      <c r="X171" s="34"/>
    </row>
    <row r="172" spans="1:24" x14ac:dyDescent="0.2">
      <c r="A172" s="21"/>
      <c r="B172" s="19"/>
      <c r="C172" s="20">
        <v>2017</v>
      </c>
      <c r="D172" s="32">
        <f t="shared" si="70"/>
        <v>2774</v>
      </c>
      <c r="E172" s="33">
        <v>1974</v>
      </c>
      <c r="F172" s="33">
        <v>495</v>
      </c>
      <c r="G172" s="33">
        <v>80</v>
      </c>
      <c r="H172" s="100">
        <v>0</v>
      </c>
      <c r="I172" s="33">
        <v>115</v>
      </c>
      <c r="J172" s="33">
        <v>46</v>
      </c>
      <c r="K172" s="51">
        <v>0</v>
      </c>
      <c r="L172" s="33">
        <v>69</v>
      </c>
      <c r="M172" s="33">
        <v>-5</v>
      </c>
      <c r="N172" s="21"/>
      <c r="O172" s="21"/>
      <c r="P172" s="21"/>
      <c r="Q172" s="21" t="str">
        <f t="shared" si="71"/>
        <v>ED2017INC</v>
      </c>
      <c r="R172" s="61">
        <f>SUM(E172:K172)/D172</f>
        <v>0.97692862292718097</v>
      </c>
      <c r="S172" s="61">
        <f>SUM(E172,I172)/SUM(E172:K172)</f>
        <v>0.77084870848708487</v>
      </c>
      <c r="T172" s="61">
        <f>SUM(F172,J172)/SUM(E172:K172)</f>
        <v>0.19963099630996309</v>
      </c>
      <c r="U172" s="34">
        <f t="shared" ref="U172:V172" si="72">IF(OR(ISBLANK($R172),ISBLANK(S172)),"NA",$R172*S172)</f>
        <v>0.75306416726748382</v>
      </c>
      <c r="V172" s="34">
        <f t="shared" si="72"/>
        <v>0.19502523431867338</v>
      </c>
      <c r="W172" s="34"/>
      <c r="X172" s="34"/>
    </row>
    <row r="173" spans="1:24" x14ac:dyDescent="0.2">
      <c r="A173" s="21"/>
      <c r="B173" s="19"/>
      <c r="C173" s="20"/>
      <c r="D173" s="57"/>
      <c r="E173" s="33"/>
      <c r="F173" s="33"/>
      <c r="G173" s="33"/>
      <c r="H173" s="100"/>
      <c r="I173" s="33"/>
      <c r="J173" s="33"/>
      <c r="K173" s="51"/>
      <c r="L173" s="33"/>
      <c r="M173" s="33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x14ac:dyDescent="0.2">
      <c r="A174" s="21"/>
      <c r="B174" s="19"/>
      <c r="C174" s="20">
        <v>2019</v>
      </c>
      <c r="D174" s="32">
        <f t="shared" ref="D174:D176" si="73">SUM(E174:M174)</f>
        <v>58079</v>
      </c>
      <c r="E174" s="33">
        <v>32988</v>
      </c>
      <c r="F174" s="33">
        <v>11090</v>
      </c>
      <c r="G174" s="33">
        <v>2479</v>
      </c>
      <c r="H174" s="100">
        <v>0</v>
      </c>
      <c r="I174" s="33">
        <v>2130</v>
      </c>
      <c r="J174" s="33">
        <v>876</v>
      </c>
      <c r="K174" s="51">
        <v>0</v>
      </c>
      <c r="L174" s="33">
        <v>6528</v>
      </c>
      <c r="M174" s="33">
        <f>1618+370</f>
        <v>1988</v>
      </c>
      <c r="N174" s="21"/>
      <c r="O174" s="21"/>
      <c r="P174" s="21"/>
      <c r="Q174" s="21" t="str">
        <f>$A$165&amp;C174&amp;"ASSETS"</f>
        <v>ED2019ASSETS</v>
      </c>
      <c r="R174" s="61">
        <f>SUM(E174:K174)/D174</f>
        <v>0.85337213106286269</v>
      </c>
      <c r="S174" s="61">
        <f>SUM(E174,I174)/SUM(E174:K174)</f>
        <v>0.70855275104412563</v>
      </c>
      <c r="T174" s="61">
        <f>SUM(F174,J174)/SUM(E174:K174)</f>
        <v>0.2414300990658354</v>
      </c>
      <c r="U174" s="34">
        <f>IF(OR(ISBLANK($R174),ISBLANK(S174)),"NA",$R174*S174)</f>
        <v>0.60465917112897949</v>
      </c>
      <c r="V174" s="34">
        <f>IF(OR(ISBLANK($R174),ISBLANK(T174)),"NA",$R174*T174)</f>
        <v>0.20602971814253002</v>
      </c>
      <c r="W174" s="34"/>
      <c r="X174" s="34"/>
    </row>
    <row r="175" spans="1:24" x14ac:dyDescent="0.2">
      <c r="A175" s="21"/>
      <c r="B175" s="19" t="s">
        <v>84</v>
      </c>
      <c r="C175" s="20">
        <v>2018</v>
      </c>
      <c r="D175" s="32">
        <f t="shared" si="73"/>
        <v>53920</v>
      </c>
      <c r="E175" s="33">
        <v>31012</v>
      </c>
      <c r="F175" s="33">
        <v>9710</v>
      </c>
      <c r="G175" s="33">
        <v>2386</v>
      </c>
      <c r="H175" s="100">
        <v>0</v>
      </c>
      <c r="I175" s="33">
        <v>2036</v>
      </c>
      <c r="J175" s="33">
        <v>856</v>
      </c>
      <c r="K175" s="51">
        <v>0</v>
      </c>
      <c r="L175" s="33">
        <v>5821</v>
      </c>
      <c r="M175" s="33">
        <f>1425+674</f>
        <v>2099</v>
      </c>
      <c r="N175" s="21"/>
      <c r="O175" s="21"/>
      <c r="P175" s="21"/>
      <c r="Q175" s="21" t="str">
        <f t="shared" ref="Q175:Q176" si="74">$A$165&amp;C175&amp;"ASSETS"</f>
        <v>ED2018ASSETS</v>
      </c>
      <c r="R175" s="61">
        <f>SUM(E175:K175)/D175</f>
        <v>0.85311572700296734</v>
      </c>
      <c r="S175" s="61">
        <f>SUM(E175,I175)/SUM(E175:K175)</f>
        <v>0.71843478260869564</v>
      </c>
      <c r="T175" s="61">
        <f>SUM(F175,J175)/SUM(E175:K175)</f>
        <v>0.22969565217391305</v>
      </c>
      <c r="U175" s="34">
        <f>IF(OR(ISBLANK($R175),ISBLANK(S175)),"NA",$R175*S175)</f>
        <v>0.61290801186943622</v>
      </c>
      <c r="V175" s="34">
        <f>IF(OR(ISBLANK($R175),ISBLANK(T175)),"NA",$R175*T175)</f>
        <v>0.19595697329376854</v>
      </c>
      <c r="W175" s="34"/>
      <c r="X175" s="34"/>
    </row>
    <row r="176" spans="1:24" x14ac:dyDescent="0.2">
      <c r="A176" s="21"/>
      <c r="B176" s="21"/>
      <c r="C176" s="20">
        <v>2017</v>
      </c>
      <c r="D176" s="32">
        <f t="shared" si="73"/>
        <v>48111</v>
      </c>
      <c r="E176" s="33">
        <v>29661</v>
      </c>
      <c r="F176" s="33">
        <v>8387</v>
      </c>
      <c r="G176" s="33">
        <v>2403</v>
      </c>
      <c r="H176" s="51">
        <v>0</v>
      </c>
      <c r="I176" s="33">
        <v>1949</v>
      </c>
      <c r="J176" s="33">
        <v>824</v>
      </c>
      <c r="K176" s="51">
        <v>0</v>
      </c>
      <c r="L176" s="33">
        <v>2735</v>
      </c>
      <c r="M176" s="33">
        <f>1222+930</f>
        <v>2152</v>
      </c>
      <c r="N176" s="21"/>
      <c r="O176" s="21"/>
      <c r="P176" s="21"/>
      <c r="Q176" s="21" t="str">
        <f t="shared" si="74"/>
        <v>ED2017ASSETS</v>
      </c>
      <c r="R176" s="61">
        <f>SUM(E176:K176)/D176</f>
        <v>0.89842239820415293</v>
      </c>
      <c r="S176" s="61">
        <f>SUM(E176,I176)/SUM(E176:K176)</f>
        <v>0.73130668147325562</v>
      </c>
      <c r="T176" s="61">
        <f>SUM(F176,J176)/SUM(E176:K176)</f>
        <v>0.21309920414584491</v>
      </c>
      <c r="U176" s="34">
        <f t="shared" ref="U176:V176" si="75">IF(OR(ISBLANK($R176),ISBLANK(S176)),"NA",$R176*S176)</f>
        <v>0.65702230259192285</v>
      </c>
      <c r="V176" s="34">
        <f t="shared" si="75"/>
        <v>0.19145309804410635</v>
      </c>
      <c r="W176" s="34"/>
      <c r="X176" s="34"/>
    </row>
    <row r="179" spans="1:30" x14ac:dyDescent="0.2">
      <c r="A179" s="18" t="s">
        <v>161</v>
      </c>
      <c r="B179" s="19"/>
      <c r="C179" s="20"/>
      <c r="D179" s="21"/>
      <c r="E179" s="33"/>
      <c r="F179" s="33"/>
      <c r="G179" s="33"/>
      <c r="H179" s="33"/>
      <c r="I179" s="33"/>
      <c r="J179" s="22"/>
      <c r="K179" s="22"/>
      <c r="L179" s="22"/>
      <c r="M179" s="22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1:30" x14ac:dyDescent="0.2">
      <c r="A180" s="21" t="s">
        <v>162</v>
      </c>
      <c r="B180" s="19"/>
      <c r="C180" s="20"/>
      <c r="D180" s="21"/>
      <c r="E180" s="33"/>
      <c r="F180" s="33"/>
      <c r="G180" s="33"/>
      <c r="H180" s="33"/>
      <c r="I180" s="33"/>
      <c r="J180" s="22"/>
      <c r="K180" s="22"/>
      <c r="L180" s="22"/>
      <c r="M180" s="22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1:30" ht="63.75" x14ac:dyDescent="0.2">
      <c r="A181" s="18" t="s">
        <v>163</v>
      </c>
      <c r="B181" s="19"/>
      <c r="C181" s="20"/>
      <c r="D181" s="20"/>
      <c r="E181" s="44" t="s">
        <v>164</v>
      </c>
      <c r="F181" s="44" t="s">
        <v>165</v>
      </c>
      <c r="G181" s="44" t="s">
        <v>166</v>
      </c>
      <c r="H181" s="44" t="s">
        <v>167</v>
      </c>
      <c r="I181" s="44" t="s">
        <v>168</v>
      </c>
      <c r="J181" s="52" t="s">
        <v>90</v>
      </c>
      <c r="K181" s="52" t="s">
        <v>169</v>
      </c>
      <c r="L181" s="52" t="s">
        <v>170</v>
      </c>
      <c r="M181" s="52" t="s">
        <v>134</v>
      </c>
      <c r="N181" s="31" t="s">
        <v>171</v>
      </c>
      <c r="O181" s="21"/>
      <c r="P181" s="21"/>
      <c r="Q181" s="29"/>
      <c r="R181" s="30" t="s">
        <v>77</v>
      </c>
      <c r="S181" s="30" t="s">
        <v>78</v>
      </c>
      <c r="T181" s="30" t="s">
        <v>79</v>
      </c>
      <c r="U181" s="30" t="s">
        <v>80</v>
      </c>
      <c r="V181" s="30" t="s">
        <v>81</v>
      </c>
      <c r="W181" s="31"/>
      <c r="X181" s="31"/>
      <c r="Y181" s="21"/>
      <c r="Z181" s="29"/>
      <c r="AA181" s="29"/>
      <c r="AB181" s="101"/>
      <c r="AC181" s="101" t="s">
        <v>172</v>
      </c>
      <c r="AD181" s="21"/>
    </row>
    <row r="182" spans="1:30" ht="14.25" customHeight="1" x14ac:dyDescent="0.2">
      <c r="A182" s="18"/>
      <c r="B182" s="19"/>
      <c r="C182" s="20">
        <v>2019</v>
      </c>
      <c r="D182" s="32">
        <f>SUM(E182:K182)</f>
        <v>16572</v>
      </c>
      <c r="E182" s="102">
        <v>8157</v>
      </c>
      <c r="F182" s="102">
        <v>3321</v>
      </c>
      <c r="G182" s="102">
        <v>2385</v>
      </c>
      <c r="H182" s="102">
        <v>2952</v>
      </c>
      <c r="I182" s="102">
        <v>1150</v>
      </c>
      <c r="J182" s="82">
        <v>77</v>
      </c>
      <c r="K182" s="82">
        <v>-1470</v>
      </c>
      <c r="L182" s="22"/>
      <c r="M182" s="22"/>
      <c r="N182" s="21"/>
      <c r="O182" s="21"/>
      <c r="P182" s="21"/>
      <c r="Q182" s="21" t="str">
        <f>$A$181&amp;C182&amp;"REV"</f>
        <v>D2019REV</v>
      </c>
      <c r="R182" s="103">
        <f>IF(SUM(E182,F182,G182,H182,I182*($AC182/$AC184))/D182&gt;100%,100%,SUM(E182,F182,G182,H182,I182*($AC182/$AC184))/D182)</f>
        <v>1</v>
      </c>
      <c r="S182" s="103">
        <f>SUM(E182,H182,I182*($AC182/$AC184))/SUM(E182,F182,G182,H182,I182*($AC182/$AC184))</f>
        <v>0.67854790829944867</v>
      </c>
      <c r="T182" s="103">
        <f>G182/SUM(E182,F182,G182,H182,I182*($AC182/$AC184))</f>
        <v>0.13436089006411056</v>
      </c>
      <c r="U182" s="63">
        <f>IF(OR(ISBLANK($R182),ISBLANK(S182)),"NA",$R182*S182)</f>
        <v>0.67854790829944867</v>
      </c>
      <c r="V182" s="63">
        <f>IF(OR(ISBLANK($R182),ISBLANK(T182)),"NA",$R182*T182)</f>
        <v>0.13436089006411056</v>
      </c>
      <c r="W182" s="63"/>
      <c r="X182" s="63"/>
      <c r="Y182" s="21"/>
      <c r="Z182" s="21" t="s">
        <v>173</v>
      </c>
      <c r="AA182" s="21"/>
      <c r="AB182" s="32"/>
      <c r="AC182" s="57">
        <v>88.2</v>
      </c>
      <c r="AD182" s="21" t="s">
        <v>174</v>
      </c>
    </row>
    <row r="183" spans="1:30" x14ac:dyDescent="0.2">
      <c r="A183" s="21"/>
      <c r="B183" s="19" t="s">
        <v>82</v>
      </c>
      <c r="C183" s="20">
        <v>2018</v>
      </c>
      <c r="D183" s="32">
        <f t="shared" ref="D183:D184" si="76">SUM(E183:K183)</f>
        <v>13366</v>
      </c>
      <c r="E183" s="54">
        <v>8401</v>
      </c>
      <c r="F183" s="104">
        <v>1867</v>
      </c>
      <c r="G183" s="104">
        <v>1769</v>
      </c>
      <c r="H183" s="104">
        <v>0</v>
      </c>
      <c r="I183" s="104">
        <v>1487</v>
      </c>
      <c r="J183" s="55">
        <v>-249</v>
      </c>
      <c r="K183" s="105">
        <v>91</v>
      </c>
      <c r="L183" s="28"/>
      <c r="M183" s="22"/>
      <c r="N183" s="21"/>
      <c r="O183" s="21"/>
      <c r="P183" s="21"/>
      <c r="Q183" s="21" t="str">
        <f t="shared" ref="Q183:Q184" si="77">$A$181&amp;C183&amp;"REV"</f>
        <v>D2018REV</v>
      </c>
      <c r="R183" s="103">
        <f>IF(SUM(E183,F183,G183,H183,I183*($AC$186/$AC$188))/D183&gt;100%,100%,SUM(E183,F183,G183,H183,I183*($AC$186/$AC$188))/D183)</f>
        <v>0.98438893204798927</v>
      </c>
      <c r="S183" s="103">
        <f>SUM(E183,H183,I183*($AC$186/$AC$188))/SUM(E183,F183,G183,H183,I183*($AC$186/$AC$188))</f>
        <v>0.72365240097200789</v>
      </c>
      <c r="T183" s="103">
        <f>G183/SUM(E183,F183,G183,H183,I183*($AC$186/$AC$188))</f>
        <v>0.13444964320146258</v>
      </c>
      <c r="U183" s="63">
        <f t="shared" ref="U183:V184" si="78">IF(OR(ISBLANK($R183),ISBLANK(S183)),"NA",$R183*S183)</f>
        <v>0.71235541416679815</v>
      </c>
      <c r="V183" s="63">
        <f t="shared" si="78"/>
        <v>0.13235074068532093</v>
      </c>
      <c r="W183" s="63"/>
      <c r="X183" s="63"/>
      <c r="Y183" s="21"/>
      <c r="Z183" s="21" t="s">
        <v>175</v>
      </c>
      <c r="AA183" s="21"/>
      <c r="AB183" s="106"/>
      <c r="AC183" s="107">
        <v>20.2</v>
      </c>
      <c r="AD183" s="21"/>
    </row>
    <row r="184" spans="1:30" x14ac:dyDescent="0.2">
      <c r="A184" s="21"/>
      <c r="B184" s="19"/>
      <c r="C184" s="20">
        <v>2017</v>
      </c>
      <c r="D184" s="32">
        <f t="shared" si="76"/>
        <v>12586</v>
      </c>
      <c r="E184" s="54">
        <v>8254</v>
      </c>
      <c r="F184" s="104">
        <v>1054</v>
      </c>
      <c r="G184" s="104">
        <v>1778</v>
      </c>
      <c r="H184" s="104">
        <v>0</v>
      </c>
      <c r="I184" s="104">
        <v>1345</v>
      </c>
      <c r="J184" s="55">
        <v>-27</v>
      </c>
      <c r="K184" s="27">
        <v>182</v>
      </c>
      <c r="L184" s="22"/>
      <c r="M184" s="22"/>
      <c r="N184" s="21"/>
      <c r="O184" s="21"/>
      <c r="P184" s="21"/>
      <c r="Q184" s="21" t="str">
        <f t="shared" si="77"/>
        <v>D2017REV</v>
      </c>
      <c r="R184" s="103">
        <f>IF(SUM(E184,F184,G184,H184,I184*($AC$190/$AC$192))/D184&gt;100%,100%,SUM(E184,F184,G184,H184,I184*($AC$190/$AC$192))/D184)</f>
        <v>0.96056978732588449</v>
      </c>
      <c r="S184" s="103">
        <f>SUM(E184,H184,I184*($AC$190/$AC$192))/SUM(E184,F184,G184,H184,I184*($AC$190/$AC$192))</f>
        <v>0.76575161849454076</v>
      </c>
      <c r="T184" s="103">
        <f>G184/SUM(E184,F184,G184,H184,I184*($AC$190/$AC$192))</f>
        <v>0.14706695703273531</v>
      </c>
      <c r="U184" s="63">
        <f t="shared" si="78"/>
        <v>0.73555786932175282</v>
      </c>
      <c r="V184" s="63">
        <f t="shared" si="78"/>
        <v>0.14126807563959956</v>
      </c>
      <c r="W184" s="63"/>
      <c r="X184" s="63"/>
      <c r="Y184" s="21"/>
      <c r="Z184" s="21"/>
      <c r="AA184" s="21"/>
      <c r="AB184" s="32"/>
      <c r="AC184" s="57">
        <f>SUM(AC182:AC183)</f>
        <v>108.4</v>
      </c>
      <c r="AD184" s="21"/>
    </row>
    <row r="185" spans="1:30" x14ac:dyDescent="0.2">
      <c r="A185" s="21"/>
      <c r="B185" s="19"/>
      <c r="C185" s="20"/>
      <c r="D185" s="32"/>
      <c r="J185" s="55"/>
      <c r="L185" s="22"/>
      <c r="M185" s="22"/>
      <c r="N185" s="21"/>
      <c r="O185" s="21"/>
      <c r="P185" s="21"/>
      <c r="Q185" s="21"/>
      <c r="Y185" s="21"/>
      <c r="Z185" s="21"/>
      <c r="AA185" s="21"/>
      <c r="AB185" s="21"/>
      <c r="AC185" s="21"/>
      <c r="AD185" s="21"/>
    </row>
    <row r="186" spans="1:30" x14ac:dyDescent="0.2">
      <c r="A186" s="21"/>
      <c r="B186" s="19"/>
      <c r="C186" s="20">
        <v>2019</v>
      </c>
      <c r="D186" s="32">
        <f>SUM(E186:K186)</f>
        <v>3213</v>
      </c>
      <c r="E186" s="27">
        <f>1786+482+530-11</f>
        <v>2787</v>
      </c>
      <c r="F186" s="27">
        <f>934+262+405-211-161</f>
        <v>1229</v>
      </c>
      <c r="G186" s="27">
        <f>488+114+116-4-2</f>
        <v>712</v>
      </c>
      <c r="H186" s="27">
        <f>430+163+242-9+4</f>
        <v>830</v>
      </c>
      <c r="I186" s="54">
        <f>276+20+98-92+1</f>
        <v>303</v>
      </c>
      <c r="J186" s="55">
        <f>+-2556-690+768-160-10</f>
        <v>-2648</v>
      </c>
      <c r="K186" s="27">
        <v>0</v>
      </c>
      <c r="L186" s="22"/>
      <c r="M186" s="22"/>
      <c r="N186" s="21"/>
      <c r="O186" s="21"/>
      <c r="P186" s="21"/>
      <c r="Q186" s="21" t="str">
        <f>$A$181&amp;C186&amp;"INC"</f>
        <v>D2019INC</v>
      </c>
      <c r="R186" s="103">
        <f>IF(SUM(E186,F186,G186,H186,I186*($AC$182/$AC$184))/D186&gt;100%,100%,SUM(E186,F186,G186,H186,I186*($AC$182/$AC$184))/D186)</f>
        <v>1</v>
      </c>
      <c r="S186" s="103">
        <f>SUM(E186,H186,I186*($AC$182/$AC$184))/SUM(E186,F186,G186,H186,I186*($AC$182/$AC$184))</f>
        <v>0.6656063983542585</v>
      </c>
      <c r="T186" s="103">
        <f>G186/SUM(E186,F186,G186,H186,I186*($AC$182/$AC$184))</f>
        <v>0.12266267097978772</v>
      </c>
      <c r="U186" s="63">
        <f>IF(OR(ISBLANK($R186),ISBLANK(S186)),"NA",$R186*S186)</f>
        <v>0.6656063983542585</v>
      </c>
      <c r="V186" s="63">
        <f>IF(OR(ISBLANK($R186),ISBLANK(T186)),"NA",$R186*T186)</f>
        <v>0.12266267097978772</v>
      </c>
      <c r="W186" s="63"/>
      <c r="X186" s="63"/>
      <c r="Y186" s="21"/>
      <c r="Z186" s="21" t="s">
        <v>173</v>
      </c>
      <c r="AA186" s="21"/>
      <c r="AB186" s="32">
        <v>22442</v>
      </c>
      <c r="AC186" s="57">
        <v>88</v>
      </c>
      <c r="AD186" s="21" t="s">
        <v>176</v>
      </c>
    </row>
    <row r="187" spans="1:30" x14ac:dyDescent="0.2">
      <c r="A187" s="21"/>
      <c r="B187" s="19" t="s">
        <v>83</v>
      </c>
      <c r="C187" s="20">
        <v>2018</v>
      </c>
      <c r="D187" s="32">
        <f t="shared" ref="D187:D188" si="79">SUM(E187:K187)</f>
        <v>4241</v>
      </c>
      <c r="E187" s="27">
        <f>1596+380+516-10</f>
        <v>2482</v>
      </c>
      <c r="F187" s="27">
        <f>844+236+262-143-178</f>
        <v>1021</v>
      </c>
      <c r="G187" s="27">
        <f>373+95+79</f>
        <v>547</v>
      </c>
      <c r="H187" s="27">
        <v>0</v>
      </c>
      <c r="I187" s="54">
        <f>245+75+124-80-18</f>
        <v>346</v>
      </c>
      <c r="J187" s="55">
        <f>+-611-206+784-122-1</f>
        <v>-156</v>
      </c>
      <c r="K187" s="27">
        <v>1</v>
      </c>
      <c r="L187" s="22"/>
      <c r="M187" s="22"/>
      <c r="N187" s="21"/>
      <c r="O187" s="21"/>
      <c r="P187" s="21"/>
      <c r="Q187" s="21" t="str">
        <f t="shared" ref="Q187:Q188" si="80">$A$181&amp;C187&amp;"INC"</f>
        <v>D2018INC</v>
      </c>
      <c r="R187" s="103">
        <f>IF(SUM(E187,F187,G187,H187,I187*($AC$186/$AC$188))/D187&gt;100%,100%,SUM(E187,F187,G187,H187,I187*($AC$186/$AC$188))/D187)</f>
        <v>1</v>
      </c>
      <c r="S187" s="103">
        <f>SUM(E187,H187,I187*($AC$186/$AC$188))/SUM(E187,F187,G187,H187,I187*($AC$186/$AC$188))</f>
        <v>0.6362527011567306</v>
      </c>
      <c r="T187" s="103">
        <f>G187/SUM(E187,F187,G187,H187,I187*($AC$186/$AC$188))</f>
        <v>0.12689398754290071</v>
      </c>
      <c r="U187" s="63">
        <f t="shared" ref="U187:V188" si="81">IF(OR(ISBLANK($R187),ISBLANK(S187)),"NA",$R187*S187)</f>
        <v>0.6362527011567306</v>
      </c>
      <c r="V187" s="63">
        <f t="shared" si="81"/>
        <v>0.12689398754290071</v>
      </c>
      <c r="W187" s="63"/>
      <c r="X187" s="63"/>
      <c r="Y187" s="21"/>
      <c r="Z187" s="21" t="s">
        <v>175</v>
      </c>
      <c r="AA187" s="21"/>
      <c r="AB187" s="106">
        <v>3420</v>
      </c>
      <c r="AC187" s="107">
        <v>28.8</v>
      </c>
      <c r="AD187" s="21"/>
    </row>
    <row r="188" spans="1:30" x14ac:dyDescent="0.2">
      <c r="A188" s="21"/>
      <c r="B188" s="19"/>
      <c r="C188" s="20">
        <v>2017</v>
      </c>
      <c r="D188" s="32">
        <f t="shared" si="79"/>
        <v>4110</v>
      </c>
      <c r="E188" s="27">
        <f>1466+865+497-19</f>
        <v>2809</v>
      </c>
      <c r="F188" s="27">
        <f>552+291+100-114-158</f>
        <v>671</v>
      </c>
      <c r="G188" s="27">
        <f>351+195+72</f>
        <v>618</v>
      </c>
      <c r="H188" s="27">
        <v>0</v>
      </c>
      <c r="I188" s="27">
        <f>253-160+110-77+171</f>
        <v>297</v>
      </c>
      <c r="J188" s="55">
        <f>377-1221+648-94+5</f>
        <v>-285</v>
      </c>
      <c r="K188" s="27">
        <v>0</v>
      </c>
      <c r="L188" s="22"/>
      <c r="M188" s="22"/>
      <c r="N188" s="21"/>
      <c r="O188" s="21"/>
      <c r="P188" s="21"/>
      <c r="Q188" s="21" t="str">
        <f t="shared" si="80"/>
        <v>D2017INC</v>
      </c>
      <c r="R188" s="103">
        <f>IF(SUM(E188,F188,G188,H188,I188*($AC$190/$AC$192))/D188&gt;100%,100%,SUM(E188,F188,G188,H188,I188*($AC$190/$AC$192))/D188)</f>
        <v>1</v>
      </c>
      <c r="S188" s="103">
        <f>SUM(E188,H188,I188*($AC$190/$AC$192))/SUM(E188,F188,G188,H188,I188*($AC$190/$AC$192))</f>
        <v>0.7015956270558642</v>
      </c>
      <c r="T188" s="103">
        <f>G188/SUM(E188,F188,G188,H188,I188*($AC$190/$AC$192))</f>
        <v>0.14306741852558255</v>
      </c>
      <c r="U188" s="63">
        <f t="shared" si="81"/>
        <v>0.7015956270558642</v>
      </c>
      <c r="V188" s="63">
        <f t="shared" si="81"/>
        <v>0.14306741852558255</v>
      </c>
      <c r="W188" s="63"/>
      <c r="X188" s="63"/>
      <c r="Y188" s="21"/>
      <c r="Z188" s="21"/>
      <c r="AA188" s="21"/>
      <c r="AB188" s="32">
        <f>SUM(AB186:AB187)</f>
        <v>25862</v>
      </c>
      <c r="AC188" s="57">
        <f>SUM(AC186:AC187)</f>
        <v>116.8</v>
      </c>
      <c r="AD188" s="21"/>
    </row>
    <row r="189" spans="1:30" x14ac:dyDescent="0.2">
      <c r="A189" s="21"/>
      <c r="B189" s="19"/>
      <c r="C189" s="20"/>
      <c r="D189" s="32"/>
      <c r="J189" s="55"/>
      <c r="L189" s="22"/>
      <c r="M189" s="22"/>
      <c r="N189" s="21"/>
      <c r="O189" s="21"/>
      <c r="P189" s="21"/>
      <c r="Q189" s="21"/>
      <c r="Y189" s="21"/>
      <c r="Z189" s="21"/>
      <c r="AA189" s="21"/>
      <c r="AB189" s="21"/>
      <c r="AC189" s="21"/>
      <c r="AD189" s="21"/>
    </row>
    <row r="190" spans="1:30" x14ac:dyDescent="0.2">
      <c r="A190" s="21"/>
      <c r="B190" s="19"/>
      <c r="C190" s="20">
        <v>2019</v>
      </c>
      <c r="D190" s="32">
        <f>SUM(E190:K190)</f>
        <v>103800</v>
      </c>
      <c r="E190" s="27">
        <v>43700</v>
      </c>
      <c r="F190" s="27">
        <v>20900</v>
      </c>
      <c r="G190" s="27">
        <v>16000</v>
      </c>
      <c r="H190" s="27">
        <v>15800</v>
      </c>
      <c r="I190" s="27">
        <v>10200</v>
      </c>
      <c r="J190" s="55">
        <v>6900</v>
      </c>
      <c r="K190" s="27">
        <v>-9700</v>
      </c>
      <c r="L190" s="22"/>
      <c r="M190" s="22"/>
      <c r="N190" s="21"/>
      <c r="O190" s="21"/>
      <c r="P190" s="21"/>
      <c r="Q190" s="21" t="str">
        <f>$A$181&amp;C190&amp;"ASSETS"</f>
        <v>D2019ASSETS</v>
      </c>
      <c r="R190" s="103">
        <f>IF(SUM(E190,F190,G190,H190,I190*($AC$182/$AC$184))/D190&gt;100%,100%,SUM(E190,F190,G190,H190,I190*($AC$182/$AC$184))/D190)</f>
        <v>1</v>
      </c>
      <c r="S190" s="103">
        <f>SUM(E190,H190,I190*($AC$182/$AC$184))/SUM(E190,F190,G190,H190,I190*($AC$182/$AC$184))</f>
        <v>0.64756198565562939</v>
      </c>
      <c r="T190" s="103">
        <f>G190/SUM(E190,F190,G190,H190,I190*($AC$182/$AC$184))</f>
        <v>0.15281865120623117</v>
      </c>
      <c r="U190" s="63">
        <f>IF(OR(ISBLANK($R190),ISBLANK(S190)),"NA",$R190*S190)</f>
        <v>0.64756198565562939</v>
      </c>
      <c r="V190" s="63">
        <f>IF(OR(ISBLANK($R190),ISBLANK(T190)),"NA",$R190*T190)</f>
        <v>0.15281865120623117</v>
      </c>
      <c r="W190" s="63"/>
      <c r="X190" s="63"/>
      <c r="Y190" s="21"/>
      <c r="Z190" s="21" t="s">
        <v>173</v>
      </c>
      <c r="AA190" s="21"/>
      <c r="AB190" s="32">
        <v>20779</v>
      </c>
      <c r="AC190" s="57">
        <v>85</v>
      </c>
      <c r="AD190" s="21" t="s">
        <v>177</v>
      </c>
    </row>
    <row r="191" spans="1:30" x14ac:dyDescent="0.2">
      <c r="A191" s="21"/>
      <c r="B191" s="19" t="s">
        <v>84</v>
      </c>
      <c r="C191" s="20">
        <v>2018</v>
      </c>
      <c r="D191" s="32">
        <f t="shared" ref="D191" si="82">SUM(E191:K191)</f>
        <v>77900</v>
      </c>
      <c r="E191" s="27">
        <v>39100</v>
      </c>
      <c r="F191" s="27">
        <v>22600</v>
      </c>
      <c r="G191" s="27">
        <v>11800</v>
      </c>
      <c r="H191" s="27">
        <v>0</v>
      </c>
      <c r="I191" s="27">
        <v>9000</v>
      </c>
      <c r="J191" s="27">
        <v>8300</v>
      </c>
      <c r="K191" s="55">
        <v>-12900</v>
      </c>
      <c r="L191" s="22"/>
      <c r="M191" s="22"/>
      <c r="N191" s="21"/>
      <c r="O191" s="21"/>
      <c r="P191" s="21"/>
      <c r="Q191" s="21" t="str">
        <f t="shared" ref="Q191:Q192" si="83">$A$181&amp;C191&amp;"ASSETS"</f>
        <v>D2018ASSETS</v>
      </c>
      <c r="R191" s="103">
        <f>IF(SUM(E191,F191,G191,H191,I191*($AC$186/$AC$188))/D191&gt;100%,100%,SUM(E191,F191,G191,H191,I191*($AC$186/$AC$188))/D191)</f>
        <v>1</v>
      </c>
      <c r="S191" s="103">
        <f>SUM(E191,H191,I191*($AC$186/$AC$188))/SUM(E191,F191,G191,H191,I191*($AC$186/$AC$188))</f>
        <v>0.57150413787219523</v>
      </c>
      <c r="T191" s="103">
        <f>G191/SUM(E191,F191,G191,H191,I191*($AC$186/$AC$188))</f>
        <v>0.14698404572988652</v>
      </c>
      <c r="U191" s="63">
        <f t="shared" ref="U191:V192" si="84">IF(OR(ISBLANK($R191),ISBLANK(S191)),"NA",$R191*S191)</f>
        <v>0.57150413787219523</v>
      </c>
      <c r="V191" s="63">
        <f t="shared" si="84"/>
        <v>0.14698404572988652</v>
      </c>
      <c r="W191" s="63"/>
      <c r="X191" s="63"/>
      <c r="Y191" s="21"/>
      <c r="Z191" s="21" t="s">
        <v>175</v>
      </c>
      <c r="AA191" s="21"/>
      <c r="AB191" s="106">
        <v>5118</v>
      </c>
      <c r="AC191" s="107">
        <v>28.9</v>
      </c>
      <c r="AD191" s="21"/>
    </row>
    <row r="192" spans="1:30" x14ac:dyDescent="0.2">
      <c r="A192" s="21"/>
      <c r="B192" s="21"/>
      <c r="C192" s="20">
        <v>2017</v>
      </c>
      <c r="D192" s="32">
        <f>SUM(E192:N192)</f>
        <v>76600</v>
      </c>
      <c r="J192" s="55">
        <v>12000</v>
      </c>
      <c r="K192" s="27">
        <v>-9100</v>
      </c>
      <c r="L192" s="22">
        <v>16700</v>
      </c>
      <c r="M192" s="22">
        <v>29000</v>
      </c>
      <c r="N192" s="22">
        <v>28000</v>
      </c>
      <c r="O192" s="21"/>
      <c r="P192" s="21"/>
      <c r="Q192" s="21" t="str">
        <f t="shared" si="83"/>
        <v>D2017ASSETS</v>
      </c>
      <c r="R192" s="103">
        <f>SUM(L192,N192,M192*($AC$190/$AC$192))/D192</f>
        <v>0.86608082303885281</v>
      </c>
      <c r="S192" s="103">
        <f>SUM(L192,M192*($AC$190/$AC$192))/SUM(L192,N192,M192*($AC$190/$AC$192))</f>
        <v>0.5779432608157663</v>
      </c>
      <c r="T192" s="108">
        <f>N192/SUM(L192,N192,M192*($AC$190/$AC$192))</f>
        <v>0.42205673918423359</v>
      </c>
      <c r="U192" s="63">
        <f t="shared" si="84"/>
        <v>0.5005455749970773</v>
      </c>
      <c r="V192" s="63">
        <f t="shared" si="84"/>
        <v>0.36553524804177545</v>
      </c>
      <c r="W192" s="63"/>
      <c r="X192" s="63"/>
      <c r="Y192" s="21"/>
      <c r="Z192" s="21"/>
      <c r="AA192" s="21"/>
      <c r="AB192" s="32">
        <f>SUM(AB190:AB191)</f>
        <v>25897</v>
      </c>
      <c r="AC192" s="57">
        <f>SUM(AC190:AC191)</f>
        <v>113.9</v>
      </c>
      <c r="AD192" s="21"/>
    </row>
    <row r="193" spans="1:25" x14ac:dyDescent="0.2">
      <c r="A193" s="21"/>
      <c r="B193" s="19"/>
      <c r="C193" s="20"/>
      <c r="D193" s="32"/>
      <c r="E193" s="28"/>
      <c r="F193" s="28"/>
      <c r="G193" s="28"/>
      <c r="H193" s="28"/>
      <c r="I193" s="28"/>
      <c r="J193" s="22"/>
      <c r="K193" s="22"/>
      <c r="L193" s="22"/>
      <c r="M193" s="22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6" spans="1:25" x14ac:dyDescent="0.2">
      <c r="A196" s="18" t="s">
        <v>178</v>
      </c>
      <c r="B196" s="19"/>
      <c r="C196" s="20"/>
      <c r="D196" s="21"/>
      <c r="E196" s="33"/>
      <c r="F196" s="33"/>
      <c r="G196" s="33"/>
      <c r="H196" s="33"/>
      <c r="I196" s="33"/>
      <c r="J196" s="33"/>
      <c r="K196" s="33"/>
      <c r="L196" s="22"/>
      <c r="M196" s="22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5" x14ac:dyDescent="0.2">
      <c r="A197" s="21" t="s">
        <v>179</v>
      </c>
      <c r="B197" s="19"/>
      <c r="C197" s="20"/>
      <c r="D197" s="21"/>
      <c r="E197" s="33"/>
      <c r="F197" s="33"/>
      <c r="G197" s="33" t="s">
        <v>180</v>
      </c>
      <c r="H197" s="33"/>
      <c r="I197" s="33"/>
      <c r="J197" s="33"/>
      <c r="K197" s="33"/>
      <c r="L197" s="22"/>
      <c r="M197" s="22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5" ht="63.75" x14ac:dyDescent="0.2">
      <c r="A198" s="18" t="s">
        <v>181</v>
      </c>
      <c r="B198" s="19"/>
      <c r="C198" s="20"/>
      <c r="D198" s="20" t="s">
        <v>75</v>
      </c>
      <c r="E198" s="35" t="s">
        <v>156</v>
      </c>
      <c r="F198" s="35" t="s">
        <v>157</v>
      </c>
      <c r="G198" s="35" t="s">
        <v>182</v>
      </c>
      <c r="H198" s="35" t="s">
        <v>183</v>
      </c>
      <c r="I198" s="35" t="s">
        <v>184</v>
      </c>
      <c r="J198" s="35" t="s">
        <v>185</v>
      </c>
      <c r="K198" s="35" t="s">
        <v>186</v>
      </c>
      <c r="L198" s="109"/>
      <c r="M198" s="22"/>
      <c r="N198" s="21"/>
      <c r="O198" s="21"/>
      <c r="P198" s="21"/>
      <c r="Q198" s="29"/>
      <c r="R198" s="30" t="s">
        <v>77</v>
      </c>
      <c r="S198" s="30" t="s">
        <v>78</v>
      </c>
      <c r="T198" s="30" t="s">
        <v>79</v>
      </c>
      <c r="U198" s="30" t="s">
        <v>80</v>
      </c>
      <c r="V198" s="30" t="s">
        <v>81</v>
      </c>
      <c r="W198" s="31"/>
      <c r="X198" s="31"/>
    </row>
    <row r="199" spans="1:25" x14ac:dyDescent="0.2">
      <c r="A199" s="18"/>
      <c r="B199" s="19"/>
      <c r="C199" s="20">
        <v>2019</v>
      </c>
      <c r="D199" s="32">
        <f>SUM(E199:K199)</f>
        <v>12669</v>
      </c>
      <c r="E199" s="72">
        <v>5229</v>
      </c>
      <c r="F199" s="72">
        <v>1482</v>
      </c>
      <c r="G199" s="35">
        <v>501</v>
      </c>
      <c r="H199" s="35">
        <v>1560</v>
      </c>
      <c r="I199" s="35">
        <v>4610</v>
      </c>
      <c r="J199" s="35">
        <v>2</v>
      </c>
      <c r="K199" s="72">
        <f>-647-68</f>
        <v>-715</v>
      </c>
      <c r="L199" s="109"/>
      <c r="M199" s="22"/>
      <c r="N199" s="21"/>
      <c r="O199" s="21"/>
      <c r="P199" s="21"/>
      <c r="Q199" s="21" t="str">
        <f>$A$198&amp;C199&amp;"REV"</f>
        <v>DTE2019REV</v>
      </c>
      <c r="R199" s="66">
        <f>SUM(E199:F199)/D199</f>
        <v>0.5297182098034573</v>
      </c>
      <c r="S199" s="66">
        <f>E199/SUM(E199:F199)</f>
        <v>0.77916852928028613</v>
      </c>
      <c r="T199" s="66">
        <f>F199/(E199+F199)</f>
        <v>0.2208314707197139</v>
      </c>
      <c r="U199" s="34">
        <f>IF(OR(ISBLANK($R199),ISBLANK(S199)),"NA",$R199*S199)</f>
        <v>0.41273975846554589</v>
      </c>
      <c r="V199" s="34">
        <f>IF(OR(ISBLANK($R199),ISBLANK(T199)),"NA",$R199*T199)</f>
        <v>0.11697845133791145</v>
      </c>
      <c r="W199" s="34"/>
      <c r="X199" s="34"/>
    </row>
    <row r="200" spans="1:25" x14ac:dyDescent="0.2">
      <c r="A200" s="21"/>
      <c r="B200" s="19" t="s">
        <v>82</v>
      </c>
      <c r="C200" s="20">
        <v>2018</v>
      </c>
      <c r="D200" s="32">
        <f>SUM(E200:K200)</f>
        <v>14212</v>
      </c>
      <c r="E200" s="51">
        <v>5298</v>
      </c>
      <c r="F200" s="51">
        <v>1436</v>
      </c>
      <c r="G200" s="35">
        <v>485</v>
      </c>
      <c r="H200" s="35">
        <v>2204</v>
      </c>
      <c r="I200" s="51">
        <v>5557</v>
      </c>
      <c r="J200" s="35">
        <v>3</v>
      </c>
      <c r="K200" s="35">
        <f>-707-64</f>
        <v>-771</v>
      </c>
      <c r="L200" s="28"/>
      <c r="M200" s="22"/>
      <c r="N200" s="21"/>
      <c r="O200" s="21"/>
      <c r="P200" s="21"/>
      <c r="Q200" s="21" t="str">
        <f t="shared" ref="Q200:Q201" si="85">$A$198&amp;C200&amp;"REV"</f>
        <v>DTE2018REV</v>
      </c>
      <c r="R200" s="66">
        <f>SUM(E200:F200)/D200</f>
        <v>0.47382493667323389</v>
      </c>
      <c r="S200" s="66">
        <f>E200/SUM(E200:F200)</f>
        <v>0.78675378675378671</v>
      </c>
      <c r="T200" s="66">
        <f>F200/(E200+F200)</f>
        <v>0.21324621324621323</v>
      </c>
      <c r="U200" s="34">
        <f>IF(OR(ISBLANK($R200),ISBLANK(S200)),"NA",$R200*S200)</f>
        <v>0.37278356318603995</v>
      </c>
      <c r="V200" s="34">
        <f>IF(OR(ISBLANK($R200),ISBLANK(T200)),"NA",$R200*T200)</f>
        <v>0.10104137348719391</v>
      </c>
      <c r="W200" s="34"/>
      <c r="X200" s="34"/>
    </row>
    <row r="201" spans="1:25" x14ac:dyDescent="0.2">
      <c r="A201" s="21"/>
      <c r="B201" s="19"/>
      <c r="C201" s="20">
        <v>2017</v>
      </c>
      <c r="D201" s="32">
        <f>SUM(E201:K201)</f>
        <v>12607</v>
      </c>
      <c r="E201" s="33">
        <v>5102</v>
      </c>
      <c r="F201" s="33">
        <v>1388</v>
      </c>
      <c r="G201" s="33">
        <v>453</v>
      </c>
      <c r="H201" s="33">
        <v>2089</v>
      </c>
      <c r="I201" s="33">
        <v>4277</v>
      </c>
      <c r="J201" s="33">
        <v>2</v>
      </c>
      <c r="K201" s="33">
        <f>-56-648</f>
        <v>-704</v>
      </c>
      <c r="L201" s="22"/>
      <c r="M201" s="22"/>
      <c r="N201" s="21"/>
      <c r="O201" s="21"/>
      <c r="P201" s="21"/>
      <c r="Q201" s="21" t="str">
        <f t="shared" si="85"/>
        <v>DTE2017REV</v>
      </c>
      <c r="R201" s="66">
        <f>SUM(E201:F201)/D201</f>
        <v>0.51479336876338544</v>
      </c>
      <c r="S201" s="66">
        <f t="shared" ref="S201" si="86">E201/SUM(E201:F201)</f>
        <v>0.78613251155624042</v>
      </c>
      <c r="T201" s="66">
        <f t="shared" ref="T201:T209" si="87">F201/(E201+F201)</f>
        <v>0.21386748844375963</v>
      </c>
      <c r="U201" s="34">
        <f t="shared" ref="U201:V201" si="88">IF(OR(ISBLANK($R201),ISBLANK(S201)),"NA",$R201*S201)</f>
        <v>0.40469580391845805</v>
      </c>
      <c r="V201" s="34">
        <f t="shared" si="88"/>
        <v>0.11009756484492743</v>
      </c>
      <c r="W201" s="63"/>
      <c r="X201" s="34"/>
    </row>
    <row r="202" spans="1:25" x14ac:dyDescent="0.2">
      <c r="A202" s="21"/>
      <c r="B202" s="19"/>
      <c r="C202" s="20"/>
      <c r="D202" s="21"/>
      <c r="E202" s="33"/>
      <c r="F202" s="33"/>
      <c r="G202" s="33"/>
      <c r="H202" s="33"/>
      <c r="I202" s="33"/>
      <c r="J202" s="33"/>
      <c r="K202" s="33"/>
      <c r="L202" s="22"/>
      <c r="M202" s="22"/>
      <c r="N202" s="21"/>
      <c r="O202" s="21"/>
      <c r="P202" s="21"/>
      <c r="Q202" s="21"/>
      <c r="R202" s="21"/>
      <c r="S202" s="21"/>
      <c r="T202" s="21"/>
      <c r="U202" s="21"/>
      <c r="V202" s="21"/>
      <c r="X202" s="21"/>
    </row>
    <row r="203" spans="1:25" x14ac:dyDescent="0.2">
      <c r="A203" s="21"/>
      <c r="B203" s="19"/>
      <c r="C203" s="20">
        <v>2019</v>
      </c>
      <c r="D203" s="32">
        <f>SUM(E203:K203)</f>
        <v>1707</v>
      </c>
      <c r="E203" s="33">
        <v>1135</v>
      </c>
      <c r="F203" s="33">
        <v>316</v>
      </c>
      <c r="G203" s="33">
        <v>260</v>
      </c>
      <c r="H203" s="33">
        <v>-69</v>
      </c>
      <c r="I203" s="33">
        <v>70</v>
      </c>
      <c r="J203" s="33"/>
      <c r="K203" s="33">
        <v>-5</v>
      </c>
      <c r="L203" s="22"/>
      <c r="M203" s="22"/>
      <c r="N203" s="21"/>
      <c r="O203" s="21"/>
      <c r="P203" s="21"/>
      <c r="Q203" s="21" t="str">
        <f>$A$198&amp;C203&amp;"INC"</f>
        <v>DTE2019INC</v>
      </c>
      <c r="R203" s="66">
        <f>SUM(E203:F203)/D203</f>
        <v>0.85002929115407144</v>
      </c>
      <c r="S203" s="66">
        <f t="shared" ref="S203:S205" si="89">E203/SUM(E203:F203)</f>
        <v>0.7822191592005513</v>
      </c>
      <c r="T203" s="66">
        <f t="shared" ref="T203" si="90">F203/(E203+F203)</f>
        <v>0.21778084079944865</v>
      </c>
      <c r="U203" s="34">
        <f>IF(OR(ISBLANK($R203),ISBLANK(S203)),"NA",$R203*S203)</f>
        <v>0.66490919742237842</v>
      </c>
      <c r="V203" s="34">
        <f>IF(OR(ISBLANK($R203),ISBLANK(T203)),"NA",$R203*T203)</f>
        <v>0.18512009373169303</v>
      </c>
      <c r="W203" s="63"/>
      <c r="X203" s="34"/>
    </row>
    <row r="204" spans="1:25" x14ac:dyDescent="0.2">
      <c r="A204" s="21"/>
      <c r="B204" s="19" t="s">
        <v>83</v>
      </c>
      <c r="C204" s="20">
        <v>2018</v>
      </c>
      <c r="D204" s="32">
        <f>SUM(E204:K204)</f>
        <v>1594</v>
      </c>
      <c r="E204" s="33">
        <v>1167</v>
      </c>
      <c r="F204" s="33">
        <v>282</v>
      </c>
      <c r="G204" s="33">
        <v>270</v>
      </c>
      <c r="H204" s="33">
        <v>-153</v>
      </c>
      <c r="I204" s="33">
        <v>55</v>
      </c>
      <c r="J204" s="33">
        <v>0</v>
      </c>
      <c r="K204" s="33">
        <v>-27</v>
      </c>
      <c r="L204" s="22"/>
      <c r="M204" s="22"/>
      <c r="N204" s="21"/>
      <c r="O204" s="21"/>
      <c r="P204" s="21"/>
      <c r="Q204" s="21" t="str">
        <f t="shared" ref="Q204:Q205" si="91">$A$198&amp;C204&amp;"INC"</f>
        <v>DTE2018INC</v>
      </c>
      <c r="R204" s="66">
        <f>SUM(E204:F204)/D204</f>
        <v>0.90903387703889582</v>
      </c>
      <c r="S204" s="66">
        <f t="shared" si="89"/>
        <v>0.80538302277432716</v>
      </c>
      <c r="T204" s="66">
        <f t="shared" si="87"/>
        <v>0.19461697722567287</v>
      </c>
      <c r="U204" s="34">
        <f>IF(OR(ISBLANK($R204),ISBLANK(S204)),"NA",$R204*S204)</f>
        <v>0.73212045169385198</v>
      </c>
      <c r="V204" s="34">
        <f>IF(OR(ISBLANK($R204),ISBLANK(T204)),"NA",$R204*T204)</f>
        <v>0.1769134253450439</v>
      </c>
      <c r="W204" s="63"/>
      <c r="X204" s="34"/>
    </row>
    <row r="205" spans="1:25" x14ac:dyDescent="0.2">
      <c r="A205" s="21"/>
      <c r="B205" s="19"/>
      <c r="C205" s="20">
        <v>2017</v>
      </c>
      <c r="D205" s="32">
        <f t="shared" ref="D205" si="92">SUM(E205:K205)</f>
        <v>1711</v>
      </c>
      <c r="E205" s="33">
        <v>1211</v>
      </c>
      <c r="F205" s="33">
        <v>308</v>
      </c>
      <c r="G205" s="33">
        <v>254</v>
      </c>
      <c r="H205" s="33">
        <v>-169</v>
      </c>
      <c r="I205" s="33">
        <v>123</v>
      </c>
      <c r="J205" s="33">
        <v>0</v>
      </c>
      <c r="K205" s="33">
        <v>-16</v>
      </c>
      <c r="L205" s="22"/>
      <c r="M205" s="22"/>
      <c r="N205" s="21"/>
      <c r="O205" s="21"/>
      <c r="P205" s="21"/>
      <c r="Q205" s="21" t="str">
        <f t="shared" si="91"/>
        <v>DTE2017INC</v>
      </c>
      <c r="R205" s="66">
        <f>SUM(E205:F205)/D205</f>
        <v>0.88778492109877261</v>
      </c>
      <c r="S205" s="66">
        <f t="shared" si="89"/>
        <v>0.79723502304147464</v>
      </c>
      <c r="T205" s="66">
        <f t="shared" si="87"/>
        <v>0.20276497695852536</v>
      </c>
      <c r="U205" s="34">
        <f t="shared" ref="U205:V205" si="93">IF(OR(ISBLANK($R205),ISBLANK(S205)),"NA",$R205*S205)</f>
        <v>0.70777323202805376</v>
      </c>
      <c r="V205" s="34">
        <f t="shared" si="93"/>
        <v>0.18001168907071888</v>
      </c>
      <c r="W205" s="63"/>
      <c r="X205" s="34"/>
    </row>
    <row r="206" spans="1:25" x14ac:dyDescent="0.2">
      <c r="A206" s="21"/>
      <c r="B206" s="19"/>
      <c r="C206" s="20"/>
      <c r="D206" s="57"/>
      <c r="E206" s="33"/>
      <c r="F206" s="33"/>
      <c r="G206" s="33"/>
      <c r="H206" s="33"/>
      <c r="I206" s="33"/>
      <c r="J206" s="33"/>
      <c r="K206" s="33"/>
      <c r="L206" s="22"/>
      <c r="M206" s="22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5" x14ac:dyDescent="0.2">
      <c r="A207" s="21"/>
      <c r="B207" s="19"/>
      <c r="C207" s="20">
        <v>2019</v>
      </c>
      <c r="D207" s="32">
        <f>SUM(E207:K207)</f>
        <v>41882</v>
      </c>
      <c r="E207" s="33">
        <v>24617</v>
      </c>
      <c r="F207" s="33">
        <v>5717</v>
      </c>
      <c r="G207" s="33">
        <v>4832</v>
      </c>
      <c r="H207" s="33">
        <v>537</v>
      </c>
      <c r="I207" s="33">
        <v>798</v>
      </c>
      <c r="J207" s="33">
        <v>7679</v>
      </c>
      <c r="K207" s="33">
        <v>-2298</v>
      </c>
      <c r="L207" s="22"/>
      <c r="M207" s="22"/>
      <c r="N207" s="21"/>
      <c r="O207" s="21"/>
      <c r="P207" s="21"/>
      <c r="Q207" s="21" t="str">
        <f>$A$198&amp;C207&amp;"ASSETS"</f>
        <v>DTE2019ASSETS</v>
      </c>
      <c r="R207" s="66">
        <f>SUM(E207:F207)/D207</f>
        <v>0.7242729573563822</v>
      </c>
      <c r="S207" s="66">
        <f t="shared" ref="S207:S209" si="94">E207/SUM(E207:F207)</f>
        <v>0.81153161468978707</v>
      </c>
      <c r="T207" s="66">
        <f t="shared" ref="T207" si="95">F207/(E207+F207)</f>
        <v>0.18846838531021295</v>
      </c>
      <c r="U207" s="34">
        <f>IF(OR(ISBLANK($R207),ISBLANK(S207)),"NA",$R207*S207)</f>
        <v>0.58777040255957214</v>
      </c>
      <c r="V207" s="34">
        <f>IF(OR(ISBLANK($R207),ISBLANK(T207)),"NA",$R207*T207)</f>
        <v>0.13650255479681009</v>
      </c>
      <c r="W207" s="34"/>
      <c r="X207" s="34"/>
    </row>
    <row r="208" spans="1:25" x14ac:dyDescent="0.2">
      <c r="A208" s="21"/>
      <c r="B208" s="19" t="s">
        <v>84</v>
      </c>
      <c r="C208" s="20">
        <v>2018</v>
      </c>
      <c r="D208" s="32">
        <f>SUM(E208:K208)</f>
        <v>36288</v>
      </c>
      <c r="E208" s="33">
        <v>22501</v>
      </c>
      <c r="F208" s="33">
        <v>5378</v>
      </c>
      <c r="G208" s="33">
        <v>3161</v>
      </c>
      <c r="H208" s="33">
        <v>495</v>
      </c>
      <c r="I208" s="33">
        <v>909</v>
      </c>
      <c r="J208" s="33">
        <v>6153</v>
      </c>
      <c r="K208" s="33">
        <v>-2309</v>
      </c>
      <c r="L208" s="22"/>
      <c r="M208" s="22"/>
      <c r="N208" s="21"/>
      <c r="O208" s="21"/>
      <c r="P208" s="21"/>
      <c r="Q208" s="21" t="str">
        <f t="shared" ref="Q208:Q209" si="96">$A$198&amp;C208&amp;"ASSETS"</f>
        <v>DTE2018ASSETS</v>
      </c>
      <c r="R208" s="66">
        <f>SUM(E208:F208)/D208</f>
        <v>0.76827050264550267</v>
      </c>
      <c r="S208" s="66">
        <f t="shared" si="94"/>
        <v>0.80709494601671505</v>
      </c>
      <c r="T208" s="66">
        <f t="shared" si="87"/>
        <v>0.19290505398328492</v>
      </c>
      <c r="U208" s="34">
        <f>IF(OR(ISBLANK($R208),ISBLANK(S208)),"NA",$R208*S208)</f>
        <v>0.62006723985890655</v>
      </c>
      <c r="V208" s="34">
        <f>IF(OR(ISBLANK($R208),ISBLANK(T208)),"NA",$R208*T208)</f>
        <v>0.14820326278659612</v>
      </c>
      <c r="W208" s="34"/>
      <c r="X208" s="34"/>
    </row>
    <row r="209" spans="1:26" x14ac:dyDescent="0.2">
      <c r="A209" s="21"/>
      <c r="B209" s="21"/>
      <c r="C209" s="20">
        <v>2017</v>
      </c>
      <c r="D209" s="32">
        <f t="shared" ref="D209" si="97">SUM(E209:K209)</f>
        <v>33767</v>
      </c>
      <c r="E209" s="33">
        <v>21163</v>
      </c>
      <c r="F209" s="33">
        <v>5072</v>
      </c>
      <c r="G209" s="33">
        <v>2594</v>
      </c>
      <c r="H209" s="33">
        <v>593</v>
      </c>
      <c r="I209" s="33">
        <v>725</v>
      </c>
      <c r="J209" s="33">
        <v>5324</v>
      </c>
      <c r="K209" s="33">
        <v>-1704</v>
      </c>
      <c r="L209" s="22"/>
      <c r="M209" s="22"/>
      <c r="N209" s="21"/>
      <c r="O209" s="21"/>
      <c r="P209" s="21"/>
      <c r="Q209" s="21" t="str">
        <f t="shared" si="96"/>
        <v>DTE2017ASSETS</v>
      </c>
      <c r="R209" s="66">
        <f>SUM(E209:F209)/D209</f>
        <v>0.77694198477803778</v>
      </c>
      <c r="S209" s="66">
        <f t="shared" si="94"/>
        <v>0.80667047836859163</v>
      </c>
      <c r="T209" s="66">
        <f t="shared" si="87"/>
        <v>0.19332952163140843</v>
      </c>
      <c r="U209" s="34">
        <f t="shared" ref="U209:V209" si="98">IF(OR(ISBLANK($R209),ISBLANK(S209)),"NA",$R209*S209)</f>
        <v>0.62673616252554276</v>
      </c>
      <c r="V209" s="34">
        <f t="shared" si="98"/>
        <v>0.15020582225249504</v>
      </c>
      <c r="W209" s="34"/>
      <c r="X209" s="34"/>
    </row>
    <row r="210" spans="1:26" x14ac:dyDescent="0.2">
      <c r="D210" s="76"/>
    </row>
    <row r="213" spans="1:26" x14ac:dyDescent="0.2">
      <c r="A213" s="18" t="s">
        <v>36</v>
      </c>
      <c r="B213" s="19"/>
      <c r="C213" s="20"/>
      <c r="D213" s="21"/>
      <c r="E213" s="33"/>
      <c r="F213" s="33"/>
      <c r="G213" s="33"/>
      <c r="H213" s="33"/>
      <c r="I213" s="33"/>
      <c r="J213" s="22"/>
      <c r="K213" s="22"/>
      <c r="L213" s="22"/>
      <c r="M213" s="22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6" x14ac:dyDescent="0.2">
      <c r="A214" s="21" t="s">
        <v>187</v>
      </c>
      <c r="B214" s="19"/>
      <c r="C214" s="20"/>
      <c r="D214" s="21"/>
      <c r="E214" s="33"/>
      <c r="F214" s="33"/>
      <c r="G214" s="33"/>
      <c r="H214" s="33"/>
      <c r="I214" s="33"/>
      <c r="J214" s="22"/>
      <c r="K214" s="22"/>
      <c r="L214" s="22"/>
      <c r="M214" s="22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6" ht="63.75" x14ac:dyDescent="0.2">
      <c r="A215" s="18" t="s">
        <v>37</v>
      </c>
      <c r="B215" s="19"/>
      <c r="C215" s="20"/>
      <c r="D215" s="20" t="s">
        <v>75</v>
      </c>
      <c r="E215" s="35" t="s">
        <v>188</v>
      </c>
      <c r="F215" s="35" t="s">
        <v>189</v>
      </c>
      <c r="G215" s="35" t="s">
        <v>190</v>
      </c>
      <c r="H215" s="35" t="s">
        <v>88</v>
      </c>
      <c r="I215" s="35" t="s">
        <v>76</v>
      </c>
      <c r="J215" s="22"/>
      <c r="K215" s="22"/>
      <c r="L215" s="22"/>
      <c r="M215" s="22"/>
      <c r="N215" s="21"/>
      <c r="O215" s="21"/>
      <c r="P215" s="21"/>
      <c r="Q215" s="29"/>
      <c r="R215" s="30" t="s">
        <v>77</v>
      </c>
      <c r="S215" s="30" t="s">
        <v>78</v>
      </c>
      <c r="T215" s="30" t="s">
        <v>79</v>
      </c>
      <c r="U215" s="30" t="s">
        <v>80</v>
      </c>
      <c r="V215" s="30" t="s">
        <v>81</v>
      </c>
      <c r="W215" s="31"/>
      <c r="X215" s="31"/>
    </row>
    <row r="216" spans="1:26" x14ac:dyDescent="0.2">
      <c r="A216" s="18"/>
      <c r="B216" s="19"/>
      <c r="C216" s="20">
        <v>2019</v>
      </c>
      <c r="D216" s="32">
        <f>SUM(E216:I216)</f>
        <v>25079</v>
      </c>
      <c r="E216" s="35">
        <v>22831</v>
      </c>
      <c r="F216" s="35">
        <v>1866</v>
      </c>
      <c r="G216" s="35">
        <v>487</v>
      </c>
      <c r="H216" s="35">
        <v>95</v>
      </c>
      <c r="I216" s="35">
        <v>-200</v>
      </c>
      <c r="J216" s="22"/>
      <c r="K216" s="22"/>
      <c r="L216" s="22"/>
      <c r="M216" s="22"/>
      <c r="N216" s="21"/>
      <c r="O216" s="21"/>
      <c r="P216" s="21"/>
      <c r="Q216" s="21" t="str">
        <f>$A$215&amp;C216&amp;"REV"</f>
        <v>DUK2019REV</v>
      </c>
      <c r="R216" s="61">
        <f>(E216+F216)/D216</f>
        <v>0.98476813270066588</v>
      </c>
      <c r="S216" s="110">
        <f>E216/($E216+$F216)</f>
        <v>0.92444426448556505</v>
      </c>
      <c r="T216" s="110">
        <f>F216/($E216+$F216)</f>
        <v>7.5555735514434952E-2</v>
      </c>
      <c r="U216" s="34">
        <f>IF(OR(ISBLANK($R216),ISBLANK(S216)),"NA",$R216*S216)</f>
        <v>0.91036325212329039</v>
      </c>
      <c r="V216" s="34">
        <f>IF(OR(ISBLANK($R216),ISBLANK(T216)),"NA",$R216*T216)</f>
        <v>7.4404880577375487E-2</v>
      </c>
      <c r="W216" s="34"/>
      <c r="X216" s="34"/>
    </row>
    <row r="217" spans="1:26" x14ac:dyDescent="0.2">
      <c r="A217" s="21"/>
      <c r="B217" s="19" t="s">
        <v>82</v>
      </c>
      <c r="C217" s="20">
        <v>2018</v>
      </c>
      <c r="D217" s="32">
        <f t="shared" ref="D217:D226" si="99">SUM(E217:I217)</f>
        <v>24521</v>
      </c>
      <c r="E217" s="35">
        <v>22273</v>
      </c>
      <c r="F217" s="35">
        <v>1881</v>
      </c>
      <c r="G217" s="35">
        <v>477</v>
      </c>
      <c r="H217" s="51">
        <v>89</v>
      </c>
      <c r="I217" s="51">
        <v>-199</v>
      </c>
      <c r="J217" s="22"/>
      <c r="K217" s="22"/>
      <c r="L217" s="22"/>
      <c r="M217" s="22"/>
      <c r="N217" s="21"/>
      <c r="O217" s="21"/>
      <c r="P217" s="21"/>
      <c r="Q217" s="21" t="str">
        <f t="shared" ref="Q217:Q218" si="100">$A$215&amp;C217&amp;"REV"</f>
        <v>DUK2018REV</v>
      </c>
      <c r="R217" s="61">
        <f>(E217+F217)/D217</f>
        <v>0.98503323681742183</v>
      </c>
      <c r="S217" s="110">
        <f>E217/($E217+$F217)</f>
        <v>0.9221246998426762</v>
      </c>
      <c r="T217" s="110">
        <f>F217/($E217+$F217)</f>
        <v>7.7875300157323843E-2</v>
      </c>
      <c r="U217" s="34">
        <f>IF(OR(ISBLANK($R217),ISBLANK(S217)),"NA",$R217*S217)</f>
        <v>0.90832347783532486</v>
      </c>
      <c r="V217" s="34">
        <f>IF(OR(ISBLANK($R217),ISBLANK(T217)),"NA",$R217*T217)</f>
        <v>7.670975898209699E-2</v>
      </c>
      <c r="W217" s="34"/>
      <c r="X217" s="34"/>
    </row>
    <row r="218" spans="1:26" x14ac:dyDescent="0.2">
      <c r="A218" s="21"/>
      <c r="B218" s="19"/>
      <c r="C218" s="20">
        <v>2017</v>
      </c>
      <c r="D218" s="32">
        <f t="shared" si="99"/>
        <v>23565</v>
      </c>
      <c r="E218" s="33">
        <v>21331</v>
      </c>
      <c r="F218" s="33">
        <v>1836</v>
      </c>
      <c r="G218" s="33">
        <v>460</v>
      </c>
      <c r="H218" s="33">
        <v>138</v>
      </c>
      <c r="I218" s="33">
        <v>-200</v>
      </c>
      <c r="J218" s="22"/>
      <c r="K218" s="22"/>
      <c r="L218" s="22"/>
      <c r="M218" s="22"/>
      <c r="N218" s="21"/>
      <c r="O218" s="21"/>
      <c r="P218" s="21"/>
      <c r="Q218" s="21" t="str">
        <f t="shared" si="100"/>
        <v>DUK2017REV</v>
      </c>
      <c r="R218" s="61">
        <f>(E218+F218)/D218</f>
        <v>0.98311054530023345</v>
      </c>
      <c r="S218" s="110">
        <f t="shared" ref="S218:T218" si="101">E218/($E218+$F218)</f>
        <v>0.92074934173609013</v>
      </c>
      <c r="T218" s="110">
        <f t="shared" si="101"/>
        <v>7.9250658263909868E-2</v>
      </c>
      <c r="U218" s="34">
        <f t="shared" ref="U218:V218" si="102">IF(OR(ISBLANK($R218),ISBLANK(S218)),"NA",$R218*S218)</f>
        <v>0.90519838743899861</v>
      </c>
      <c r="V218" s="34">
        <f t="shared" si="102"/>
        <v>7.7912157861234885E-2</v>
      </c>
      <c r="W218" s="34"/>
      <c r="X218" s="34"/>
    </row>
    <row r="219" spans="1:26" x14ac:dyDescent="0.2">
      <c r="A219" s="21"/>
      <c r="B219" s="19"/>
      <c r="C219" s="20"/>
      <c r="D219" s="32"/>
      <c r="E219" s="33"/>
      <c r="F219" s="33"/>
      <c r="G219" s="33"/>
      <c r="H219" s="33"/>
      <c r="I219" s="33"/>
      <c r="J219" s="22"/>
      <c r="K219" s="22"/>
      <c r="L219" s="22"/>
      <c r="M219" s="22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Z219" s="64"/>
    </row>
    <row r="220" spans="1:26" x14ac:dyDescent="0.2">
      <c r="A220" s="21"/>
      <c r="B220" s="19"/>
      <c r="C220" s="20">
        <v>2019</v>
      </c>
      <c r="D220" s="32">
        <f t="shared" si="99"/>
        <v>5709</v>
      </c>
      <c r="E220" s="33">
        <v>5313</v>
      </c>
      <c r="F220" s="33">
        <v>431</v>
      </c>
      <c r="G220" s="33">
        <v>-4</v>
      </c>
      <c r="H220" s="33">
        <v>-24</v>
      </c>
      <c r="I220" s="33">
        <v>-7</v>
      </c>
      <c r="J220" s="22"/>
      <c r="K220" s="22"/>
      <c r="L220" s="22"/>
      <c r="M220" s="22"/>
      <c r="N220" s="21"/>
      <c r="O220" s="21"/>
      <c r="P220" s="21"/>
      <c r="Q220" s="21" t="str">
        <f>$A$215&amp;C220&amp;"INC"</f>
        <v>DUK2019INC</v>
      </c>
      <c r="R220" s="61">
        <f>IF((E220+F220)/D220&gt;100%,100%,(E220+F220)/D220)</f>
        <v>1</v>
      </c>
      <c r="S220" s="110">
        <f>E220/($E220+$F220)</f>
        <v>0.92496518105849579</v>
      </c>
      <c r="T220" s="110">
        <f>F220/($E220+$F220)</f>
        <v>7.5034818941504183E-2</v>
      </c>
      <c r="U220" s="34">
        <f>IF(OR(ISBLANK($R220),ISBLANK(S220)),"NA",$R220*S220)</f>
        <v>0.92496518105849579</v>
      </c>
      <c r="V220" s="34">
        <f>IF(OR(ISBLANK($R220),ISBLANK(T220)),"NA",$R220*T220)</f>
        <v>7.5034818941504183E-2</v>
      </c>
      <c r="W220" s="34"/>
      <c r="X220" s="34"/>
    </row>
    <row r="221" spans="1:26" x14ac:dyDescent="0.2">
      <c r="A221" s="21"/>
      <c r="B221" s="19" t="s">
        <v>83</v>
      </c>
      <c r="C221" s="20">
        <v>2018</v>
      </c>
      <c r="D221" s="32">
        <f t="shared" si="99"/>
        <v>4685</v>
      </c>
      <c r="E221" s="33">
        <v>4767</v>
      </c>
      <c r="F221" s="33">
        <v>411</v>
      </c>
      <c r="G221" s="33">
        <v>-101</v>
      </c>
      <c r="H221" s="33">
        <v>-387</v>
      </c>
      <c r="I221" s="33">
        <v>-5</v>
      </c>
      <c r="J221" s="22"/>
      <c r="K221" s="22"/>
      <c r="L221" s="22"/>
      <c r="M221" s="22"/>
      <c r="N221" s="21"/>
      <c r="O221" s="21"/>
      <c r="P221" s="21"/>
      <c r="Q221" s="21" t="str">
        <f t="shared" ref="Q221:Q222" si="103">$A$215&amp;C221&amp;"INC"</f>
        <v>DUK2018INC</v>
      </c>
      <c r="R221" s="61">
        <f t="shared" ref="R221:R222" si="104">IF((E221+F221)/D221&gt;100%,100%,(E221+F221)/D221)</f>
        <v>1</v>
      </c>
      <c r="S221" s="110">
        <f>E221/($E221+$F221)</f>
        <v>0.92062572421784472</v>
      </c>
      <c r="T221" s="110">
        <f>F221/($E221+$F221)</f>
        <v>7.9374275782155279E-2</v>
      </c>
      <c r="U221" s="34">
        <f>IF(OR(ISBLANK($R221),ISBLANK(S221)),"NA",$R221*S221)</f>
        <v>0.92062572421784472</v>
      </c>
      <c r="V221" s="34">
        <f>IF(OR(ISBLANK($R221),ISBLANK(T221)),"NA",$R221*T221)</f>
        <v>7.9374275782155279E-2</v>
      </c>
      <c r="W221" s="34"/>
      <c r="X221" s="34"/>
    </row>
    <row r="222" spans="1:26" x14ac:dyDescent="0.2">
      <c r="A222" s="21"/>
      <c r="B222" s="19"/>
      <c r="C222" s="20">
        <v>2017</v>
      </c>
      <c r="D222" s="32">
        <f t="shared" si="99"/>
        <v>5625</v>
      </c>
      <c r="E222" s="33">
        <v>5333</v>
      </c>
      <c r="F222" s="33">
        <v>484</v>
      </c>
      <c r="G222" s="33">
        <v>-93</v>
      </c>
      <c r="H222" s="33">
        <v>-97</v>
      </c>
      <c r="I222" s="33">
        <v>-2</v>
      </c>
      <c r="J222" s="22"/>
      <c r="K222" s="22"/>
      <c r="L222" s="22"/>
      <c r="M222" s="22"/>
      <c r="N222" s="21"/>
      <c r="O222" s="21"/>
      <c r="P222" s="21"/>
      <c r="Q222" s="21" t="str">
        <f t="shared" si="103"/>
        <v>DUK2017INC</v>
      </c>
      <c r="R222" s="61">
        <f t="shared" si="104"/>
        <v>1</v>
      </c>
      <c r="S222" s="110">
        <f t="shared" ref="S222:T222" si="105">E222/($E222+$F222)</f>
        <v>0.91679559910606845</v>
      </c>
      <c r="T222" s="110">
        <f t="shared" si="105"/>
        <v>8.3204400893931579E-2</v>
      </c>
      <c r="U222" s="34">
        <f t="shared" ref="U222:V222" si="106">IF(OR(ISBLANK($R222),ISBLANK(S222)),"NA",$R222*S222)</f>
        <v>0.91679559910606845</v>
      </c>
      <c r="V222" s="34">
        <f t="shared" si="106"/>
        <v>8.3204400893931579E-2</v>
      </c>
      <c r="W222" s="34"/>
      <c r="X222" s="34"/>
    </row>
    <row r="223" spans="1:26" x14ac:dyDescent="0.2">
      <c r="A223" s="21"/>
      <c r="B223" s="19"/>
      <c r="C223" s="20"/>
      <c r="D223" s="32"/>
      <c r="E223" s="33"/>
      <c r="F223" s="33"/>
      <c r="G223" s="33"/>
      <c r="H223" s="33"/>
      <c r="I223" s="33"/>
      <c r="J223" s="22"/>
      <c r="K223" s="22"/>
      <c r="L223" s="22"/>
      <c r="M223" s="22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Z223" s="64"/>
    </row>
    <row r="224" spans="1:26" x14ac:dyDescent="0.2">
      <c r="A224" s="21"/>
      <c r="B224" s="19"/>
      <c r="C224" s="20">
        <v>2019</v>
      </c>
      <c r="D224" s="32">
        <f t="shared" si="99"/>
        <v>158838</v>
      </c>
      <c r="E224" s="33">
        <v>135561</v>
      </c>
      <c r="F224" s="33">
        <v>13921</v>
      </c>
      <c r="G224" s="33">
        <v>6020</v>
      </c>
      <c r="H224" s="33">
        <v>3148</v>
      </c>
      <c r="I224" s="33">
        <v>188</v>
      </c>
      <c r="J224" s="22"/>
      <c r="K224" s="22"/>
      <c r="L224" s="22"/>
      <c r="M224" s="22"/>
      <c r="N224" s="21"/>
      <c r="O224" s="21"/>
      <c r="P224" s="21"/>
      <c r="Q224" s="21" t="str">
        <f>$A$215&amp;C224&amp;"ASSETS"</f>
        <v>DUK2019ASSETS</v>
      </c>
      <c r="R224" s="61">
        <f>(E224+F224)/D224</f>
        <v>0.94109721854971728</v>
      </c>
      <c r="S224" s="110">
        <f t="shared" ref="S224:T226" si="107">E224/($E224+$F224)</f>
        <v>0.90687173037556357</v>
      </c>
      <c r="T224" s="110">
        <f t="shared" si="107"/>
        <v>9.3128269624436391E-2</v>
      </c>
      <c r="U224" s="34">
        <f>IF(OR(ISBLANK($R224),ISBLANK(S224)),"NA",$R224*S224)</f>
        <v>0.85345446303781203</v>
      </c>
      <c r="V224" s="34">
        <f>IF(OR(ISBLANK($R224),ISBLANK(T224)),"NA",$R224*T224)</f>
        <v>8.7642755511905215E-2</v>
      </c>
      <c r="W224" s="34"/>
      <c r="X224" s="34"/>
    </row>
    <row r="225" spans="1:26" x14ac:dyDescent="0.2">
      <c r="A225" s="21"/>
      <c r="B225" s="19" t="s">
        <v>84</v>
      </c>
      <c r="C225" s="20">
        <v>2018</v>
      </c>
      <c r="D225" s="32">
        <f t="shared" si="99"/>
        <v>145392</v>
      </c>
      <c r="E225" s="33">
        <v>125364</v>
      </c>
      <c r="F225" s="33">
        <v>12361</v>
      </c>
      <c r="G225" s="33">
        <v>4204</v>
      </c>
      <c r="H225" s="33">
        <v>3275</v>
      </c>
      <c r="I225" s="33">
        <v>188</v>
      </c>
      <c r="J225" s="22"/>
      <c r="K225" s="22"/>
      <c r="L225" s="22"/>
      <c r="M225" s="22"/>
      <c r="N225" s="21"/>
      <c r="O225" s="21"/>
      <c r="P225" s="21"/>
      <c r="Q225" s="21" t="str">
        <f t="shared" ref="Q225:Q226" si="108">$A$215&amp;C225&amp;"ASSETS"</f>
        <v>DUK2018ASSETS</v>
      </c>
      <c r="R225" s="61">
        <f>(E225+F225)/D225</f>
        <v>0.94726669968086274</v>
      </c>
      <c r="S225" s="110">
        <f t="shared" si="107"/>
        <v>0.91024868397168268</v>
      </c>
      <c r="T225" s="110">
        <f t="shared" si="107"/>
        <v>8.9751316028317304E-2</v>
      </c>
      <c r="U225" s="34">
        <f>IF(OR(ISBLANK($R225),ISBLANK(S225)),"NA",$R225*S225)</f>
        <v>0.86224826675470445</v>
      </c>
      <c r="V225" s="34">
        <f>IF(OR(ISBLANK($R225),ISBLANK(T225)),"NA",$R225*T225)</f>
        <v>8.5018432926158252E-2</v>
      </c>
      <c r="W225" s="34"/>
      <c r="X225" s="34"/>
    </row>
    <row r="226" spans="1:26" x14ac:dyDescent="0.2">
      <c r="A226" s="21"/>
      <c r="B226" s="21"/>
      <c r="C226" s="20">
        <v>2017</v>
      </c>
      <c r="D226" s="32">
        <f t="shared" si="99"/>
        <v>137914</v>
      </c>
      <c r="E226" s="33">
        <v>119423</v>
      </c>
      <c r="F226" s="33">
        <v>11462</v>
      </c>
      <c r="G226" s="33">
        <v>4156</v>
      </c>
      <c r="H226" s="33">
        <v>2685</v>
      </c>
      <c r="I226" s="33">
        <v>188</v>
      </c>
      <c r="J226" s="22"/>
      <c r="K226" s="22"/>
      <c r="L226" s="22"/>
      <c r="M226" s="22"/>
      <c r="N226" s="21"/>
      <c r="O226" s="21"/>
      <c r="P226" s="21"/>
      <c r="Q226" s="21" t="str">
        <f t="shared" si="108"/>
        <v>DUK2017ASSETS</v>
      </c>
      <c r="R226" s="61">
        <f>(E226+F226)/D226</f>
        <v>0.94903345563177055</v>
      </c>
      <c r="S226" s="110">
        <f t="shared" si="107"/>
        <v>0.91242693967987165</v>
      </c>
      <c r="T226" s="110">
        <f t="shared" si="107"/>
        <v>8.7573060320128362E-2</v>
      </c>
      <c r="U226" s="34">
        <f t="shared" ref="U226:V226" si="109">IF(OR(ISBLANK($R226),ISBLANK(S226)),"NA",$R226*S226)</f>
        <v>0.86592369157590965</v>
      </c>
      <c r="V226" s="34">
        <f t="shared" si="109"/>
        <v>8.3109764055860902E-2</v>
      </c>
      <c r="W226" s="34"/>
      <c r="X226" s="34"/>
    </row>
    <row r="227" spans="1:26" x14ac:dyDescent="0.2">
      <c r="D227" s="76"/>
      <c r="Z227" s="64"/>
    </row>
    <row r="230" spans="1:26" x14ac:dyDescent="0.2">
      <c r="A230" s="18" t="s">
        <v>38</v>
      </c>
      <c r="B230" s="19"/>
      <c r="C230" s="20"/>
      <c r="D230" s="21"/>
      <c r="E230" s="33"/>
      <c r="F230" s="33"/>
      <c r="G230" s="33"/>
      <c r="H230" s="33"/>
      <c r="I230" s="22"/>
      <c r="J230" s="22"/>
      <c r="K230" s="22"/>
      <c r="L230" s="22"/>
      <c r="M230" s="22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6" x14ac:dyDescent="0.2">
      <c r="A231" s="21" t="s">
        <v>191</v>
      </c>
      <c r="B231" s="21"/>
      <c r="C231" s="20"/>
      <c r="D231" s="21"/>
      <c r="E231" s="33"/>
      <c r="F231" s="33"/>
      <c r="G231" s="111"/>
      <c r="H231" s="111"/>
      <c r="I231" s="50"/>
      <c r="J231" s="50"/>
      <c r="K231" s="50"/>
      <c r="L231" s="22"/>
      <c r="M231" s="22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6" ht="63.75" x14ac:dyDescent="0.2">
      <c r="A232" s="18" t="s">
        <v>39</v>
      </c>
      <c r="B232" s="19"/>
      <c r="C232" s="20"/>
      <c r="D232" s="20" t="s">
        <v>75</v>
      </c>
      <c r="E232" s="51" t="s">
        <v>133</v>
      </c>
      <c r="F232" s="35" t="s">
        <v>192</v>
      </c>
      <c r="G232" s="33"/>
      <c r="H232" s="33"/>
      <c r="I232" s="22"/>
      <c r="J232" s="22"/>
      <c r="K232" s="22"/>
      <c r="L232" s="22"/>
      <c r="M232" s="22"/>
      <c r="N232" s="21"/>
      <c r="O232" s="21"/>
      <c r="P232" s="21"/>
      <c r="Q232" s="29"/>
      <c r="R232" s="30" t="s">
        <v>77</v>
      </c>
      <c r="S232" s="30" t="s">
        <v>78</v>
      </c>
      <c r="T232" s="30" t="s">
        <v>79</v>
      </c>
      <c r="U232" s="30" t="s">
        <v>80</v>
      </c>
      <c r="V232" s="30" t="s">
        <v>81</v>
      </c>
      <c r="W232" s="31"/>
      <c r="X232" s="31"/>
    </row>
    <row r="233" spans="1:26" x14ac:dyDescent="0.2">
      <c r="A233" s="21"/>
      <c r="B233" s="19"/>
      <c r="C233" s="20">
        <v>2019</v>
      </c>
      <c r="D233" s="112">
        <v>12347</v>
      </c>
      <c r="E233" s="113">
        <v>12306</v>
      </c>
      <c r="F233" s="113">
        <f>D233-E233</f>
        <v>41</v>
      </c>
      <c r="G233" s="33"/>
      <c r="H233" s="33"/>
      <c r="I233" s="22"/>
      <c r="J233" s="22"/>
      <c r="K233" s="22"/>
      <c r="L233" s="22"/>
      <c r="M233" s="22"/>
      <c r="N233" s="21"/>
      <c r="O233" s="21"/>
      <c r="P233" s="21"/>
      <c r="Q233" s="21" t="str">
        <f>$A$232&amp;C233&amp;"REV"</f>
        <v>EIX2019REV</v>
      </c>
      <c r="R233" s="61">
        <f>E233/D233</f>
        <v>0.99667935530898188</v>
      </c>
      <c r="S233" s="66">
        <f>E233/E233</f>
        <v>1</v>
      </c>
      <c r="T233" s="66">
        <v>0</v>
      </c>
      <c r="U233" s="34">
        <f>IF(OR(ISBLANK($R233),ISBLANK(S233)),"NA",$R233*S233)</f>
        <v>0.99667935530898188</v>
      </c>
      <c r="V233" s="34">
        <f>IF(OR(ISBLANK($R233),ISBLANK(T233)),"NA",$R233*T233)</f>
        <v>0</v>
      </c>
      <c r="W233" s="34"/>
      <c r="X233" s="34"/>
    </row>
    <row r="234" spans="1:26" x14ac:dyDescent="0.2">
      <c r="A234" s="21"/>
      <c r="B234" s="19" t="s">
        <v>82</v>
      </c>
      <c r="C234" s="87">
        <v>2018</v>
      </c>
      <c r="D234" s="114">
        <v>12657</v>
      </c>
      <c r="E234" s="115">
        <v>12611</v>
      </c>
      <c r="F234" s="116">
        <f t="shared" ref="F234:F243" si="110">D234-E234</f>
        <v>46</v>
      </c>
      <c r="G234" s="117"/>
      <c r="H234" s="117"/>
      <c r="I234" s="92"/>
      <c r="J234" s="92"/>
      <c r="K234" s="92"/>
      <c r="L234" s="92"/>
      <c r="M234" s="92"/>
      <c r="N234" s="93"/>
      <c r="O234" s="93"/>
      <c r="P234" s="93"/>
      <c r="Q234" s="93" t="str">
        <f>$A$232&amp;C234&amp;"REV"</f>
        <v>EIX2018REV</v>
      </c>
      <c r="R234" s="94">
        <f>E234/D234</f>
        <v>0.99636564746780443</v>
      </c>
      <c r="S234" s="118">
        <f>E234/E234</f>
        <v>1</v>
      </c>
      <c r="T234" s="118">
        <v>0</v>
      </c>
      <c r="U234" s="95">
        <f>IF(OR(ISBLANK($R234),ISBLANK(S234)),"NA",$R234*S234)</f>
        <v>0.99636564746780443</v>
      </c>
      <c r="V234" s="95">
        <f>IF(OR(ISBLANK($R234),ISBLANK(T234)),"NA",$R234*T234)</f>
        <v>0</v>
      </c>
      <c r="W234" s="34"/>
      <c r="X234" s="34"/>
    </row>
    <row r="235" spans="1:26" x14ac:dyDescent="0.2">
      <c r="A235" s="21"/>
      <c r="B235" s="19"/>
      <c r="C235" s="87">
        <v>2017</v>
      </c>
      <c r="D235" s="114">
        <v>12320</v>
      </c>
      <c r="E235" s="115">
        <v>12254</v>
      </c>
      <c r="F235" s="116">
        <f t="shared" si="110"/>
        <v>66</v>
      </c>
      <c r="G235" s="89"/>
      <c r="H235" s="89"/>
      <c r="I235" s="92"/>
      <c r="J235" s="92"/>
      <c r="K235" s="92"/>
      <c r="L235" s="92"/>
      <c r="M235" s="92"/>
      <c r="N235" s="93"/>
      <c r="O235" s="93"/>
      <c r="P235" s="93"/>
      <c r="Q235" s="93" t="str">
        <f>$A$232&amp;C235&amp;"REV"</f>
        <v>EIX2017REV</v>
      </c>
      <c r="R235" s="94">
        <f>E235/D235</f>
        <v>0.99464285714285716</v>
      </c>
      <c r="S235" s="118">
        <f t="shared" ref="S235" si="111">E235/E235</f>
        <v>1</v>
      </c>
      <c r="T235" s="118">
        <v>0</v>
      </c>
      <c r="U235" s="95">
        <f t="shared" ref="U235:V235" si="112">IF(OR(ISBLANK($R235),ISBLANK(S235)),"NA",$R235*S235)</f>
        <v>0.99464285714285716</v>
      </c>
      <c r="V235" s="95">
        <f t="shared" si="112"/>
        <v>0</v>
      </c>
      <c r="W235" s="34"/>
      <c r="X235" s="34"/>
    </row>
    <row r="236" spans="1:26" x14ac:dyDescent="0.2">
      <c r="A236" s="21"/>
      <c r="B236" s="19"/>
      <c r="C236" s="20"/>
      <c r="D236" s="19"/>
      <c r="E236" s="119"/>
      <c r="F236" s="119"/>
      <c r="G236" s="33"/>
      <c r="H236" s="33"/>
      <c r="I236" s="22"/>
      <c r="J236" s="22"/>
      <c r="K236" s="22"/>
      <c r="L236" s="22"/>
      <c r="M236" s="22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Z236" s="64"/>
    </row>
    <row r="237" spans="1:26" x14ac:dyDescent="0.2">
      <c r="A237" s="21"/>
      <c r="B237" s="19"/>
      <c r="C237" s="20">
        <v>2019</v>
      </c>
      <c r="D237" s="120">
        <v>1775</v>
      </c>
      <c r="E237" s="113">
        <v>1845</v>
      </c>
      <c r="F237" s="113">
        <f t="shared" si="110"/>
        <v>-70</v>
      </c>
      <c r="G237" s="33"/>
      <c r="H237" s="33"/>
      <c r="I237" s="22"/>
      <c r="J237" s="22"/>
      <c r="K237" s="22"/>
      <c r="L237" s="22"/>
      <c r="M237" s="22"/>
      <c r="N237" s="21"/>
      <c r="O237" s="21"/>
      <c r="P237" s="21"/>
      <c r="Q237" s="21" t="str">
        <f>$A$232&amp;C237&amp;"INC"</f>
        <v>EIX2019INC</v>
      </c>
      <c r="R237" s="61">
        <f>IF(E237/D237&gt;100%,100%,E237/D237)</f>
        <v>1</v>
      </c>
      <c r="S237" s="66">
        <f>E237/E237</f>
        <v>1</v>
      </c>
      <c r="T237" s="66">
        <v>0</v>
      </c>
      <c r="U237" s="34">
        <f>IF(OR(ISBLANK($R237),ISBLANK(S237)),"NA",$R237*S237)</f>
        <v>1</v>
      </c>
      <c r="V237" s="34">
        <f>IF(OR(ISBLANK($R237),ISBLANK(T237)),"NA",$R237*T237)</f>
        <v>0</v>
      </c>
      <c r="W237" s="34"/>
      <c r="X237" s="34"/>
    </row>
    <row r="238" spans="1:26" x14ac:dyDescent="0.2">
      <c r="A238" s="21"/>
      <c r="B238" s="19" t="s">
        <v>83</v>
      </c>
      <c r="C238" s="87">
        <v>2018</v>
      </c>
      <c r="D238" s="114">
        <v>-552</v>
      </c>
      <c r="E238" s="115">
        <v>-406</v>
      </c>
      <c r="F238" s="116">
        <f t="shared" si="110"/>
        <v>-146</v>
      </c>
      <c r="G238" s="117"/>
      <c r="H238" s="117"/>
      <c r="I238" s="92"/>
      <c r="J238" s="92"/>
      <c r="K238" s="92"/>
      <c r="L238" s="92"/>
      <c r="M238" s="92"/>
      <c r="N238" s="93"/>
      <c r="O238" s="93"/>
      <c r="P238" s="93"/>
      <c r="Q238" s="93" t="str">
        <f>$A$232&amp;C238&amp;"INC"</f>
        <v>EIX2018INC</v>
      </c>
      <c r="R238" s="94">
        <f>ABS(E238)/ABS(D238)</f>
        <v>0.73550724637681164</v>
      </c>
      <c r="S238" s="118">
        <f>E238/E238</f>
        <v>1</v>
      </c>
      <c r="T238" s="118">
        <v>0</v>
      </c>
      <c r="U238" s="95">
        <f>IF(OR(ISBLANK($R238),ISBLANK(S238)),"NA",$R238*S238)</f>
        <v>0.73550724637681164</v>
      </c>
      <c r="V238" s="95">
        <f>IF(OR(ISBLANK($R238),ISBLANK(T238)),"NA",$R238*T238)</f>
        <v>0</v>
      </c>
      <c r="W238" s="34"/>
      <c r="X238" s="34"/>
    </row>
    <row r="239" spans="1:26" x14ac:dyDescent="0.2">
      <c r="A239" s="21"/>
      <c r="B239" s="19"/>
      <c r="C239" s="87">
        <v>2017</v>
      </c>
      <c r="D239" s="114">
        <v>1456</v>
      </c>
      <c r="E239" s="115">
        <v>1547</v>
      </c>
      <c r="F239" s="116">
        <f t="shared" si="110"/>
        <v>-91</v>
      </c>
      <c r="G239" s="89"/>
      <c r="H239" s="89"/>
      <c r="I239" s="92"/>
      <c r="J239" s="92"/>
      <c r="K239" s="92"/>
      <c r="L239" s="92"/>
      <c r="M239" s="92"/>
      <c r="N239" s="93"/>
      <c r="O239" s="93"/>
      <c r="P239" s="93"/>
      <c r="Q239" s="93" t="str">
        <f>$A$232&amp;C239&amp;"INC"</f>
        <v>EIX2017INC</v>
      </c>
      <c r="R239" s="94">
        <f t="shared" ref="R239" si="113">IF(E239/D239&gt;100%,100%,E239/D239)</f>
        <v>1</v>
      </c>
      <c r="S239" s="118">
        <f t="shared" ref="S239" si="114">E239/E239</f>
        <v>1</v>
      </c>
      <c r="T239" s="118">
        <v>0</v>
      </c>
      <c r="U239" s="95">
        <f t="shared" ref="U239:V239" si="115">IF(OR(ISBLANK($R239),ISBLANK(S239)),"NA",$R239*S239)</f>
        <v>1</v>
      </c>
      <c r="V239" s="95">
        <f t="shared" si="115"/>
        <v>0</v>
      </c>
      <c r="W239" s="34"/>
      <c r="X239" s="34"/>
    </row>
    <row r="240" spans="1:26" x14ac:dyDescent="0.2">
      <c r="A240" s="21"/>
      <c r="B240" s="19"/>
      <c r="C240" s="20"/>
      <c r="D240" s="121"/>
      <c r="E240" s="119"/>
      <c r="F240" s="119"/>
      <c r="G240" s="33"/>
      <c r="H240" s="33"/>
      <c r="I240" s="22"/>
      <c r="J240" s="22"/>
      <c r="K240" s="22"/>
      <c r="L240" s="22"/>
      <c r="M240" s="22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Z240" s="64"/>
    </row>
    <row r="241" spans="1:26" x14ac:dyDescent="0.2">
      <c r="A241" s="21"/>
      <c r="B241" s="19"/>
      <c r="C241" s="20">
        <v>2019</v>
      </c>
      <c r="D241" s="122">
        <v>64382</v>
      </c>
      <c r="E241" s="113">
        <v>64273</v>
      </c>
      <c r="F241" s="113">
        <f t="shared" si="110"/>
        <v>109</v>
      </c>
      <c r="G241" s="33"/>
      <c r="H241" s="33"/>
      <c r="I241" s="22"/>
      <c r="J241" s="22"/>
      <c r="K241" s="22"/>
      <c r="L241" s="22"/>
      <c r="M241" s="22"/>
      <c r="N241" s="21"/>
      <c r="O241" s="21"/>
      <c r="P241" s="21"/>
      <c r="Q241" s="21" t="str">
        <f>$A$232&amp;C241&amp;"ASSETS"</f>
        <v>EIX2019ASSETS</v>
      </c>
      <c r="R241" s="61">
        <f>E241/D241</f>
        <v>0.99830698021186048</v>
      </c>
      <c r="S241" s="66">
        <f>E241/E241</f>
        <v>1</v>
      </c>
      <c r="T241" s="66">
        <v>0</v>
      </c>
      <c r="U241" s="34">
        <f>IF(OR(ISBLANK($R241),ISBLANK(S241)),"NA",$R241*S241)</f>
        <v>0.99830698021186048</v>
      </c>
      <c r="V241" s="34">
        <f>IF(OR(ISBLANK($R241),ISBLANK(T241)),"NA",$R241*T241)</f>
        <v>0</v>
      </c>
      <c r="W241" s="34"/>
      <c r="X241" s="34"/>
    </row>
    <row r="242" spans="1:26" x14ac:dyDescent="0.2">
      <c r="A242" s="21"/>
      <c r="B242" s="19" t="s">
        <v>84</v>
      </c>
      <c r="C242" s="87">
        <v>2018</v>
      </c>
      <c r="D242" s="114">
        <v>56715</v>
      </c>
      <c r="E242" s="115">
        <v>56574</v>
      </c>
      <c r="F242" s="116">
        <f t="shared" si="110"/>
        <v>141</v>
      </c>
      <c r="G242" s="117"/>
      <c r="H242" s="117"/>
      <c r="I242" s="92"/>
      <c r="J242" s="92"/>
      <c r="K242" s="92"/>
      <c r="L242" s="92"/>
      <c r="M242" s="92"/>
      <c r="N242" s="93"/>
      <c r="O242" s="93"/>
      <c r="P242" s="93"/>
      <c r="Q242" s="93" t="str">
        <f>$A$232&amp;C242&amp;"ASSETS"</f>
        <v>EIX2018ASSETS</v>
      </c>
      <c r="R242" s="94">
        <f>E242/D242</f>
        <v>0.9975138852155514</v>
      </c>
      <c r="S242" s="118">
        <f>E242/E242</f>
        <v>1</v>
      </c>
      <c r="T242" s="118">
        <v>0</v>
      </c>
      <c r="U242" s="95">
        <f>IF(OR(ISBLANK($R242),ISBLANK(S242)),"NA",$R242*S242)</f>
        <v>0.9975138852155514</v>
      </c>
      <c r="V242" s="95">
        <f>IF(OR(ISBLANK($R242),ISBLANK(T242)),"NA",$R242*T242)</f>
        <v>0</v>
      </c>
      <c r="W242" s="34"/>
      <c r="X242" s="34"/>
    </row>
    <row r="243" spans="1:26" x14ac:dyDescent="0.2">
      <c r="A243" s="21"/>
      <c r="B243" s="21"/>
      <c r="C243" s="87">
        <v>2017</v>
      </c>
      <c r="D243" s="114">
        <v>51319</v>
      </c>
      <c r="E243" s="115">
        <v>50891</v>
      </c>
      <c r="F243" s="116">
        <f t="shared" si="110"/>
        <v>428</v>
      </c>
      <c r="G243" s="89"/>
      <c r="H243" s="89"/>
      <c r="I243" s="92"/>
      <c r="J243" s="92"/>
      <c r="K243" s="92"/>
      <c r="L243" s="92"/>
      <c r="M243" s="92"/>
      <c r="N243" s="93"/>
      <c r="O243" s="93"/>
      <c r="P243" s="93"/>
      <c r="Q243" s="93" t="str">
        <f>$A$232&amp;C243&amp;"ASSETS"</f>
        <v>EIX2017ASSETS</v>
      </c>
      <c r="R243" s="94">
        <f>E243/D243</f>
        <v>0.99166000896354178</v>
      </c>
      <c r="S243" s="118">
        <f t="shared" ref="S243" si="116">E243/E243</f>
        <v>1</v>
      </c>
      <c r="T243" s="118">
        <v>0</v>
      </c>
      <c r="U243" s="95">
        <f t="shared" ref="U243:V243" si="117">IF(OR(ISBLANK($R243),ISBLANK(S243)),"NA",$R243*S243)</f>
        <v>0.99166000896354178</v>
      </c>
      <c r="V243" s="95">
        <f t="shared" si="117"/>
        <v>0</v>
      </c>
      <c r="W243" s="34"/>
      <c r="X243" s="34"/>
    </row>
    <row r="244" spans="1:26" x14ac:dyDescent="0.2">
      <c r="D244" s="76"/>
      <c r="Z244" s="64"/>
    </row>
    <row r="247" spans="1:26" x14ac:dyDescent="0.2">
      <c r="A247" s="18" t="s">
        <v>193</v>
      </c>
      <c r="B247" s="19"/>
      <c r="C247" s="20"/>
      <c r="D247" s="21"/>
      <c r="E247" s="33"/>
      <c r="F247" s="33"/>
      <c r="G247" s="22"/>
      <c r="H247" s="22"/>
      <c r="I247" s="22"/>
      <c r="J247" s="22"/>
      <c r="K247" s="22"/>
      <c r="L247" s="22"/>
      <c r="M247" s="22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6" x14ac:dyDescent="0.2">
      <c r="A248" s="21" t="s">
        <v>194</v>
      </c>
      <c r="B248" s="19"/>
      <c r="C248" s="20"/>
      <c r="D248" s="21"/>
      <c r="E248" s="33"/>
      <c r="F248" s="33"/>
      <c r="G248" s="22"/>
      <c r="H248" s="22"/>
      <c r="I248" s="22"/>
      <c r="J248" s="22"/>
      <c r="K248" s="22"/>
      <c r="L248" s="22"/>
      <c r="M248" s="22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6" ht="63.75" x14ac:dyDescent="0.2">
      <c r="A249" s="18" t="s">
        <v>195</v>
      </c>
      <c r="B249" s="19"/>
      <c r="C249" s="20"/>
      <c r="D249" s="20" t="s">
        <v>75</v>
      </c>
      <c r="E249" s="72" t="s">
        <v>193</v>
      </c>
      <c r="F249" s="33"/>
      <c r="G249" s="22"/>
      <c r="H249" s="22"/>
      <c r="I249" s="22"/>
      <c r="J249" s="22"/>
      <c r="K249" s="22"/>
      <c r="L249" s="22"/>
      <c r="M249" s="22"/>
      <c r="N249" s="21"/>
      <c r="O249" s="21"/>
      <c r="P249" s="21"/>
      <c r="Q249" s="29"/>
      <c r="R249" s="30" t="s">
        <v>77</v>
      </c>
      <c r="S249" s="30" t="s">
        <v>78</v>
      </c>
      <c r="T249" s="30" t="s">
        <v>79</v>
      </c>
      <c r="U249" s="30" t="s">
        <v>80</v>
      </c>
      <c r="V249" s="30" t="s">
        <v>81</v>
      </c>
      <c r="W249" s="31"/>
      <c r="X249" s="31"/>
    </row>
    <row r="250" spans="1:26" x14ac:dyDescent="0.2">
      <c r="A250" s="18"/>
      <c r="B250" s="19"/>
      <c r="C250" s="20">
        <v>2019</v>
      </c>
      <c r="D250" s="32">
        <f>SUM(E250:M250)</f>
        <v>861994</v>
      </c>
      <c r="E250" s="33">
        <v>861994</v>
      </c>
      <c r="F250" s="33"/>
      <c r="G250" s="22"/>
      <c r="H250" s="22"/>
      <c r="I250" s="22"/>
      <c r="J250" s="22"/>
      <c r="K250" s="22"/>
      <c r="L250" s="22"/>
      <c r="M250" s="22"/>
      <c r="N250" s="21"/>
      <c r="O250" s="21"/>
      <c r="P250" s="21"/>
      <c r="Q250" s="21" t="str">
        <f>$A$249&amp;C250&amp;"REV"</f>
        <v>EE2019REV</v>
      </c>
      <c r="R250" s="61">
        <f>E250/D250</f>
        <v>1</v>
      </c>
      <c r="S250" s="61">
        <f>E250/E250</f>
        <v>1</v>
      </c>
      <c r="T250" s="61">
        <v>0</v>
      </c>
      <c r="U250" s="34">
        <f>IF(OR(ISBLANK($R250),ISBLANK(S250)),"NA",$R250*S250)</f>
        <v>1</v>
      </c>
      <c r="V250" s="34">
        <f>IF(OR(ISBLANK($R250),ISBLANK(T250)),"NA",$R250*T250)</f>
        <v>0</v>
      </c>
      <c r="W250" s="34"/>
      <c r="X250" s="34"/>
    </row>
    <row r="251" spans="1:26" x14ac:dyDescent="0.2">
      <c r="A251" s="21"/>
      <c r="B251" s="19" t="s">
        <v>82</v>
      </c>
      <c r="C251" s="20">
        <v>2018</v>
      </c>
      <c r="D251" s="32">
        <f>SUM(E251:M251)</f>
        <v>903603</v>
      </c>
      <c r="E251" s="33">
        <v>903603</v>
      </c>
      <c r="F251" s="51"/>
      <c r="G251" s="42"/>
      <c r="H251" s="42"/>
      <c r="I251" s="22"/>
      <c r="J251" s="22"/>
      <c r="K251" s="22"/>
      <c r="L251" s="22"/>
      <c r="M251" s="22"/>
      <c r="N251" s="21"/>
      <c r="O251" s="21"/>
      <c r="P251" s="21"/>
      <c r="Q251" s="21" t="str">
        <f t="shared" ref="Q251:Q252" si="118">$A$249&amp;C251&amp;"REV"</f>
        <v>EE2018REV</v>
      </c>
      <c r="R251" s="61">
        <f>E251/D251</f>
        <v>1</v>
      </c>
      <c r="S251" s="61">
        <f>E251/E251</f>
        <v>1</v>
      </c>
      <c r="T251" s="61">
        <v>0</v>
      </c>
      <c r="U251" s="34">
        <f>IF(OR(ISBLANK($R251),ISBLANK(S251)),"NA",$R251*S251)</f>
        <v>1</v>
      </c>
      <c r="V251" s="34">
        <f>IF(OR(ISBLANK($R251),ISBLANK(T251)),"NA",$R251*T251)</f>
        <v>0</v>
      </c>
      <c r="W251" s="34"/>
      <c r="X251" s="34"/>
    </row>
    <row r="252" spans="1:26" x14ac:dyDescent="0.2">
      <c r="A252" s="21"/>
      <c r="B252" s="19"/>
      <c r="C252" s="20">
        <v>2017</v>
      </c>
      <c r="D252" s="32">
        <f>SUM(E252:M252)</f>
        <v>916797</v>
      </c>
      <c r="E252" s="35">
        <v>916797</v>
      </c>
      <c r="F252" s="33"/>
      <c r="G252" s="22"/>
      <c r="H252" s="22"/>
      <c r="I252" s="22"/>
      <c r="J252" s="22"/>
      <c r="K252" s="22"/>
      <c r="L252" s="22"/>
      <c r="M252" s="22"/>
      <c r="N252" s="21"/>
      <c r="O252" s="21"/>
      <c r="P252" s="21"/>
      <c r="Q252" s="21" t="str">
        <f t="shared" si="118"/>
        <v>EE2017REV</v>
      </c>
      <c r="R252" s="61">
        <f>E252/D252</f>
        <v>1</v>
      </c>
      <c r="S252" s="61">
        <f>E252/E252</f>
        <v>1</v>
      </c>
      <c r="T252" s="61">
        <v>0</v>
      </c>
      <c r="U252" s="34">
        <f t="shared" ref="U252:V252" si="119">IF(OR(ISBLANK($R252),ISBLANK(S252)),"NA",$R252*S252)</f>
        <v>1</v>
      </c>
      <c r="V252" s="34">
        <f t="shared" si="119"/>
        <v>0</v>
      </c>
      <c r="W252" s="34"/>
      <c r="X252" s="34"/>
    </row>
    <row r="253" spans="1:26" x14ac:dyDescent="0.2">
      <c r="A253" s="21"/>
      <c r="B253" s="19"/>
      <c r="C253" s="20"/>
      <c r="D253" s="21"/>
      <c r="E253" s="33"/>
      <c r="F253" s="33"/>
      <c r="G253" s="22"/>
      <c r="H253" s="22"/>
      <c r="I253" s="22"/>
      <c r="J253" s="22"/>
      <c r="K253" s="22"/>
      <c r="L253" s="22"/>
      <c r="M253" s="22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6" x14ac:dyDescent="0.2">
      <c r="A254" s="21"/>
      <c r="B254" s="19"/>
      <c r="C254" s="20">
        <v>2019</v>
      </c>
      <c r="D254" s="32">
        <f t="shared" ref="D254" si="120">SUM(E254:M254)</f>
        <v>178093</v>
      </c>
      <c r="E254" s="33">
        <v>178093</v>
      </c>
      <c r="F254" s="33"/>
      <c r="G254" s="22"/>
      <c r="H254" s="22"/>
      <c r="I254" s="22"/>
      <c r="J254" s="22"/>
      <c r="K254" s="22"/>
      <c r="L254" s="22"/>
      <c r="M254" s="22"/>
      <c r="N254" s="21"/>
      <c r="O254" s="21"/>
      <c r="P254" s="21"/>
      <c r="Q254" s="21" t="str">
        <f>$A$249&amp;C254&amp;"INC"</f>
        <v>EE2019INC</v>
      </c>
      <c r="R254" s="61">
        <f>E254/D254</f>
        <v>1</v>
      </c>
      <c r="S254" s="61">
        <f>E254/E254</f>
        <v>1</v>
      </c>
      <c r="T254" s="61">
        <v>0</v>
      </c>
      <c r="U254" s="34">
        <f>IF(OR(ISBLANK($R254),ISBLANK(S254)),"NA",$R254*S254)</f>
        <v>1</v>
      </c>
      <c r="V254" s="34">
        <f>IF(OR(ISBLANK($R254),ISBLANK(T254)),"NA",$R254*T254)</f>
        <v>0</v>
      </c>
      <c r="W254" s="34"/>
      <c r="X254" s="34"/>
    </row>
    <row r="255" spans="1:26" x14ac:dyDescent="0.2">
      <c r="A255" s="21"/>
      <c r="B255" s="19" t="s">
        <v>83</v>
      </c>
      <c r="C255" s="20">
        <v>2018</v>
      </c>
      <c r="D255" s="32">
        <f t="shared" ref="D255:D256" si="121">SUM(E255:M255)</f>
        <v>172229</v>
      </c>
      <c r="E255" s="33">
        <v>172229</v>
      </c>
      <c r="F255" s="33"/>
      <c r="G255" s="22"/>
      <c r="H255" s="22"/>
      <c r="I255" s="22"/>
      <c r="J255" s="22"/>
      <c r="K255" s="22"/>
      <c r="L255" s="22"/>
      <c r="M255" s="22"/>
      <c r="N255" s="21"/>
      <c r="O255" s="21"/>
      <c r="P255" s="21"/>
      <c r="Q255" s="21" t="str">
        <f t="shared" ref="Q255:Q256" si="122">$A$249&amp;C255&amp;"INC"</f>
        <v>EE2018INC</v>
      </c>
      <c r="R255" s="61">
        <f>E255/D255</f>
        <v>1</v>
      </c>
      <c r="S255" s="61">
        <f>E255/E255</f>
        <v>1</v>
      </c>
      <c r="T255" s="61">
        <v>0</v>
      </c>
      <c r="U255" s="34">
        <f>IF(OR(ISBLANK($R255),ISBLANK(S255)),"NA",$R255*S255)</f>
        <v>1</v>
      </c>
      <c r="V255" s="34">
        <f>IF(OR(ISBLANK($R255),ISBLANK(T255)),"NA",$R255*T255)</f>
        <v>0</v>
      </c>
      <c r="W255" s="34"/>
      <c r="X255" s="34"/>
    </row>
    <row r="256" spans="1:26" x14ac:dyDescent="0.2">
      <c r="A256" s="21"/>
      <c r="B256" s="19"/>
      <c r="C256" s="20">
        <v>2017</v>
      </c>
      <c r="D256" s="32">
        <f t="shared" si="121"/>
        <v>190059</v>
      </c>
      <c r="E256" s="33">
        <v>190059</v>
      </c>
      <c r="F256" s="33"/>
      <c r="G256" s="22"/>
      <c r="H256" s="22"/>
      <c r="I256" s="22"/>
      <c r="J256" s="22"/>
      <c r="K256" s="22"/>
      <c r="L256" s="22"/>
      <c r="M256" s="22"/>
      <c r="N256" s="21"/>
      <c r="O256" s="21"/>
      <c r="P256" s="21"/>
      <c r="Q256" s="21" t="str">
        <f t="shared" si="122"/>
        <v>EE2017INC</v>
      </c>
      <c r="R256" s="61">
        <f>E256/D256</f>
        <v>1</v>
      </c>
      <c r="S256" s="61">
        <f>E256/E256</f>
        <v>1</v>
      </c>
      <c r="T256" s="61">
        <v>0</v>
      </c>
      <c r="U256" s="34">
        <f t="shared" ref="U256:V256" si="123">IF(OR(ISBLANK($R256),ISBLANK(S256)),"NA",$R256*S256)</f>
        <v>1</v>
      </c>
      <c r="V256" s="34">
        <f t="shared" si="123"/>
        <v>0</v>
      </c>
      <c r="W256" s="34"/>
      <c r="X256" s="34"/>
    </row>
    <row r="257" spans="1:24" x14ac:dyDescent="0.2">
      <c r="A257" s="21"/>
      <c r="B257" s="19"/>
      <c r="C257" s="20"/>
      <c r="D257" s="57"/>
      <c r="E257" s="33"/>
      <c r="F257" s="33"/>
      <c r="G257" s="22"/>
      <c r="H257" s="22"/>
      <c r="I257" s="22"/>
      <c r="J257" s="22"/>
      <c r="K257" s="22"/>
      <c r="L257" s="22"/>
      <c r="M257" s="22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x14ac:dyDescent="0.2">
      <c r="A258" s="21"/>
      <c r="B258" s="19"/>
      <c r="C258" s="20">
        <v>2019</v>
      </c>
      <c r="D258" s="32">
        <f>SUM(E258:M258)</f>
        <v>3813200</v>
      </c>
      <c r="E258" s="33">
        <v>3813200</v>
      </c>
      <c r="F258" s="33"/>
      <c r="G258" s="22"/>
      <c r="H258" s="22"/>
      <c r="I258" s="22"/>
      <c r="J258" s="22"/>
      <c r="K258" s="22"/>
      <c r="L258" s="22"/>
      <c r="M258" s="22"/>
      <c r="N258" s="21"/>
      <c r="O258" s="21"/>
      <c r="P258" s="21"/>
      <c r="Q258" s="21" t="str">
        <f>$A$249&amp;C258&amp;"ASSETS"</f>
        <v>EE2019ASSETS</v>
      </c>
      <c r="R258" s="61">
        <f>E258/D258</f>
        <v>1</v>
      </c>
      <c r="S258" s="61">
        <f>E258/E258</f>
        <v>1</v>
      </c>
      <c r="T258" s="61">
        <v>0</v>
      </c>
      <c r="U258" s="34">
        <f>IF(OR(ISBLANK($R258),ISBLANK(S258)),"NA",$R258*S258)</f>
        <v>1</v>
      </c>
      <c r="V258" s="34">
        <f>IF(OR(ISBLANK($R258),ISBLANK(T258)),"NA",$R258*T258)</f>
        <v>0</v>
      </c>
      <c r="W258" s="34"/>
      <c r="X258" s="34"/>
    </row>
    <row r="259" spans="1:24" x14ac:dyDescent="0.2">
      <c r="A259" s="21"/>
      <c r="B259" s="19" t="s">
        <v>84</v>
      </c>
      <c r="C259" s="20">
        <v>2018</v>
      </c>
      <c r="D259" s="32">
        <f>SUM(E259:M259)</f>
        <v>3628502</v>
      </c>
      <c r="E259" s="33">
        <v>3628502</v>
      </c>
      <c r="F259" s="33"/>
      <c r="G259" s="22"/>
      <c r="H259" s="22"/>
      <c r="I259" s="22"/>
      <c r="J259" s="22"/>
      <c r="K259" s="22"/>
      <c r="L259" s="22"/>
      <c r="M259" s="22"/>
      <c r="N259" s="21"/>
      <c r="O259" s="21"/>
      <c r="P259" s="21"/>
      <c r="Q259" s="21" t="str">
        <f t="shared" ref="Q259:Q260" si="124">$A$249&amp;C259&amp;"ASSETS"</f>
        <v>EE2018ASSETS</v>
      </c>
      <c r="R259" s="61">
        <f>E259/D259</f>
        <v>1</v>
      </c>
      <c r="S259" s="61">
        <f>E259/E259</f>
        <v>1</v>
      </c>
      <c r="T259" s="61">
        <v>0</v>
      </c>
      <c r="U259" s="34">
        <f>IF(OR(ISBLANK($R259),ISBLANK(S259)),"NA",$R259*S259)</f>
        <v>1</v>
      </c>
      <c r="V259" s="34">
        <f>IF(OR(ISBLANK($R259),ISBLANK(T259)),"NA",$R259*T259)</f>
        <v>0</v>
      </c>
      <c r="W259" s="34"/>
      <c r="X259" s="34"/>
    </row>
    <row r="260" spans="1:24" x14ac:dyDescent="0.2">
      <c r="A260" s="21"/>
      <c r="B260" s="21"/>
      <c r="C260" s="20">
        <v>2017</v>
      </c>
      <c r="D260" s="32">
        <f>SUM(E260:M260)</f>
        <v>3484363</v>
      </c>
      <c r="E260" s="33">
        <v>3484363</v>
      </c>
      <c r="F260" s="33"/>
      <c r="G260" s="22"/>
      <c r="H260" s="22"/>
      <c r="I260" s="22"/>
      <c r="J260" s="22"/>
      <c r="K260" s="22"/>
      <c r="L260" s="22"/>
      <c r="M260" s="22"/>
      <c r="N260" s="21"/>
      <c r="O260" s="21"/>
      <c r="P260" s="21"/>
      <c r="Q260" s="21" t="str">
        <f t="shared" si="124"/>
        <v>EE2017ASSETS</v>
      </c>
      <c r="R260" s="61">
        <f>E260/D260</f>
        <v>1</v>
      </c>
      <c r="S260" s="61">
        <f>E260/E260</f>
        <v>1</v>
      </c>
      <c r="T260" s="61">
        <v>0</v>
      </c>
      <c r="U260" s="34">
        <f t="shared" ref="U260:V260" si="125">IF(OR(ISBLANK($R260),ISBLANK(S260)),"NA",$R260*S260)</f>
        <v>1</v>
      </c>
      <c r="V260" s="34">
        <f t="shared" si="125"/>
        <v>0</v>
      </c>
      <c r="W260" s="34"/>
      <c r="X260" s="34"/>
    </row>
    <row r="261" spans="1:24" x14ac:dyDescent="0.2">
      <c r="D261" s="76"/>
    </row>
    <row r="264" spans="1:24" x14ac:dyDescent="0.2">
      <c r="A264" s="18" t="s">
        <v>40</v>
      </c>
      <c r="B264" s="19"/>
      <c r="C264" s="20"/>
      <c r="D264" s="21"/>
      <c r="E264" s="33"/>
      <c r="F264" s="33"/>
      <c r="G264" s="33"/>
      <c r="H264" s="33"/>
    </row>
    <row r="265" spans="1:24" x14ac:dyDescent="0.2">
      <c r="A265" s="21" t="s">
        <v>196</v>
      </c>
      <c r="B265" s="19"/>
      <c r="C265" s="20"/>
      <c r="D265" s="21"/>
      <c r="E265" s="33"/>
      <c r="F265" s="33"/>
      <c r="G265" s="33"/>
      <c r="H265" s="33"/>
    </row>
    <row r="266" spans="1:24" ht="63.75" x14ac:dyDescent="0.2">
      <c r="A266" s="18" t="s">
        <v>41</v>
      </c>
      <c r="B266" s="19"/>
      <c r="C266" s="20"/>
      <c r="D266" s="20" t="s">
        <v>75</v>
      </c>
      <c r="E266" s="35" t="s">
        <v>99</v>
      </c>
      <c r="F266" s="35" t="s">
        <v>197</v>
      </c>
      <c r="G266" s="35" t="s">
        <v>198</v>
      </c>
      <c r="H266" s="35" t="s">
        <v>76</v>
      </c>
      <c r="I266" s="104"/>
      <c r="Q266" s="123"/>
      <c r="R266" s="30" t="s">
        <v>77</v>
      </c>
      <c r="S266" s="59" t="s">
        <v>78</v>
      </c>
      <c r="T266" s="59" t="s">
        <v>79</v>
      </c>
      <c r="U266" s="59" t="s">
        <v>80</v>
      </c>
      <c r="V266" s="59" t="s">
        <v>81</v>
      </c>
      <c r="W266" s="60"/>
      <c r="X266" s="60"/>
    </row>
    <row r="267" spans="1:24" x14ac:dyDescent="0.2">
      <c r="A267" s="18"/>
      <c r="B267" s="19"/>
      <c r="C267" s="20">
        <v>2019</v>
      </c>
      <c r="D267" s="32">
        <f>SUM(E267:H267)</f>
        <v>10878673</v>
      </c>
      <c r="E267" s="35">
        <v>9583985</v>
      </c>
      <c r="F267" s="35">
        <v>1294719</v>
      </c>
      <c r="G267" s="35">
        <v>21</v>
      </c>
      <c r="H267" s="35">
        <v>-52</v>
      </c>
      <c r="Q267" s="23" t="str">
        <f>$A$266&amp;C267&amp;"REV"</f>
        <v>ETR2019REV</v>
      </c>
      <c r="R267" s="61">
        <f>E267/D267</f>
        <v>0.88098842570228919</v>
      </c>
      <c r="S267" s="62">
        <f>SUMIF('FERC Form 1_2 Data'!$C$11:$C$179,$A264,'FERC Form 1_2 Data'!$D$11:$D$179)/SUM(SUMIF('FERC Form 1_2 Data'!$C$11:$C$179,$A264,'FERC Form 1_2 Data'!$D$11:$D$179),SUMIF('FERC Form 1_2 Data'!$C$11:$C$179,$A264,'FERC Form 1_2 Data'!$E$11:$E$179),SUMIF('FERC Form 1_2 Data'!$C$11:$C$179,$A264,'FERC Form 1_2 Data'!$F$11:$F$179))</f>
        <v>0.98443853599339504</v>
      </c>
      <c r="T267" s="62">
        <f>SUMIF('FERC Form 1_2 Data'!$C$11:$C$179,$A264,'FERC Form 1_2 Data'!$E$11:$E$179)/SUM(SUMIF('FERC Form 1_2 Data'!$C$11:$C$179,$A264,'FERC Form 1_2 Data'!$D$11:$D$179),SUMIF('FERC Form 1_2 Data'!$C$11:$C$179,$A264,'FERC Form 1_2 Data'!$E$11:$E$179),SUMIF('FERC Form 1_2 Data'!$C$11:$C$179,$A264,'FERC Form 1_2 Data'!$F$11:$F$179))</f>
        <v>1.5561464006604953E-2</v>
      </c>
      <c r="U267" s="63">
        <f>IF(OR(ISBLANK($R267),ISBLANK(S267)),"NA",$R267*S267)</f>
        <v>0.86727895602548744</v>
      </c>
      <c r="V267" s="63">
        <f>IF(OR(ISBLANK($R267),ISBLANK(T267)),"NA",$R267*T267)</f>
        <v>1.3709469676801735E-2</v>
      </c>
      <c r="W267" s="63"/>
      <c r="X267" s="63"/>
    </row>
    <row r="268" spans="1:24" x14ac:dyDescent="0.2">
      <c r="A268" s="21"/>
      <c r="B268" s="19" t="s">
        <v>82</v>
      </c>
      <c r="C268" s="20">
        <v>2018</v>
      </c>
      <c r="D268" s="32">
        <f t="shared" ref="D268:D269" si="126">SUM(E268:H268)</f>
        <v>11009452</v>
      </c>
      <c r="E268" s="35">
        <v>9540670</v>
      </c>
      <c r="F268" s="35">
        <v>1468905</v>
      </c>
      <c r="G268" s="35" t="s">
        <v>91</v>
      </c>
      <c r="H268" s="35">
        <v>-123</v>
      </c>
      <c r="Q268" s="23" t="str">
        <f>$A$266&amp;C268&amp;"REV"</f>
        <v>ETR2018REV</v>
      </c>
      <c r="R268" s="61">
        <f t="shared" ref="R268:R269" si="127">E268/D268</f>
        <v>0.86658900007012152</v>
      </c>
      <c r="S268" s="62">
        <f>SUMIF('FERC Form 1_2 Data'!$C$11:$C$179,$A264,'FERC Form 1_2 Data'!$G$11:$G$179)/SUM(SUMIF('FERC Form 1_2 Data'!$C$11:$C$179,$A264,'FERC Form 1_2 Data'!$G$11:$G$179),SUMIF('FERC Form 1_2 Data'!$C$11:$C$179,$A264,'FERC Form 1_2 Data'!$H$11:$H$179),SUMIF('FERC Form 1_2 Data'!$C$11:$C$179,$A264,'FERC Form 1_2 Data'!$I$11:$I$179))</f>
        <v>0.98413066257751636</v>
      </c>
      <c r="T268" s="62">
        <f>SUMIF('FERC Form 1_2 Data'!$C$11:$C$179,$A264,'FERC Form 1_2 Data'!$H$11:$H$179)/SUM(SUMIF('FERC Form 1_2 Data'!$C$11:$C$179,$A264,'FERC Form 1_2 Data'!$G$11:$G$179),SUMIF('FERC Form 1_2 Data'!$C$11:$C$179,$A264,'FERC Form 1_2 Data'!$H$11:$H$179),SUMIF('FERC Form 1_2 Data'!$C$11:$C$179,$A264,'FERC Form 1_2 Data'!$I$11:$I$179))</f>
        <v>1.586933742248359E-2</v>
      </c>
      <c r="U268" s="63">
        <f t="shared" ref="U268:V269" si="128">IF(OR(ISBLANK($R268),ISBLANK(S268)),"NA",$R268*S268)</f>
        <v>0.85283680682139607</v>
      </c>
      <c r="V268" s="63">
        <f t="shared" si="128"/>
        <v>1.3752193248725415E-2</v>
      </c>
      <c r="W268" s="63"/>
      <c r="X268" s="63"/>
    </row>
    <row r="269" spans="1:24" x14ac:dyDescent="0.2">
      <c r="A269" s="21"/>
      <c r="B269" s="19"/>
      <c r="C269" s="20">
        <v>2017</v>
      </c>
      <c r="D269" s="32">
        <f t="shared" si="126"/>
        <v>11074481</v>
      </c>
      <c r="E269" s="51">
        <v>9417866</v>
      </c>
      <c r="F269" s="35">
        <v>1656730</v>
      </c>
      <c r="G269" s="51">
        <v>0</v>
      </c>
      <c r="H269" s="51">
        <v>-115</v>
      </c>
      <c r="Q269" s="23" t="str">
        <f>$A$266&amp;C269&amp;"REV"</f>
        <v>ETR2017REV</v>
      </c>
      <c r="R269" s="61">
        <f t="shared" si="127"/>
        <v>0.85041150009648303</v>
      </c>
      <c r="S269" s="62">
        <f>SUMIF('FERC Form 1_2 Data'!$C$11:$C$179,$A264,'FERC Form 1_2 Data'!$J$11:$J$179)/SUM(SUMIF('FERC Form 1_2 Data'!$C$11:$C$179,$A264,'FERC Form 1_2 Data'!$J$11:$J$179),SUMIF('FERC Form 1_2 Data'!$C$11:$C$179,$A264,'FERC Form 1_2 Data'!$K$11:$K$179),SUMIF('FERC Form 1_2 Data'!$C$11:$C$179,$A264,'FERC Form 1_2 Data'!$L$11:$L$179))</f>
        <v>0.98574879727192344</v>
      </c>
      <c r="T269" s="62">
        <f>SUMIF('FERC Form 1_2 Data'!$C$11:$C$179,$A264,'FERC Form 1_2 Data'!$K$11:$K$179)/SUM(SUMIF('FERC Form 1_2 Data'!$C$11:$C$179,$A264,'FERC Form 1_2 Data'!$J$11:$J$179),SUMIF('FERC Form 1_2 Data'!$C$11:$C$179,$A264,'FERC Form 1_2 Data'!$K$11:$K$179),SUMIF('FERC Form 1_2 Data'!$C$11:$C$179,$A264,'FERC Form 1_2 Data'!$L$11:$L$179))</f>
        <v>1.4251202728076543E-2</v>
      </c>
      <c r="U269" s="63">
        <f t="shared" si="128"/>
        <v>0.83829211340632037</v>
      </c>
      <c r="V269" s="63">
        <f t="shared" si="128"/>
        <v>1.2119386690162664E-2</v>
      </c>
      <c r="W269" s="63"/>
      <c r="X269" s="63"/>
    </row>
    <row r="270" spans="1:24" x14ac:dyDescent="0.2">
      <c r="A270" s="21"/>
      <c r="B270" s="19"/>
      <c r="C270" s="20"/>
      <c r="D270" s="32"/>
      <c r="E270" s="33"/>
      <c r="F270" s="33"/>
      <c r="G270" s="33"/>
      <c r="H270" s="33"/>
      <c r="R270" s="124"/>
    </row>
    <row r="271" spans="1:24" x14ac:dyDescent="0.2">
      <c r="A271" s="21"/>
      <c r="B271" s="19"/>
      <c r="C271" s="20">
        <v>2019</v>
      </c>
      <c r="D271" s="32">
        <f>SUM(E271:H271)</f>
        <v>1810687</v>
      </c>
      <c r="E271" s="27">
        <f>1452643+752182+36476-13488</f>
        <v>2227813</v>
      </c>
      <c r="F271" s="27">
        <f>148870+107730-4244-382359</f>
        <v>-130003</v>
      </c>
      <c r="G271" s="27">
        <f>+-316269+7089+2845+19212</f>
        <v>-287123</v>
      </c>
      <c r="Q271" s="23" t="str">
        <f>$A$266&amp;C271&amp;"INC"</f>
        <v>ETR2019INC</v>
      </c>
      <c r="R271" s="61">
        <f>IF(E271/D271&gt;100%,100%, E271/D271)</f>
        <v>1</v>
      </c>
      <c r="S271" s="62">
        <f>SUMIF('FERC Form 1_2 Data'!$C$11:$C$179,$A264,'FERC Form 1_2 Data'!$Y$11:$Y$179)/SUMIF('FERC Form 1_2 Data'!$C$11:$C$179,$A264,'FERC Form 1_2 Data'!$EA$11:$EA$179)</f>
        <v>0.99019117942183277</v>
      </c>
      <c r="T271" s="62">
        <f>SUMIF('FERC Form 1_2 Data'!$C$11:$C$179,$A264,'FERC Form 1_2 Data'!$BL$11:$BL$179)/SUMIF('FERC Form 1_2 Data'!$C$11:$C$179,$A264,'FERC Form 1_2 Data'!$EA$11:$EA$179)</f>
        <v>9.8088205781672374E-3</v>
      </c>
      <c r="U271" s="63">
        <f>IF(OR(ISBLANK($R271),ISBLANK(S271)),"NA",$R271*S271)</f>
        <v>0.99019117942183277</v>
      </c>
      <c r="V271" s="63">
        <f>IF(OR(ISBLANK($R271),ISBLANK(T271)),"NA",$R271*T271)</f>
        <v>9.8088205781672374E-3</v>
      </c>
      <c r="W271" s="63"/>
      <c r="X271" s="63"/>
    </row>
    <row r="272" spans="1:24" x14ac:dyDescent="0.2">
      <c r="A272" s="21"/>
      <c r="B272" s="19" t="s">
        <v>83</v>
      </c>
      <c r="C272" s="20">
        <v>2018</v>
      </c>
      <c r="D272" s="32">
        <f t="shared" ref="D272:D273" si="129">SUM(E272:H272)</f>
        <v>469213</v>
      </c>
      <c r="E272" s="33">
        <f>1495061+-732548+552919-203936</f>
        <v>1111496</v>
      </c>
      <c r="F272" s="33">
        <f>-340641+-269025+33694-14543</f>
        <v>-590515</v>
      </c>
      <c r="G272" s="33">
        <f>-164271+-35253+179358-31602</f>
        <v>-51768</v>
      </c>
      <c r="H272" s="33">
        <f>-127594+0+-58623+186217</f>
        <v>0</v>
      </c>
      <c r="Q272" s="23" t="str">
        <f>$A$266&amp;C272&amp;"INC"</f>
        <v>ETR2018INC</v>
      </c>
      <c r="R272" s="61">
        <f t="shared" ref="R272:R273" si="130">IF(E272/D272&gt;100%,100%, E272/D272)</f>
        <v>1</v>
      </c>
      <c r="S272" s="62">
        <f>SUMIF('FERC Form 1_2 Data'!$C$11:$C$179,$A264,'FERC Form 1_2 Data'!$AL$11:$AL$179)/SUMIF('FERC Form 1_2 Data'!$C$11:$C$179,$A264,'FERC Form 1_2 Data'!$EB$11:$EB$179)</f>
        <v>0.98550110070894048</v>
      </c>
      <c r="T272" s="62">
        <f>SUMIF('FERC Form 1_2 Data'!$C$11:$C$179,$A264,'FERC Form 1_2 Data'!$BY$11:$BY$179)/SUMIF('FERC Form 1_2 Data'!$C$11:$C$179,$A264,'FERC Form 1_2 Data'!$EB$11:$EB$179)</f>
        <v>1.4498899291059544E-2</v>
      </c>
      <c r="U272" s="63">
        <f t="shared" ref="U272:V273" si="131">IF(OR(ISBLANK($R272),ISBLANK(S272)),"NA",$R272*S272)</f>
        <v>0.98550110070894048</v>
      </c>
      <c r="V272" s="63">
        <f t="shared" si="131"/>
        <v>1.4498899291059544E-2</v>
      </c>
      <c r="W272" s="63"/>
      <c r="X272" s="63"/>
    </row>
    <row r="273" spans="1:26" x14ac:dyDescent="0.2">
      <c r="A273" s="21"/>
      <c r="B273" s="19"/>
      <c r="C273" s="20">
        <v>2017</v>
      </c>
      <c r="D273" s="32">
        <f t="shared" si="129"/>
        <v>1342069</v>
      </c>
      <c r="E273" s="33">
        <f>773148+794616+547301-218317</f>
        <v>1896748</v>
      </c>
      <c r="F273" s="33">
        <f>-172335-146480+23714-224121</f>
        <v>-519222</v>
      </c>
      <c r="G273" s="33">
        <f>-47840+-105566+139619-21669</f>
        <v>-35456</v>
      </c>
      <c r="H273" s="33">
        <f>-127620+0-48291+175910</f>
        <v>-1</v>
      </c>
      <c r="Q273" s="23" t="str">
        <f>$A$266&amp;C273&amp;"INC"</f>
        <v>ETR2017INC</v>
      </c>
      <c r="R273" s="61">
        <f t="shared" si="130"/>
        <v>1</v>
      </c>
      <c r="S273" s="62">
        <f>SUMIF('FERC Form 1_2 Data'!$C$11:$C$179,$A264,'FERC Form 1_2 Data'!$AY$11:$AY$179)/SUMIF('FERC Form 1_2 Data'!$C$11:$C$179,$A264,'FERC Form 1_2 Data'!$EC$11:$EC$179)</f>
        <v>0.98909643830367877</v>
      </c>
      <c r="T273" s="62">
        <f>SUMIF('FERC Form 1_2 Data'!$C$11:$C$179,$A264,'FERC Form 1_2 Data'!$CL$11:$CL$179)/SUMIF('FERC Form 1_2 Data'!$C$11:$C$179,$A264,'FERC Form 1_2 Data'!$EC$11:$EC$179)</f>
        <v>1.090356169632118E-2</v>
      </c>
      <c r="U273" s="63">
        <f t="shared" si="131"/>
        <v>0.98909643830367877</v>
      </c>
      <c r="V273" s="63">
        <f t="shared" si="131"/>
        <v>1.090356169632118E-2</v>
      </c>
      <c r="W273" s="63"/>
      <c r="X273" s="63"/>
    </row>
    <row r="274" spans="1:26" x14ac:dyDescent="0.2">
      <c r="A274" s="21"/>
      <c r="B274" s="19"/>
      <c r="C274" s="20"/>
      <c r="D274" s="32"/>
      <c r="E274" s="33"/>
      <c r="F274" s="33"/>
      <c r="G274" s="33"/>
      <c r="H274" s="33"/>
      <c r="R274" s="21"/>
    </row>
    <row r="275" spans="1:26" x14ac:dyDescent="0.2">
      <c r="A275" s="21"/>
      <c r="B275" s="19"/>
      <c r="C275" s="20">
        <v>2019</v>
      </c>
      <c r="D275" s="32">
        <f>SUM(E275:H275)</f>
        <v>51723912</v>
      </c>
      <c r="E275" s="27">
        <v>49557664</v>
      </c>
      <c r="F275" s="27">
        <v>4154961</v>
      </c>
      <c r="G275" s="27">
        <v>514020</v>
      </c>
      <c r="H275" s="27">
        <v>-2502733</v>
      </c>
      <c r="Q275" s="23" t="str">
        <f>$A$266&amp;C275&amp;"ASSETS"</f>
        <v>ETR2019ASSETS</v>
      </c>
      <c r="R275" s="61">
        <f>E275/D275</f>
        <v>0.95811902239722313</v>
      </c>
      <c r="S275" s="62">
        <f>SUMIF('FERC Form 1_2 Data'!$C$11:$C$179,$A264,'FERC Form 1_2 Data'!$EJ$11:$EJ$179)/(SUMIF('FERC Form 1_2 Data'!$C$11:$C$179,$A264,'FERC Form 1_2 Data'!$EN$11:$EN$179))</f>
        <v>0.99054356310986957</v>
      </c>
      <c r="T275" s="62">
        <f>SUMIF('FERC Form 1_2 Data'!$C$11:$C$179,$A264,'FERC Form 1_2 Data'!$EK$11:$EK$179)/(SUMIF('FERC Form 1_2 Data'!$C$11:$C$179,$A264,'FERC Form 1_2 Data'!$EN$11:$EN$179))</f>
        <v>9.4564368901303777E-3</v>
      </c>
      <c r="U275" s="63">
        <f>IF(OR(ISBLANK($R275),ISBLANK(S275)),"NA",$R275*S275)</f>
        <v>0.94905863032869031</v>
      </c>
      <c r="V275" s="63">
        <f>IF(OR(ISBLANK($R275),ISBLANK(T275)),"NA",$R275*T275)</f>
        <v>9.0603920685327546E-3</v>
      </c>
      <c r="W275" s="63"/>
      <c r="X275" s="63"/>
    </row>
    <row r="276" spans="1:26" x14ac:dyDescent="0.2">
      <c r="A276" s="21"/>
      <c r="B276" s="19" t="s">
        <v>84</v>
      </c>
      <c r="C276" s="20">
        <v>2018</v>
      </c>
      <c r="D276" s="32">
        <f t="shared" ref="D276:D277" si="132">SUM(E276:H276)</f>
        <v>48275066</v>
      </c>
      <c r="E276" s="33">
        <v>44777167</v>
      </c>
      <c r="F276" s="33">
        <v>5459275</v>
      </c>
      <c r="G276" s="33">
        <v>733366</v>
      </c>
      <c r="H276" s="33">
        <v>-2694742</v>
      </c>
      <c r="Q276" s="23" t="str">
        <f>$A$266&amp;C276&amp;"ASSETS"</f>
        <v>ETR2018ASSETS</v>
      </c>
      <c r="R276" s="61">
        <f t="shared" ref="R276:R277" si="133">E276/D276</f>
        <v>0.92754232588723962</v>
      </c>
      <c r="S276" s="62">
        <f>SUMIF('FERC Form 1_2 Data'!$C$11:$C$179,$A264,'FERC Form 1_2 Data'!$EP$11:$EP$179)/(SUMIF('FERC Form 1_2 Data'!$C$11:$C$179,$A264,'FERC Form 1_2 Data'!$ET$11:$ET$179))</f>
        <v>0.9902568241007248</v>
      </c>
      <c r="T276" s="62">
        <f>SUMIF('FERC Form 1_2 Data'!$C$11:$C$179,$A264,'FERC Form 1_2 Data'!$EQ$11:$EQ$179)/(SUMIF('FERC Form 1_2 Data'!$C$11:$C$179,$A264,'FERC Form 1_2 Data'!$ET$11:$ET$179))</f>
        <v>9.7431758992752252E-3</v>
      </c>
      <c r="U276" s="63">
        <f t="shared" ref="U276:V277" si="134">IF(OR(ISBLANK($R276),ISBLANK(S276)),"NA",$R276*S276)</f>
        <v>0.91850511785209743</v>
      </c>
      <c r="V276" s="63">
        <f t="shared" si="134"/>
        <v>9.0372080351422395E-3</v>
      </c>
      <c r="W276" s="63"/>
      <c r="X276" s="63"/>
    </row>
    <row r="277" spans="1:26" x14ac:dyDescent="0.2">
      <c r="A277" s="21"/>
      <c r="B277" s="21"/>
      <c r="C277" s="20">
        <v>2017</v>
      </c>
      <c r="D277" s="32">
        <f t="shared" si="132"/>
        <v>46707149</v>
      </c>
      <c r="E277" s="33">
        <v>42978669</v>
      </c>
      <c r="F277" s="33">
        <v>5638009</v>
      </c>
      <c r="G277" s="33">
        <v>1011612</v>
      </c>
      <c r="H277" s="33">
        <v>-2921141</v>
      </c>
      <c r="Q277" s="23" t="str">
        <f>$A$266&amp;C277&amp;"ASSETS"</f>
        <v>ETR2017ASSETS</v>
      </c>
      <c r="R277" s="61">
        <f t="shared" si="133"/>
        <v>0.92017324799678957</v>
      </c>
      <c r="S277" s="62">
        <f>SUMIF('FERC Form 1_2 Data'!$C$11:$C$179,$A264,'FERC Form 1_2 Data'!$EV$11:$EV$179)/(SUMIF('FERC Form 1_2 Data'!$C$11:$C$179,$A264,'FERC Form 1_2 Data'!$EZ$11:$EZ$179))</f>
        <v>0.99060477840324068</v>
      </c>
      <c r="T277" s="62">
        <f>SUMIF('FERC Form 1_2 Data'!$C$11:$C$179,$A264,'FERC Form 1_2 Data'!$EW$11:$EW$179)/(SUMIF('FERC Form 1_2 Data'!$C$11:$C$179,$A264,'FERC Form 1_2 Data'!$EZ$11:$EZ$179))</f>
        <v>9.3952215967592831E-3</v>
      </c>
      <c r="U277" s="63">
        <f t="shared" si="134"/>
        <v>0.91152801642444992</v>
      </c>
      <c r="V277" s="63">
        <f t="shared" si="134"/>
        <v>8.6452315723395731E-3</v>
      </c>
      <c r="W277" s="63"/>
      <c r="X277" s="63"/>
    </row>
    <row r="278" spans="1:26" x14ac:dyDescent="0.2">
      <c r="D278" s="76"/>
    </row>
    <row r="281" spans="1:26" x14ac:dyDescent="0.2">
      <c r="A281" s="18" t="s">
        <v>199</v>
      </c>
      <c r="B281" s="19"/>
      <c r="C281" s="20"/>
      <c r="D281" s="21"/>
      <c r="E281" s="33"/>
      <c r="F281" s="33"/>
      <c r="G281" s="33"/>
      <c r="H281" s="33"/>
      <c r="I281" s="33"/>
      <c r="J281" s="22"/>
      <c r="K281" s="22"/>
      <c r="L281" s="22"/>
      <c r="M281" s="22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6" x14ac:dyDescent="0.2">
      <c r="A282" s="24" t="s">
        <v>200</v>
      </c>
      <c r="B282" s="19"/>
      <c r="C282" s="20"/>
      <c r="D282" s="21"/>
      <c r="E282" s="33"/>
      <c r="F282" s="33"/>
      <c r="G282" s="33"/>
      <c r="H282" s="33"/>
      <c r="I282" s="33"/>
      <c r="J282" s="22"/>
      <c r="K282" s="22"/>
      <c r="L282" s="22"/>
      <c r="M282" s="22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6" ht="63.75" x14ac:dyDescent="0.2">
      <c r="A283" s="18" t="s">
        <v>201</v>
      </c>
      <c r="B283" s="19"/>
      <c r="C283" s="20"/>
      <c r="D283" s="31" t="s">
        <v>75</v>
      </c>
      <c r="E283" s="35" t="s">
        <v>86</v>
      </c>
      <c r="F283" s="35" t="s">
        <v>85</v>
      </c>
      <c r="G283" s="35" t="s">
        <v>202</v>
      </c>
      <c r="H283" s="53" t="s">
        <v>203</v>
      </c>
      <c r="I283" s="35" t="s">
        <v>88</v>
      </c>
      <c r="J283" s="35" t="s">
        <v>76</v>
      </c>
      <c r="K283" s="22"/>
      <c r="L283" s="22"/>
      <c r="M283" s="22"/>
      <c r="N283" s="21"/>
      <c r="O283" s="21"/>
      <c r="P283" s="21"/>
      <c r="Q283" s="29"/>
      <c r="R283" s="30" t="s">
        <v>77</v>
      </c>
      <c r="S283" s="30" t="s">
        <v>78</v>
      </c>
      <c r="T283" s="30" t="s">
        <v>79</v>
      </c>
      <c r="U283" s="30" t="s">
        <v>80</v>
      </c>
      <c r="V283" s="30" t="s">
        <v>81</v>
      </c>
      <c r="W283" s="31"/>
      <c r="X283" s="31"/>
    </row>
    <row r="284" spans="1:26" x14ac:dyDescent="0.2">
      <c r="A284" s="18"/>
      <c r="B284" s="19"/>
      <c r="C284" s="20">
        <v>2019</v>
      </c>
      <c r="D284" s="32">
        <f>SUM(E284:J284)</f>
        <v>8526.5</v>
      </c>
      <c r="E284" s="35">
        <v>6976.5</v>
      </c>
      <c r="F284" s="35">
        <v>1062.2</v>
      </c>
      <c r="G284" s="35">
        <v>1389</v>
      </c>
      <c r="H284" s="35">
        <v>214.6</v>
      </c>
      <c r="I284" s="35">
        <v>1028.5</v>
      </c>
      <c r="J284" s="35">
        <v>-2144.3000000000002</v>
      </c>
      <c r="K284" s="22"/>
      <c r="L284" s="22"/>
      <c r="M284" s="22"/>
      <c r="N284" s="21"/>
      <c r="O284" s="21"/>
      <c r="P284" s="21"/>
      <c r="Q284" s="21" t="str">
        <f>$A$283&amp;C284&amp;"REV"</f>
        <v>ES2019REV</v>
      </c>
      <c r="R284" s="61">
        <f>IF(SUM(E284:G284)/D284&gt;100%,100%,SUM(E284:G284)/D284)</f>
        <v>1</v>
      </c>
      <c r="S284" s="61">
        <f>SUM(E284,G284)/SUM(E284:G284)</f>
        <v>0.88733201098889436</v>
      </c>
      <c r="T284" s="61">
        <f>F284/SUM(E284:G284)</f>
        <v>0.11266798901110557</v>
      </c>
      <c r="U284" s="34">
        <f t="shared" ref="U284:V286" si="135">IF(OR(ISBLANK($R284),ISBLANK(S284)),"NA",$R284*S284)</f>
        <v>0.88733201098889436</v>
      </c>
      <c r="V284" s="34">
        <f t="shared" si="135"/>
        <v>0.11266798901110557</v>
      </c>
      <c r="W284" s="34"/>
      <c r="X284" s="34"/>
    </row>
    <row r="285" spans="1:26" x14ac:dyDescent="0.2">
      <c r="A285" s="21"/>
      <c r="B285" s="19" t="s">
        <v>82</v>
      </c>
      <c r="C285" s="20">
        <v>2018</v>
      </c>
      <c r="D285" s="32">
        <f t="shared" ref="D285:D286" si="136">SUM(E285:J285)</f>
        <v>8448.1999999999989</v>
      </c>
      <c r="E285" s="35">
        <v>6957.2</v>
      </c>
      <c r="F285" s="35">
        <v>1022.2</v>
      </c>
      <c r="G285" s="51">
        <v>1286.3</v>
      </c>
      <c r="H285" s="35">
        <v>212</v>
      </c>
      <c r="I285" s="51">
        <v>936.3</v>
      </c>
      <c r="J285" s="51">
        <v>-1965.8</v>
      </c>
      <c r="K285" s="22"/>
      <c r="L285" s="22"/>
      <c r="M285" s="22"/>
      <c r="N285" s="21"/>
      <c r="O285" s="21"/>
      <c r="P285" s="21"/>
      <c r="Q285" s="21" t="str">
        <f t="shared" ref="Q285:Q286" si="137">$A$283&amp;C285&amp;"REV"</f>
        <v>ES2018REV</v>
      </c>
      <c r="R285" s="61">
        <f t="shared" ref="R285:R286" si="138">IF(SUM(E285:G285)/D285&gt;100%,100%,SUM(E285:G285)/D285)</f>
        <v>1</v>
      </c>
      <c r="S285" s="61">
        <f>SUM(E285,G285)/SUM(E285:G285)</f>
        <v>0.88967913919077901</v>
      </c>
      <c r="T285" s="61">
        <f>F285/SUM(E285:G285)</f>
        <v>0.11032086080922113</v>
      </c>
      <c r="U285" s="34">
        <f t="shared" si="135"/>
        <v>0.88967913919077901</v>
      </c>
      <c r="V285" s="34">
        <f t="shared" si="135"/>
        <v>0.11032086080922113</v>
      </c>
      <c r="W285" s="34"/>
      <c r="X285" s="34"/>
    </row>
    <row r="286" spans="1:26" x14ac:dyDescent="0.2">
      <c r="A286" s="21"/>
      <c r="B286" s="19"/>
      <c r="C286" s="20">
        <v>2017</v>
      </c>
      <c r="D286" s="32">
        <f t="shared" si="136"/>
        <v>7751.9999999999991</v>
      </c>
      <c r="E286" s="35">
        <v>5542.9</v>
      </c>
      <c r="F286" s="35">
        <v>947.3</v>
      </c>
      <c r="G286" s="51">
        <v>1301.7</v>
      </c>
      <c r="H286" s="35">
        <v>15.9</v>
      </c>
      <c r="I286" s="51">
        <v>931</v>
      </c>
      <c r="J286" s="51">
        <v>-986.8</v>
      </c>
      <c r="K286" s="22"/>
      <c r="L286" s="22"/>
      <c r="M286" s="22"/>
      <c r="N286" s="21"/>
      <c r="O286" s="21"/>
      <c r="P286" s="21"/>
      <c r="Q286" s="21" t="str">
        <f t="shared" si="137"/>
        <v>ES2017REV</v>
      </c>
      <c r="R286" s="61">
        <f t="shared" si="138"/>
        <v>1</v>
      </c>
      <c r="S286" s="61">
        <f>SUM(E286,G286)/SUM(E286:G286)</f>
        <v>0.87842503112206261</v>
      </c>
      <c r="T286" s="61">
        <f>F286/SUM(E286:G286)</f>
        <v>0.12157496887793734</v>
      </c>
      <c r="U286" s="34">
        <f t="shared" si="135"/>
        <v>0.87842503112206261</v>
      </c>
      <c r="V286" s="34">
        <f t="shared" si="135"/>
        <v>0.12157496887793734</v>
      </c>
      <c r="W286" s="34"/>
      <c r="X286" s="34"/>
    </row>
    <row r="287" spans="1:26" x14ac:dyDescent="0.2">
      <c r="A287" s="21"/>
      <c r="B287" s="19"/>
      <c r="C287" s="20"/>
      <c r="D287" s="21"/>
      <c r="E287" s="33"/>
      <c r="F287" s="33"/>
      <c r="G287" s="33"/>
      <c r="H287" s="35"/>
      <c r="I287" s="33"/>
      <c r="J287" s="33"/>
      <c r="K287" s="22"/>
      <c r="L287" s="22"/>
      <c r="M287" s="22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Z287" s="64"/>
    </row>
    <row r="288" spans="1:26" x14ac:dyDescent="0.2">
      <c r="A288" s="21"/>
      <c r="B288" s="19"/>
      <c r="C288" s="20">
        <v>2019</v>
      </c>
      <c r="D288" s="32">
        <f>SUM(E288:J288)</f>
        <v>1590.5</v>
      </c>
      <c r="E288" s="33">
        <v>800.1</v>
      </c>
      <c r="F288" s="33">
        <v>163.1</v>
      </c>
      <c r="G288" s="33">
        <v>484.9</v>
      </c>
      <c r="H288" s="35">
        <v>66.7</v>
      </c>
      <c r="I288" s="33">
        <v>74</v>
      </c>
      <c r="J288" s="33">
        <v>1.7</v>
      </c>
      <c r="K288" s="22"/>
      <c r="L288" s="22"/>
      <c r="M288" s="22"/>
      <c r="N288" s="21"/>
      <c r="O288" s="21"/>
      <c r="P288" s="21"/>
      <c r="Q288" s="21" t="str">
        <f>$A$283&amp;C288&amp;"INC"</f>
        <v>ES2019INC</v>
      </c>
      <c r="R288" s="61">
        <f>SUM(E288:G288)/D288</f>
        <v>0.91046840616158431</v>
      </c>
      <c r="S288" s="61">
        <f>SUM(E288,G288)/SUM(E288:G288)</f>
        <v>0.88736965679165813</v>
      </c>
      <c r="T288" s="61">
        <f>F288/SUM(E288:G288)</f>
        <v>0.11263034320834196</v>
      </c>
      <c r="U288" s="34">
        <f t="shared" ref="U288:V290" si="139">IF(OR(ISBLANK($R288),ISBLANK(S288)),"NA",$R288*S288)</f>
        <v>0.80792203709525312</v>
      </c>
      <c r="V288" s="34">
        <f t="shared" si="139"/>
        <v>0.10254636906633133</v>
      </c>
      <c r="W288" s="34"/>
      <c r="X288" s="34"/>
    </row>
    <row r="289" spans="1:26" x14ac:dyDescent="0.2">
      <c r="A289" s="21"/>
      <c r="B289" s="19" t="s">
        <v>83</v>
      </c>
      <c r="C289" s="20">
        <v>2018</v>
      </c>
      <c r="D289" s="32">
        <f>SUM(E289:J289)</f>
        <v>1699.9</v>
      </c>
      <c r="E289" s="33">
        <v>736.8</v>
      </c>
      <c r="F289" s="33">
        <v>159.6</v>
      </c>
      <c r="G289" s="33">
        <v>679</v>
      </c>
      <c r="H289" s="35">
        <v>65.7</v>
      </c>
      <c r="I289" s="33">
        <v>55.7</v>
      </c>
      <c r="J289" s="33">
        <v>3.1</v>
      </c>
      <c r="K289" s="22"/>
      <c r="L289" s="22"/>
      <c r="M289" s="22"/>
      <c r="N289" s="21"/>
      <c r="O289" s="21"/>
      <c r="P289" s="21"/>
      <c r="Q289" s="21" t="str">
        <f t="shared" ref="Q289:Q290" si="140">$A$283&amp;C289&amp;"INC"</f>
        <v>ES2018INC</v>
      </c>
      <c r="R289" s="61">
        <f>SUM(E289:G289)/D289</f>
        <v>0.92676039767045115</v>
      </c>
      <c r="S289" s="61">
        <f>SUM(E289,G289)/SUM(E289:G289)</f>
        <v>0.89869239558207437</v>
      </c>
      <c r="T289" s="61">
        <f>F289/SUM(E289:G289)</f>
        <v>0.10130760441792559</v>
      </c>
      <c r="U289" s="34">
        <f t="shared" si="139"/>
        <v>0.83287252191305361</v>
      </c>
      <c r="V289" s="34">
        <f t="shared" si="139"/>
        <v>9.3887875757397474E-2</v>
      </c>
      <c r="W289" s="34"/>
      <c r="X289" s="34"/>
    </row>
    <row r="290" spans="1:26" x14ac:dyDescent="0.2">
      <c r="A290" s="21"/>
      <c r="B290" s="19"/>
      <c r="C290" s="20">
        <v>2017</v>
      </c>
      <c r="D290" s="32">
        <f>SUM(E290:J290)</f>
        <v>1888.2</v>
      </c>
      <c r="E290" s="33">
        <v>927.7</v>
      </c>
      <c r="F290" s="33">
        <v>158</v>
      </c>
      <c r="G290" s="33">
        <v>709.5</v>
      </c>
      <c r="H290" s="35">
        <v>3.9</v>
      </c>
      <c r="I290" s="33">
        <v>87</v>
      </c>
      <c r="J290" s="33">
        <v>2.1</v>
      </c>
      <c r="K290" s="22"/>
      <c r="L290" s="22"/>
      <c r="M290" s="22"/>
      <c r="N290" s="21"/>
      <c r="O290" s="21"/>
      <c r="P290" s="21"/>
      <c r="Q290" s="21" t="str">
        <f t="shared" si="140"/>
        <v>ES2017INC</v>
      </c>
      <c r="R290" s="61">
        <f>SUM(E290:G290)/D290</f>
        <v>0.95074674292977435</v>
      </c>
      <c r="S290" s="61">
        <f>SUM(E290,G290)/SUM(E290:G290)</f>
        <v>0.91198752228163993</v>
      </c>
      <c r="T290" s="61">
        <f>F290/SUM(E290:G290)</f>
        <v>8.8012477718360071E-2</v>
      </c>
      <c r="U290" s="34">
        <f t="shared" si="139"/>
        <v>0.86706916640186416</v>
      </c>
      <c r="V290" s="34">
        <f t="shared" si="139"/>
        <v>8.3677576527910177E-2</v>
      </c>
      <c r="W290" s="34"/>
      <c r="X290" s="34"/>
    </row>
    <row r="291" spans="1:26" x14ac:dyDescent="0.2">
      <c r="A291" s="21"/>
      <c r="B291" s="19"/>
      <c r="C291" s="20"/>
      <c r="D291" s="57"/>
      <c r="E291" s="33"/>
      <c r="F291" s="33"/>
      <c r="G291" s="33"/>
      <c r="H291" s="35"/>
      <c r="I291" s="33"/>
      <c r="J291" s="33"/>
      <c r="K291" s="22"/>
      <c r="L291" s="22"/>
      <c r="M291" s="22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Z291" s="64"/>
    </row>
    <row r="292" spans="1:26" x14ac:dyDescent="0.2">
      <c r="A292" s="21"/>
      <c r="B292" s="19"/>
      <c r="C292" s="20">
        <v>2019</v>
      </c>
      <c r="D292" s="32">
        <f>SUM(E292:J292)</f>
        <v>41123.899999999994</v>
      </c>
      <c r="E292" s="33">
        <v>22541.9</v>
      </c>
      <c r="F292" s="33">
        <v>4345.5</v>
      </c>
      <c r="G292" s="33">
        <v>10904</v>
      </c>
      <c r="H292" s="35">
        <v>2351.6999999999998</v>
      </c>
      <c r="I292" s="33">
        <v>20469.599999999999</v>
      </c>
      <c r="J292" s="33">
        <v>-19488.8</v>
      </c>
      <c r="K292" s="22"/>
      <c r="L292" s="22"/>
      <c r="M292" s="22"/>
      <c r="N292" s="21"/>
      <c r="O292" s="21"/>
      <c r="P292" s="21"/>
      <c r="Q292" s="21" t="str">
        <f>$A$283&amp;C292&amp;"ASSETS"</f>
        <v>ES2019ASSETS</v>
      </c>
      <c r="R292" s="61">
        <f>SUM(E292:G292)/D292</f>
        <v>0.91896439783191786</v>
      </c>
      <c r="S292" s="61">
        <f>SUM(E292,G292)/SUM(E292:G292)</f>
        <v>0.88501352159486024</v>
      </c>
      <c r="T292" s="61">
        <f>F292/SUM(E292:G292)</f>
        <v>0.11498647840513979</v>
      </c>
      <c r="U292" s="34">
        <f t="shared" ref="U292:V294" si="141">IF(OR(ISBLANK($R292),ISBLANK(S292)),"NA",$R292*S292)</f>
        <v>0.8132959179455258</v>
      </c>
      <c r="V292" s="34">
        <f t="shared" si="141"/>
        <v>0.10566847988639211</v>
      </c>
      <c r="W292" s="34"/>
      <c r="X292" s="34"/>
    </row>
    <row r="293" spans="1:26" x14ac:dyDescent="0.2">
      <c r="A293" s="21"/>
      <c r="B293" s="19" t="s">
        <v>84</v>
      </c>
      <c r="C293" s="20">
        <v>2018</v>
      </c>
      <c r="D293" s="32">
        <f>SUM(E293:J293)</f>
        <v>38241.299999999996</v>
      </c>
      <c r="E293" s="33">
        <v>21389.1</v>
      </c>
      <c r="F293" s="33">
        <v>3904.9</v>
      </c>
      <c r="G293" s="33">
        <v>10285</v>
      </c>
      <c r="H293" s="35">
        <v>2253</v>
      </c>
      <c r="I293" s="33">
        <v>17874.2</v>
      </c>
      <c r="J293" s="33">
        <v>-17464.900000000001</v>
      </c>
      <c r="K293" s="22"/>
      <c r="L293" s="22"/>
      <c r="M293" s="22"/>
      <c r="N293" s="21"/>
      <c r="O293" s="21"/>
      <c r="P293" s="21"/>
      <c r="Q293" s="21" t="str">
        <f t="shared" ref="Q293:Q294" si="142">$A$283&amp;C293&amp;"ASSETS"</f>
        <v>ES2018ASSETS</v>
      </c>
      <c r="R293" s="61">
        <f>SUM(E293:G293)/D293</f>
        <v>0.93038155083639951</v>
      </c>
      <c r="S293" s="61">
        <f>SUM(E293,G293)/SUM(E293:G293)</f>
        <v>0.89024705584755048</v>
      </c>
      <c r="T293" s="61">
        <f>F293/SUM(E293:G293)</f>
        <v>0.10975294415244947</v>
      </c>
      <c r="U293" s="34">
        <f t="shared" si="141"/>
        <v>0.82826943644698281</v>
      </c>
      <c r="V293" s="34">
        <f t="shared" si="141"/>
        <v>0.10211211438941668</v>
      </c>
      <c r="W293" s="34"/>
      <c r="X293" s="34"/>
    </row>
    <row r="294" spans="1:26" x14ac:dyDescent="0.2">
      <c r="A294" s="21"/>
      <c r="B294" s="21"/>
      <c r="C294" s="20">
        <v>2017</v>
      </c>
      <c r="D294" s="32">
        <f>SUM(E294:J294)</f>
        <v>36220.400000000009</v>
      </c>
      <c r="E294" s="33">
        <v>19250.400000000001</v>
      </c>
      <c r="F294" s="33">
        <v>3595.2</v>
      </c>
      <c r="G294" s="33">
        <v>9401.2000000000007</v>
      </c>
      <c r="H294" s="35">
        <v>2182.9</v>
      </c>
      <c r="I294" s="33">
        <v>16220.9</v>
      </c>
      <c r="J294" s="33">
        <v>-14430.2</v>
      </c>
      <c r="K294" s="22"/>
      <c r="L294" s="22"/>
      <c r="M294" s="22"/>
      <c r="N294" s="21"/>
      <c r="O294" s="21"/>
      <c r="P294" s="21"/>
      <c r="Q294" s="21" t="str">
        <f t="shared" si="142"/>
        <v>ES2017ASSETS</v>
      </c>
      <c r="R294" s="61">
        <f>SUM(E294:G294)/D294</f>
        <v>0.89029386754425666</v>
      </c>
      <c r="S294" s="61">
        <f>SUM(E294,G294)/SUM(E294:G294)</f>
        <v>0.88850986764578188</v>
      </c>
      <c r="T294" s="61">
        <f>F294/SUM(E294:G294)</f>
        <v>0.11149013235421808</v>
      </c>
      <c r="U294" s="34">
        <f t="shared" si="141"/>
        <v>0.79103488641759878</v>
      </c>
      <c r="V294" s="34">
        <f t="shared" si="141"/>
        <v>9.9258981126657875E-2</v>
      </c>
      <c r="W294" s="34"/>
      <c r="X294" s="34"/>
    </row>
    <row r="295" spans="1:26" x14ac:dyDescent="0.2">
      <c r="D295" s="65"/>
      <c r="Z295" s="64"/>
    </row>
    <row r="297" spans="1:26" x14ac:dyDescent="0.2">
      <c r="A297" s="125" t="s">
        <v>42</v>
      </c>
      <c r="B297" s="126"/>
      <c r="C297" s="127"/>
      <c r="D297" s="21"/>
      <c r="E297" s="126"/>
      <c r="F297" s="126"/>
      <c r="G297" s="126"/>
      <c r="H297" s="126"/>
      <c r="I297" s="22"/>
      <c r="J297" s="22"/>
      <c r="K297" s="22"/>
      <c r="L297" s="22"/>
      <c r="M297" s="22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</row>
    <row r="298" spans="1:26" x14ac:dyDescent="0.2">
      <c r="A298" s="126" t="s">
        <v>204</v>
      </c>
      <c r="B298" s="126"/>
      <c r="C298" s="127"/>
      <c r="D298" s="126"/>
      <c r="E298" s="126"/>
      <c r="F298" s="126"/>
      <c r="G298" s="126"/>
      <c r="H298" s="126"/>
      <c r="I298" s="22"/>
      <c r="J298" s="22"/>
      <c r="K298" s="22"/>
      <c r="L298" s="22"/>
      <c r="M298" s="22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</row>
    <row r="299" spans="1:26" x14ac:dyDescent="0.2">
      <c r="A299" s="125" t="s">
        <v>43</v>
      </c>
      <c r="B299" s="126"/>
      <c r="C299" s="127"/>
      <c r="D299" s="129" t="s">
        <v>75</v>
      </c>
      <c r="E299" s="130" t="s">
        <v>205</v>
      </c>
      <c r="F299" s="127"/>
      <c r="G299" s="127"/>
      <c r="H299" s="131"/>
      <c r="I299" s="128"/>
      <c r="J299" s="128"/>
      <c r="K299" s="128"/>
      <c r="L299" s="128"/>
      <c r="M299" s="128"/>
      <c r="N299" s="128"/>
      <c r="O299" s="128"/>
      <c r="P299" s="128"/>
      <c r="Q299" s="203"/>
      <c r="R299" s="205" t="s">
        <v>77</v>
      </c>
      <c r="S299" s="201" t="s">
        <v>78</v>
      </c>
      <c r="T299" s="201" t="s">
        <v>79</v>
      </c>
      <c r="U299" s="201" t="s">
        <v>80</v>
      </c>
      <c r="V299" s="201" t="s">
        <v>81</v>
      </c>
      <c r="W299" s="60"/>
      <c r="X299" s="60"/>
    </row>
    <row r="300" spans="1:26" x14ac:dyDescent="0.2">
      <c r="A300" s="126"/>
      <c r="B300" s="126"/>
      <c r="C300" s="127"/>
      <c r="D300" s="129"/>
      <c r="E300" s="132"/>
      <c r="F300" s="132"/>
      <c r="G300" s="36"/>
      <c r="H300" s="131"/>
      <c r="I300" s="128"/>
      <c r="J300" s="128"/>
      <c r="K300" s="128"/>
      <c r="L300" s="128"/>
      <c r="M300" s="128"/>
      <c r="N300" s="128"/>
      <c r="O300" s="133"/>
      <c r="P300" s="128"/>
      <c r="Q300" s="204"/>
      <c r="R300" s="206"/>
      <c r="S300" s="202"/>
      <c r="T300" s="202"/>
      <c r="U300" s="202"/>
      <c r="V300" s="202"/>
      <c r="W300" s="60"/>
      <c r="X300" s="60"/>
    </row>
    <row r="301" spans="1:26" x14ac:dyDescent="0.2">
      <c r="C301" s="20">
        <v>2019</v>
      </c>
      <c r="D301" s="76">
        <f>SUM(E301:H301)</f>
        <v>5147.8</v>
      </c>
      <c r="E301" s="132">
        <v>5147.8</v>
      </c>
      <c r="F301" s="132"/>
      <c r="G301" s="132"/>
      <c r="H301" s="36"/>
      <c r="I301" s="128"/>
      <c r="J301" s="128"/>
      <c r="K301" s="128"/>
      <c r="L301" s="128"/>
      <c r="M301" s="128"/>
      <c r="N301" s="128"/>
      <c r="O301" s="134"/>
      <c r="P301" s="128"/>
      <c r="Q301" s="21" t="str">
        <f>$A$299&amp;C301&amp;"REV"</f>
        <v>EVRG2019REV</v>
      </c>
      <c r="R301" s="61">
        <f>E301/D301</f>
        <v>1</v>
      </c>
      <c r="S301" s="61">
        <f>E301/D301</f>
        <v>1</v>
      </c>
      <c r="T301" s="61">
        <v>0</v>
      </c>
      <c r="U301" s="134">
        <f t="shared" ref="U301:V303" si="143">IF(OR(ISBLANK($R301),ISBLANK(S301)),"NA",$R301*S301)</f>
        <v>1</v>
      </c>
      <c r="V301" s="134">
        <f t="shared" si="143"/>
        <v>0</v>
      </c>
      <c r="W301" s="134"/>
      <c r="X301" s="134"/>
    </row>
    <row r="302" spans="1:26" x14ac:dyDescent="0.2">
      <c r="B302" s="58" t="s">
        <v>82</v>
      </c>
      <c r="C302" s="20">
        <v>2018</v>
      </c>
      <c r="D302" s="76">
        <f>SUM(E302:H302)</f>
        <v>4275.8999999999996</v>
      </c>
      <c r="E302" s="132">
        <v>4275.8999999999996</v>
      </c>
      <c r="F302" s="38"/>
      <c r="G302" s="38"/>
      <c r="H302" s="36"/>
      <c r="I302" s="128"/>
      <c r="J302" s="128"/>
      <c r="K302" s="128"/>
      <c r="L302" s="128"/>
      <c r="M302" s="128"/>
      <c r="N302" s="128"/>
      <c r="O302" s="134"/>
      <c r="P302" s="128"/>
      <c r="Q302" s="21" t="str">
        <f t="shared" ref="Q302:Q303" si="144">$A$299&amp;C302&amp;"REV"</f>
        <v>EVRG2018REV</v>
      </c>
      <c r="R302" s="61">
        <f t="shared" ref="R302:R303" si="145">E302/D302</f>
        <v>1</v>
      </c>
      <c r="S302" s="61">
        <f t="shared" ref="S302:S303" si="146">E302/D302</f>
        <v>1</v>
      </c>
      <c r="T302" s="61">
        <v>0</v>
      </c>
      <c r="U302" s="134">
        <f t="shared" si="143"/>
        <v>1</v>
      </c>
      <c r="V302" s="134">
        <f t="shared" si="143"/>
        <v>0</v>
      </c>
      <c r="W302" s="134"/>
      <c r="X302" s="134"/>
    </row>
    <row r="303" spans="1:26" x14ac:dyDescent="0.2">
      <c r="C303" s="20">
        <v>2017</v>
      </c>
      <c r="D303" s="76">
        <f>SUM(E303:H303)</f>
        <v>2571</v>
      </c>
      <c r="E303" s="38">
        <v>2571</v>
      </c>
      <c r="F303" s="38"/>
      <c r="G303" s="38"/>
      <c r="H303" s="36"/>
      <c r="I303" s="128"/>
      <c r="J303" s="128"/>
      <c r="K303" s="128"/>
      <c r="L303" s="128"/>
      <c r="M303" s="128"/>
      <c r="N303" s="128"/>
      <c r="O303" s="134"/>
      <c r="P303" s="128"/>
      <c r="Q303" s="21" t="str">
        <f t="shared" si="144"/>
        <v>EVRG2017REV</v>
      </c>
      <c r="R303" s="61">
        <f t="shared" si="145"/>
        <v>1</v>
      </c>
      <c r="S303" s="61">
        <f t="shared" si="146"/>
        <v>1</v>
      </c>
      <c r="T303" s="61">
        <v>0</v>
      </c>
      <c r="U303" s="134">
        <f t="shared" si="143"/>
        <v>1</v>
      </c>
      <c r="V303" s="134">
        <f t="shared" si="143"/>
        <v>0</v>
      </c>
      <c r="W303" s="134"/>
      <c r="X303" s="134"/>
    </row>
    <row r="304" spans="1:26" x14ac:dyDescent="0.2">
      <c r="C304" s="20"/>
      <c r="E304" s="38"/>
      <c r="F304" s="38"/>
      <c r="G304" s="38"/>
      <c r="H304" s="38"/>
      <c r="I304" s="128"/>
      <c r="J304" s="128"/>
      <c r="K304" s="128"/>
      <c r="L304" s="128"/>
      <c r="M304" s="128"/>
      <c r="N304" s="128"/>
      <c r="O304" s="126"/>
      <c r="P304" s="128"/>
      <c r="Q304" s="21"/>
      <c r="R304" s="126"/>
      <c r="S304" s="61"/>
      <c r="T304" s="126"/>
      <c r="U304" s="126"/>
      <c r="V304" s="126"/>
      <c r="W304" s="126"/>
      <c r="X304" s="126"/>
    </row>
    <row r="305" spans="1:24" x14ac:dyDescent="0.2">
      <c r="C305" s="20">
        <v>2019</v>
      </c>
      <c r="D305" s="76">
        <f>SUM(E305:H305)</f>
        <v>1185.8</v>
      </c>
      <c r="E305" s="135">
        <v>1185.8</v>
      </c>
      <c r="F305" s="135"/>
      <c r="G305" s="135"/>
      <c r="H305" s="136"/>
      <c r="I305" s="128"/>
      <c r="J305" s="128"/>
      <c r="K305" s="128"/>
      <c r="L305" s="128"/>
      <c r="M305" s="128"/>
      <c r="N305" s="128"/>
      <c r="O305" s="134"/>
      <c r="P305" s="128"/>
      <c r="Q305" s="21" t="str">
        <f>$A$299&amp;C305&amp;"INC"</f>
        <v>EVRG2019INC</v>
      </c>
      <c r="R305" s="61">
        <f>E305/D305</f>
        <v>1</v>
      </c>
      <c r="S305" s="61">
        <f>E305/D305</f>
        <v>1</v>
      </c>
      <c r="T305" s="61">
        <v>0</v>
      </c>
      <c r="U305" s="134">
        <f t="shared" ref="U305:V307" si="147">IF(OR(ISBLANK($R305),ISBLANK(S305)),"NA",$R305*S305)</f>
        <v>1</v>
      </c>
      <c r="V305" s="134">
        <f t="shared" si="147"/>
        <v>0</v>
      </c>
      <c r="W305" s="134"/>
      <c r="X305" s="134"/>
    </row>
    <row r="306" spans="1:24" x14ac:dyDescent="0.2">
      <c r="B306" s="58" t="s">
        <v>83</v>
      </c>
      <c r="C306" s="20">
        <v>2018</v>
      </c>
      <c r="D306" s="76">
        <f>SUM(E306:H306)</f>
        <v>933.6</v>
      </c>
      <c r="E306" s="135">
        <v>933.6</v>
      </c>
      <c r="F306" s="135"/>
      <c r="G306" s="135"/>
      <c r="H306" s="136"/>
      <c r="I306" s="128"/>
      <c r="J306" s="128"/>
      <c r="K306" s="128"/>
      <c r="L306" s="128"/>
      <c r="M306" s="128"/>
      <c r="N306" s="128"/>
      <c r="O306" s="134"/>
      <c r="P306" s="128"/>
      <c r="Q306" s="21" t="str">
        <f t="shared" ref="Q306:Q307" si="148">$A$299&amp;C306&amp;"INC"</f>
        <v>EVRG2018INC</v>
      </c>
      <c r="R306" s="61">
        <f t="shared" ref="R306:R307" si="149">E306/D306</f>
        <v>1</v>
      </c>
      <c r="S306" s="61">
        <f t="shared" ref="S306:S307" si="150">E306/D306</f>
        <v>1</v>
      </c>
      <c r="T306" s="61">
        <v>0</v>
      </c>
      <c r="U306" s="134">
        <f t="shared" si="147"/>
        <v>1</v>
      </c>
      <c r="V306" s="134">
        <f t="shared" si="147"/>
        <v>0</v>
      </c>
      <c r="W306" s="134"/>
      <c r="X306" s="134"/>
    </row>
    <row r="307" spans="1:24" x14ac:dyDescent="0.2">
      <c r="C307" s="20">
        <v>2017</v>
      </c>
      <c r="D307" s="76">
        <f>SUM(E307:H307)</f>
        <v>678.8</v>
      </c>
      <c r="E307" s="135">
        <v>678.8</v>
      </c>
      <c r="F307" s="135"/>
      <c r="G307" s="137"/>
      <c r="H307" s="136"/>
      <c r="I307" s="128"/>
      <c r="J307" s="128"/>
      <c r="K307" s="128"/>
      <c r="L307" s="128"/>
      <c r="M307" s="128"/>
      <c r="N307" s="128"/>
      <c r="O307" s="134"/>
      <c r="P307" s="128"/>
      <c r="Q307" s="21" t="str">
        <f t="shared" si="148"/>
        <v>EVRG2017INC</v>
      </c>
      <c r="R307" s="61">
        <f t="shared" si="149"/>
        <v>1</v>
      </c>
      <c r="S307" s="61">
        <f t="shared" si="150"/>
        <v>1</v>
      </c>
      <c r="T307" s="61">
        <v>0</v>
      </c>
      <c r="U307" s="134">
        <f t="shared" si="147"/>
        <v>1</v>
      </c>
      <c r="V307" s="134">
        <f t="shared" si="147"/>
        <v>0</v>
      </c>
      <c r="W307" s="134"/>
      <c r="X307" s="134"/>
    </row>
    <row r="308" spans="1:24" x14ac:dyDescent="0.2">
      <c r="C308" s="20"/>
      <c r="D308" s="65"/>
      <c r="E308" s="38"/>
      <c r="F308" s="132"/>
      <c r="G308" s="132"/>
      <c r="H308" s="38"/>
      <c r="I308" s="128"/>
      <c r="J308" s="128"/>
      <c r="K308" s="128"/>
      <c r="L308" s="128"/>
      <c r="M308" s="128"/>
      <c r="N308" s="128"/>
      <c r="O308" s="126"/>
      <c r="P308" s="128"/>
      <c r="Q308" s="21"/>
      <c r="R308" s="126"/>
      <c r="S308" s="61"/>
      <c r="T308" s="126"/>
      <c r="U308" s="126"/>
      <c r="V308" s="126"/>
      <c r="W308" s="126"/>
      <c r="X308" s="126"/>
    </row>
    <row r="309" spans="1:24" x14ac:dyDescent="0.2">
      <c r="C309" s="20">
        <v>2019</v>
      </c>
      <c r="D309" s="76">
        <f>SUM(E309:H309)</f>
        <v>25975.9</v>
      </c>
      <c r="E309" s="38">
        <v>25975.9</v>
      </c>
      <c r="F309" s="38"/>
      <c r="G309" s="38"/>
      <c r="H309" s="36"/>
      <c r="I309" s="128"/>
      <c r="J309" s="128"/>
      <c r="K309" s="128"/>
      <c r="L309" s="128"/>
      <c r="M309" s="128"/>
      <c r="N309" s="128"/>
      <c r="O309" s="134"/>
      <c r="P309" s="128"/>
      <c r="Q309" s="21" t="str">
        <f>$A$299&amp;C309&amp;"ASSETS"</f>
        <v>EVRG2019ASSETS</v>
      </c>
      <c r="R309" s="61">
        <f>E309/D309</f>
        <v>1</v>
      </c>
      <c r="S309" s="61">
        <f>E309/D309</f>
        <v>1</v>
      </c>
      <c r="T309" s="61">
        <v>0</v>
      </c>
      <c r="U309" s="134">
        <f t="shared" ref="U309:V311" si="151">IF(OR(ISBLANK($R309),ISBLANK(S309)),"NA",$R309*S309)</f>
        <v>1</v>
      </c>
      <c r="V309" s="134">
        <f t="shared" si="151"/>
        <v>0</v>
      </c>
      <c r="W309" s="134"/>
      <c r="X309" s="134"/>
    </row>
    <row r="310" spans="1:24" x14ac:dyDescent="0.2">
      <c r="B310" s="58" t="s">
        <v>84</v>
      </c>
      <c r="C310" s="20">
        <v>2018</v>
      </c>
      <c r="D310" s="76">
        <f>SUM(E310:H310)</f>
        <v>25598.1</v>
      </c>
      <c r="E310" s="38">
        <v>25598.1</v>
      </c>
      <c r="F310" s="38"/>
      <c r="G310" s="38"/>
      <c r="H310" s="36"/>
      <c r="I310" s="128"/>
      <c r="J310" s="128"/>
      <c r="K310" s="128"/>
      <c r="L310" s="128"/>
      <c r="M310" s="128"/>
      <c r="N310" s="128"/>
      <c r="O310" s="134"/>
      <c r="P310" s="128"/>
      <c r="Q310" s="21" t="str">
        <f t="shared" ref="Q310:Q311" si="152">$A$299&amp;C310&amp;"ASSETS"</f>
        <v>EVRG2018ASSETS</v>
      </c>
      <c r="R310" s="61">
        <f t="shared" ref="R310:R311" si="153">E310/D310</f>
        <v>1</v>
      </c>
      <c r="S310" s="61">
        <f t="shared" ref="S310:S311" si="154">E310/D310</f>
        <v>1</v>
      </c>
      <c r="T310" s="61">
        <v>0</v>
      </c>
      <c r="U310" s="134">
        <f t="shared" si="151"/>
        <v>1</v>
      </c>
      <c r="V310" s="134">
        <f t="shared" si="151"/>
        <v>0</v>
      </c>
      <c r="W310" s="134"/>
      <c r="X310" s="134"/>
    </row>
    <row r="311" spans="1:24" x14ac:dyDescent="0.2">
      <c r="C311" s="20">
        <v>2017</v>
      </c>
      <c r="D311" s="76">
        <f>SUM(E311:H311)</f>
        <v>11624.4</v>
      </c>
      <c r="E311" s="38">
        <v>11624.4</v>
      </c>
      <c r="F311" s="38"/>
      <c r="G311" s="38"/>
      <c r="H311" s="36"/>
      <c r="I311" s="128"/>
      <c r="J311" s="128"/>
      <c r="K311" s="128"/>
      <c r="L311" s="128"/>
      <c r="M311" s="128"/>
      <c r="N311" s="128"/>
      <c r="O311" s="134"/>
      <c r="P311" s="128"/>
      <c r="Q311" s="21" t="str">
        <f t="shared" si="152"/>
        <v>EVRG2017ASSETS</v>
      </c>
      <c r="R311" s="61">
        <f t="shared" si="153"/>
        <v>1</v>
      </c>
      <c r="S311" s="61">
        <f t="shared" si="154"/>
        <v>1</v>
      </c>
      <c r="T311" s="61">
        <v>0</v>
      </c>
      <c r="U311" s="134">
        <f t="shared" si="151"/>
        <v>1</v>
      </c>
      <c r="V311" s="134">
        <f t="shared" si="151"/>
        <v>0</v>
      </c>
      <c r="W311" s="134"/>
      <c r="X311" s="134"/>
    </row>
    <row r="314" spans="1:24" x14ac:dyDescent="0.2">
      <c r="A314" s="18" t="s">
        <v>206</v>
      </c>
      <c r="B314" s="138"/>
      <c r="C314" s="139"/>
      <c r="D314" s="128"/>
      <c r="E314" s="33"/>
      <c r="F314" s="33"/>
      <c r="G314" s="33"/>
      <c r="H314" s="33"/>
      <c r="I314" s="33"/>
      <c r="J314" s="33"/>
      <c r="K314" s="33"/>
      <c r="L314" s="22"/>
      <c r="M314" s="22"/>
      <c r="N314" s="128"/>
      <c r="O314" s="128"/>
      <c r="P314" s="128"/>
      <c r="Q314" s="128"/>
      <c r="R314" s="128"/>
    </row>
    <row r="315" spans="1:24" x14ac:dyDescent="0.2">
      <c r="A315" s="138" t="s">
        <v>207</v>
      </c>
      <c r="B315" s="140"/>
      <c r="C315" s="139"/>
      <c r="D315" s="128"/>
      <c r="E315" s="33"/>
      <c r="F315" s="33"/>
      <c r="G315" s="33"/>
      <c r="H315" s="33"/>
      <c r="I315" s="33"/>
      <c r="J315" s="33"/>
      <c r="K315" s="111"/>
      <c r="L315" s="22"/>
      <c r="M315" s="22"/>
      <c r="N315" s="128"/>
      <c r="O315" s="128"/>
      <c r="P315" s="128"/>
      <c r="Q315" s="128"/>
      <c r="R315" s="128"/>
    </row>
    <row r="316" spans="1:24" ht="63.75" x14ac:dyDescent="0.2">
      <c r="A316" s="18" t="s">
        <v>208</v>
      </c>
      <c r="B316" s="140"/>
      <c r="C316" s="139"/>
      <c r="D316" s="139" t="s">
        <v>75</v>
      </c>
      <c r="E316" s="51" t="s">
        <v>209</v>
      </c>
      <c r="F316" s="51" t="s">
        <v>210</v>
      </c>
      <c r="G316" s="51" t="s">
        <v>211</v>
      </c>
      <c r="H316" s="51" t="s">
        <v>212</v>
      </c>
      <c r="I316" s="51" t="s">
        <v>213</v>
      </c>
      <c r="J316" s="51" t="s">
        <v>88</v>
      </c>
      <c r="K316" s="35" t="s">
        <v>129</v>
      </c>
      <c r="L316" s="22"/>
      <c r="M316" s="22"/>
      <c r="N316" s="128"/>
      <c r="O316" s="128"/>
      <c r="P316" s="128"/>
      <c r="Q316" s="141"/>
      <c r="R316" s="142" t="s">
        <v>77</v>
      </c>
      <c r="S316" s="59" t="s">
        <v>78</v>
      </c>
      <c r="T316" s="59" t="s">
        <v>79</v>
      </c>
      <c r="U316" s="59" t="s">
        <v>80</v>
      </c>
      <c r="V316" s="59" t="s">
        <v>81</v>
      </c>
      <c r="W316" s="60"/>
      <c r="X316" s="60"/>
    </row>
    <row r="317" spans="1:24" x14ac:dyDescent="0.2">
      <c r="A317" s="128"/>
      <c r="B317" s="140"/>
      <c r="C317" s="20">
        <v>2019</v>
      </c>
      <c r="D317" s="143">
        <f>SUM(E317:K317)</f>
        <v>34438</v>
      </c>
      <c r="E317" s="51">
        <v>18924</v>
      </c>
      <c r="F317" s="51">
        <v>5747</v>
      </c>
      <c r="G317" s="51">
        <v>3100</v>
      </c>
      <c r="H317" s="51">
        <v>3106</v>
      </c>
      <c r="I317" s="51">
        <v>4806</v>
      </c>
      <c r="J317" s="51">
        <v>1921</v>
      </c>
      <c r="K317" s="51">
        <v>-3166</v>
      </c>
      <c r="L317" s="22"/>
      <c r="M317" s="22"/>
      <c r="N317" s="128"/>
      <c r="O317" s="128"/>
      <c r="P317" s="128"/>
      <c r="Q317" s="128" t="str">
        <f>$A$316&amp;C317&amp;"REV"</f>
        <v>EXC2019REV</v>
      </c>
      <c r="R317" s="61">
        <f>IF(SUM(F317:I317)/D317&gt;1,1,SUM(F317:I317)/D317)</f>
        <v>0.48664266217550378</v>
      </c>
      <c r="S317" s="62">
        <f>SUMIF('FERC Form 1_2 Data'!$C$11:$C$179,$A314,'FERC Form 1_2 Data'!$D$11:$D$179)/SUM(SUMIF('FERC Form 1_2 Data'!$C$11:$C$179,$A314,'FERC Form 1_2 Data'!$D$11:$D$179),SUMIF('FERC Form 1_2 Data'!$C$11:$C$179,$A314,'FERC Form 1_2 Data'!$E$11:$E$179),SUMIF('FERC Form 1_2 Data'!$C$11:$C$179,$A314,'FERC Form 1_2 Data'!$F$11:$F$179))</f>
        <v>0.91027473519051805</v>
      </c>
      <c r="T317" s="62">
        <f>SUMIF('FERC Form 1_2 Data'!$C$11:$C$179,$A314,'FERC Form 1_2 Data'!$E$11:$E$179)/SUM(SUMIF('FERC Form 1_2 Data'!$C$11:$C$179,$A314,'FERC Form 1_2 Data'!$D$11:$D$179),SUMIF('FERC Form 1_2 Data'!$C$11:$C$179,$A314,'FERC Form 1_2 Data'!$E$11:$E$179),SUMIF('FERC Form 1_2 Data'!$C$11:$C$179,$A314,'FERC Form 1_2 Data'!$F$11:$F$179))</f>
        <v>8.9725264809481953E-2</v>
      </c>
      <c r="U317" s="63">
        <f>IF(OR(ISBLANK($R317),ISBLANK(S317)),"NA",$R317*S317)</f>
        <v>0.44297852044421543</v>
      </c>
      <c r="V317" s="63">
        <f>IF(OR(ISBLANK($R317),ISBLANK(T317)),"NA",$R317*T317)</f>
        <v>4.3664141731288346E-2</v>
      </c>
      <c r="W317" s="63"/>
      <c r="X317" s="63"/>
    </row>
    <row r="318" spans="1:24" x14ac:dyDescent="0.2">
      <c r="A318" s="128"/>
      <c r="B318" s="140" t="s">
        <v>82</v>
      </c>
      <c r="C318" s="20">
        <v>2018</v>
      </c>
      <c r="D318" s="143">
        <f>SUM(E318:K318)</f>
        <v>35978</v>
      </c>
      <c r="E318" s="51">
        <v>20437</v>
      </c>
      <c r="F318" s="51">
        <v>5882</v>
      </c>
      <c r="G318" s="51">
        <v>3038</v>
      </c>
      <c r="H318" s="51">
        <v>3169</v>
      </c>
      <c r="I318" s="35">
        <v>4798</v>
      </c>
      <c r="J318" s="35">
        <v>1948</v>
      </c>
      <c r="K318" s="35">
        <v>-3294</v>
      </c>
      <c r="L318" s="22"/>
      <c r="M318" s="22"/>
      <c r="N318" s="128"/>
      <c r="O318" s="128"/>
      <c r="P318" s="128"/>
      <c r="Q318" s="128" t="str">
        <f t="shared" ref="Q318:Q319" si="155">$A$316&amp;C318&amp;"REV"</f>
        <v>EXC2018REV</v>
      </c>
      <c r="R318" s="61">
        <f t="shared" ref="R318:R319" si="156">IF(SUM(F318:I318)/D318&gt;1,1,SUM(F318:I318)/D318)</f>
        <v>0.46937017065984771</v>
      </c>
      <c r="S318" s="62">
        <f>SUMIF('FERC Form 1_2 Data'!$C$11:$C$179,$A314,'FERC Form 1_2 Data'!$G$11:$G$179)/SUM(SUMIF('FERC Form 1_2 Data'!$C$11:$C$179,$A314,'FERC Form 1_2 Data'!$G$11:$G$179),SUMIF('FERC Form 1_2 Data'!$C$11:$C$179,$A314,'FERC Form 1_2 Data'!$H$11:$H$179),SUMIF('FERC Form 1_2 Data'!$C$11:$C$179,$A314,'FERC Form 1_2 Data'!$I$11:$I$179))</f>
        <v>0.91181514395425767</v>
      </c>
      <c r="T318" s="62">
        <f>SUMIF('FERC Form 1_2 Data'!$C$11:$C$179,$A314,'FERC Form 1_2 Data'!$H$11:$H$179)/SUM(SUMIF('FERC Form 1_2 Data'!$C$11:$C$179,$A314,'FERC Form 1_2 Data'!$G$11:$G$179),SUMIF('FERC Form 1_2 Data'!$C$11:$C$179,$A314,'FERC Form 1_2 Data'!$H$11:$H$179),SUMIF('FERC Form 1_2 Data'!$C$11:$C$179,$A314,'FERC Form 1_2 Data'!$I$11:$I$179))</f>
        <v>8.8184856045742319E-2</v>
      </c>
      <c r="U318" s="63">
        <f t="shared" ref="U318:V319" si="157">IF(OR(ISBLANK($R318),ISBLANK(S318)),"NA",$R318*S318)</f>
        <v>0.42797882972804352</v>
      </c>
      <c r="V318" s="63">
        <f t="shared" si="157"/>
        <v>4.1391340931804174E-2</v>
      </c>
      <c r="W318" s="63"/>
      <c r="X318" s="63"/>
    </row>
    <row r="319" spans="1:24" x14ac:dyDescent="0.2">
      <c r="A319" s="128"/>
      <c r="B319" s="140"/>
      <c r="C319" s="20">
        <v>2017</v>
      </c>
      <c r="D319" s="143">
        <f t="shared" ref="D319" si="158">SUM(E319:K319)</f>
        <v>33560</v>
      </c>
      <c r="E319" s="51">
        <v>18500</v>
      </c>
      <c r="F319" s="51">
        <v>5536</v>
      </c>
      <c r="G319" s="51">
        <v>2870</v>
      </c>
      <c r="H319" s="51">
        <v>3176</v>
      </c>
      <c r="I319" s="35">
        <v>4672</v>
      </c>
      <c r="J319" s="35">
        <v>1831</v>
      </c>
      <c r="K319" s="35">
        <v>-3025</v>
      </c>
      <c r="L319" s="22"/>
      <c r="M319" s="22"/>
      <c r="N319" s="128"/>
      <c r="O319" s="128"/>
      <c r="P319" s="128"/>
      <c r="Q319" s="128" t="str">
        <f t="shared" si="155"/>
        <v>EXC2017REV</v>
      </c>
      <c r="R319" s="61">
        <f t="shared" si="156"/>
        <v>0.48432657926102501</v>
      </c>
      <c r="S319" s="62">
        <f>SUMIF('FERC Form 1_2 Data'!$C$11:$C$179,$A314,'FERC Form 1_2 Data'!$J$11:$J$179)/SUM(SUMIF('FERC Form 1_2 Data'!$C$11:$C$179,$A314,'FERC Form 1_2 Data'!$J$11:$J$179),SUMIF('FERC Form 1_2 Data'!$C$11:$C$179,$A314,'FERC Form 1_2 Data'!$K$11:$K$179),SUMIF('FERC Form 1_2 Data'!$C$11:$C$179,$A314,'FERC Form 1_2 Data'!$L$11:$L$179))</f>
        <v>0.91749614436055438</v>
      </c>
      <c r="T319" s="62">
        <f>SUMIF('FERC Form 1_2 Data'!$C$11:$C$179,$A314,'FERC Form 1_2 Data'!$K$11:$K$179)/SUM(SUMIF('FERC Form 1_2 Data'!$C$11:$C$179,$A314,'FERC Form 1_2 Data'!$J$11:$J$179),SUMIF('FERC Form 1_2 Data'!$C$11:$C$179,$A314,'FERC Form 1_2 Data'!$K$11:$K$179),SUMIF('FERC Form 1_2 Data'!$C$11:$C$179,$A314,'FERC Form 1_2 Data'!$L$11:$L$179))</f>
        <v>8.2503855639445581E-2</v>
      </c>
      <c r="U319" s="63">
        <f t="shared" si="157"/>
        <v>0.44436776908332687</v>
      </c>
      <c r="V319" s="63">
        <f t="shared" si="157"/>
        <v>3.9958810177698104E-2</v>
      </c>
      <c r="W319" s="63"/>
      <c r="X319" s="63"/>
    </row>
    <row r="320" spans="1:24" x14ac:dyDescent="0.2">
      <c r="A320" s="128"/>
      <c r="B320" s="140"/>
      <c r="C320" s="20"/>
      <c r="D320" s="143"/>
      <c r="E320" s="33"/>
      <c r="F320" s="33"/>
      <c r="G320" s="33"/>
      <c r="H320" s="33"/>
      <c r="I320" s="33"/>
      <c r="J320" s="33"/>
      <c r="K320" s="33"/>
      <c r="L320" s="22"/>
      <c r="M320" s="22"/>
      <c r="N320" s="128"/>
      <c r="O320" s="128"/>
      <c r="P320" s="128"/>
      <c r="Q320" s="128"/>
      <c r="R320" s="128"/>
    </row>
    <row r="321" spans="1:24" x14ac:dyDescent="0.2">
      <c r="A321" s="128"/>
      <c r="B321" s="140"/>
      <c r="C321" s="20">
        <v>2019</v>
      </c>
      <c r="D321" s="143">
        <f>SUM(E321:K321)</f>
        <v>4374</v>
      </c>
      <c r="E321" s="33">
        <v>1323</v>
      </c>
      <c r="F321" s="33">
        <v>1171</v>
      </c>
      <c r="G321" s="33">
        <v>713</v>
      </c>
      <c r="H321" s="33">
        <v>532</v>
      </c>
      <c r="I321" s="33">
        <v>722</v>
      </c>
      <c r="J321" s="33">
        <v>0</v>
      </c>
      <c r="K321" s="33">
        <v>-87</v>
      </c>
      <c r="L321" s="22"/>
      <c r="M321" s="22"/>
      <c r="N321" s="128"/>
      <c r="O321" s="128"/>
      <c r="P321" s="128"/>
      <c r="Q321" s="128" t="str">
        <f>$A$316&amp;C321&amp;"INC"</f>
        <v>EXC2019INC</v>
      </c>
      <c r="R321" s="61">
        <f>IF(SUM(F321:I321)/D321&gt;1,1,SUM(F321:I321)/D321)</f>
        <v>0.71742112482853226</v>
      </c>
      <c r="S321" s="62">
        <f>SUMIF('FERC Form 1_2 Data'!$C$11:$C$179,$A314,'FERC Form 1_2 Data'!$Y$11:$Y$179)/SUMIF('FERC Form 1_2 Data'!$C$11:$C$179,$A314,'FERC Form 1_2 Data'!$EA$11:$EA$179)</f>
        <v>0.90573429005765504</v>
      </c>
      <c r="T321" s="62">
        <f>SUMIF('FERC Form 1_2 Data'!$C$11:$C$179,$A314,'FERC Form 1_2 Data'!$BL$11:$BL$179)/SUMIF('FERC Form 1_2 Data'!$C$11:$C$179,$A314,'FERC Form 1_2 Data'!$EA$11:$EA$179)</f>
        <v>9.4265709942344983E-2</v>
      </c>
      <c r="U321" s="63">
        <f>IF(OR(ISBLANK($R321),ISBLANK(S321)),"NA",$R321*S321)</f>
        <v>0.64979291316893495</v>
      </c>
      <c r="V321" s="63">
        <f>IF(OR(ISBLANK($R321),ISBLANK(T321)),"NA",$R321*T321)</f>
        <v>6.7628211659597301E-2</v>
      </c>
      <c r="W321" s="63"/>
      <c r="X321" s="63"/>
    </row>
    <row r="322" spans="1:24" x14ac:dyDescent="0.2">
      <c r="A322" s="128"/>
      <c r="B322" s="140" t="s">
        <v>83</v>
      </c>
      <c r="C322" s="20">
        <v>2018</v>
      </c>
      <c r="D322" s="143">
        <f>SUM(E322:K322)</f>
        <v>3891</v>
      </c>
      <c r="E322" s="33">
        <v>975</v>
      </c>
      <c r="F322" s="33">
        <v>1146</v>
      </c>
      <c r="G322" s="33">
        <v>587</v>
      </c>
      <c r="H322" s="33">
        <v>474</v>
      </c>
      <c r="I322" s="33">
        <v>643</v>
      </c>
      <c r="J322" s="33">
        <v>0</v>
      </c>
      <c r="K322" s="33">
        <v>66</v>
      </c>
      <c r="L322" s="71"/>
      <c r="M322" s="22"/>
      <c r="N322" s="128"/>
      <c r="O322" s="128"/>
      <c r="P322" s="128"/>
      <c r="Q322" s="128" t="str">
        <f t="shared" ref="Q322:Q323" si="159">$A$316&amp;C322&amp;"INC"</f>
        <v>EXC2018INC</v>
      </c>
      <c r="R322" s="61">
        <f t="shared" ref="R322:R323" si="160">IF(SUM(F322:I322)/D322&gt;1,1,SUM(F322:I322)/D322)</f>
        <v>0.73245952197378561</v>
      </c>
      <c r="S322" s="62">
        <f>SUMIF('FERC Form 1_2 Data'!$C$11:$C$179,$A314,'FERC Form 1_2 Data'!$AL$11:$AL$179)/SUMIF('FERC Form 1_2 Data'!$C$11:$C$179,$A314,'FERC Form 1_2 Data'!$EB$11:$EB$179)</f>
        <v>0.91499446667234186</v>
      </c>
      <c r="T322" s="62">
        <f>SUMIF('FERC Form 1_2 Data'!$C$11:$C$179,$A314,'FERC Form 1_2 Data'!$BY$11:$BY$179)/SUMIF('FERC Form 1_2 Data'!$C$11:$C$179,$A314,'FERC Form 1_2 Data'!$EB$11:$EB$179)</f>
        <v>8.5005533327658131E-2</v>
      </c>
      <c r="U322" s="63">
        <f t="shared" ref="U322:V323" si="161">IF(OR(ISBLANK($R322),ISBLANK(S322)),"NA",$R322*S322)</f>
        <v>0.6701964096674824</v>
      </c>
      <c r="V322" s="63">
        <f t="shared" si="161"/>
        <v>6.2263112306303173E-2</v>
      </c>
      <c r="W322" s="63"/>
      <c r="X322" s="63"/>
    </row>
    <row r="323" spans="1:24" x14ac:dyDescent="0.2">
      <c r="A323" s="128"/>
      <c r="B323" s="140"/>
      <c r="C323" s="20">
        <v>2017</v>
      </c>
      <c r="D323" s="143">
        <f>SUM(E323:K323)</f>
        <v>4388</v>
      </c>
      <c r="E323" s="33">
        <v>947</v>
      </c>
      <c r="F323" s="33">
        <v>1323</v>
      </c>
      <c r="G323" s="33">
        <v>655</v>
      </c>
      <c r="H323" s="33">
        <v>614</v>
      </c>
      <c r="I323" s="33">
        <v>762</v>
      </c>
      <c r="J323" s="33">
        <v>0</v>
      </c>
      <c r="K323" s="33">
        <v>87</v>
      </c>
      <c r="L323" s="22"/>
      <c r="M323" s="22"/>
      <c r="N323" s="128"/>
      <c r="O323" s="128"/>
      <c r="P323" s="128"/>
      <c r="Q323" s="128" t="str">
        <f t="shared" si="159"/>
        <v>EXC2017INC</v>
      </c>
      <c r="R323" s="61">
        <f t="shared" si="160"/>
        <v>0.76435733819507745</v>
      </c>
      <c r="S323" s="62">
        <f>SUMIF('FERC Form 1_2 Data'!$C$11:$C$179,$A314,'FERC Form 1_2 Data'!$AY$11:$AY$179)/SUMIF('FERC Form 1_2 Data'!$C$11:$C$179,$A314,'FERC Form 1_2 Data'!$EC$11:$EC$179)</f>
        <v>0.91540744757909842</v>
      </c>
      <c r="T323" s="62">
        <f>SUMIF('FERC Form 1_2 Data'!$C$11:$C$179,$A314,'FERC Form 1_2 Data'!$CL$11:$CL$179)/SUMIF('FERC Form 1_2 Data'!$C$11:$C$179,$A314,'FERC Form 1_2 Data'!$EC$11:$EC$179)</f>
        <v>8.4592552420901551E-2</v>
      </c>
      <c r="U323" s="63">
        <f t="shared" si="161"/>
        <v>0.69969839999550953</v>
      </c>
      <c r="V323" s="63">
        <f t="shared" si="161"/>
        <v>6.4658938199567861E-2</v>
      </c>
      <c r="W323" s="63"/>
      <c r="X323" s="63"/>
    </row>
    <row r="324" spans="1:24" x14ac:dyDescent="0.2">
      <c r="A324" s="128"/>
      <c r="B324" s="140"/>
      <c r="C324" s="20"/>
      <c r="D324" s="143"/>
      <c r="E324" s="33"/>
      <c r="F324" s="33"/>
      <c r="G324" s="33"/>
      <c r="H324" s="33"/>
      <c r="I324" s="33"/>
      <c r="J324" s="33"/>
      <c r="K324" s="33"/>
      <c r="L324" s="22"/>
      <c r="M324" s="22"/>
      <c r="N324" s="128"/>
      <c r="O324" s="128"/>
      <c r="P324" s="128"/>
      <c r="Q324" s="128"/>
      <c r="R324" s="128"/>
    </row>
    <row r="325" spans="1:24" x14ac:dyDescent="0.2">
      <c r="A325" s="128"/>
      <c r="B325" s="140"/>
      <c r="C325" s="20">
        <v>2019</v>
      </c>
      <c r="D325" s="143">
        <f>SUM(E325:L325)</f>
        <v>124977</v>
      </c>
      <c r="E325" s="33">
        <v>48995</v>
      </c>
      <c r="F325" s="33">
        <v>32765</v>
      </c>
      <c r="G325" s="33">
        <v>11469</v>
      </c>
      <c r="H325" s="33">
        <v>10634</v>
      </c>
      <c r="I325" s="33">
        <v>22719</v>
      </c>
      <c r="J325" s="33">
        <v>8484</v>
      </c>
      <c r="K325" s="33">
        <v>-10089</v>
      </c>
      <c r="L325" s="22"/>
      <c r="M325" s="22"/>
      <c r="N325" s="128"/>
      <c r="O325" s="128"/>
      <c r="P325" s="128"/>
      <c r="Q325" s="128" t="str">
        <f>$A$316&amp;C325&amp;"ASSETS"</f>
        <v>EXC2019ASSETS</v>
      </c>
      <c r="R325" s="61">
        <f>IF(SUM(F325:I325)/D325&gt;1,1,SUM(F325:I325)/D325)</f>
        <v>0.62081022908215111</v>
      </c>
      <c r="S325" s="62">
        <f>SUMIF('FERC Form 1_2 Data'!$C$11:$C$179,$A314,'FERC Form 1_2 Data'!$EJ$11:$EJ$179)/(SUMIF('FERC Form 1_2 Data'!$C$11:$C$179,$A314,'FERC Form 1_2 Data'!$EN$11:$EN$179))</f>
        <v>0.90918588213216278</v>
      </c>
      <c r="T325" s="62">
        <f>SUMIF('FERC Form 1_2 Data'!$C$11:$C$179,$A314,'FERC Form 1_2 Data'!$EK$11:$EK$179)/(SUMIF('FERC Form 1_2 Data'!$C$11:$C$179,$A314,'FERC Form 1_2 Data'!$EN$11:$EN$179))</f>
        <v>9.0814117867837163E-2</v>
      </c>
      <c r="U325" s="63">
        <f>IF(OR(ISBLANK($R325),ISBLANK(S325)),"NA",$R325*S325)</f>
        <v>0.56443189576472563</v>
      </c>
      <c r="V325" s="63">
        <f>IF(OR(ISBLANK($R325),ISBLANK(T325)),"NA",$R325*T325)</f>
        <v>5.6378333317425464E-2</v>
      </c>
      <c r="W325" s="63"/>
      <c r="X325" s="63"/>
    </row>
    <row r="326" spans="1:24" x14ac:dyDescent="0.2">
      <c r="A326" s="128"/>
      <c r="B326" s="140" t="s">
        <v>84</v>
      </c>
      <c r="C326" s="20">
        <v>2018</v>
      </c>
      <c r="D326" s="143">
        <f>SUM(E326:L326)</f>
        <v>119614</v>
      </c>
      <c r="E326" s="33">
        <v>47556</v>
      </c>
      <c r="F326" s="33">
        <v>31213</v>
      </c>
      <c r="G326" s="33">
        <v>10642</v>
      </c>
      <c r="H326" s="33">
        <v>9716</v>
      </c>
      <c r="I326" s="33">
        <v>21952</v>
      </c>
      <c r="J326" s="33">
        <v>8335</v>
      </c>
      <c r="K326" s="33">
        <v>-9800</v>
      </c>
      <c r="L326" s="28"/>
      <c r="M326" s="22"/>
      <c r="N326" s="128"/>
      <c r="O326" s="128"/>
      <c r="P326" s="128"/>
      <c r="Q326" s="128" t="str">
        <f t="shared" ref="Q326:Q327" si="162">$A$316&amp;C326&amp;"ASSETS"</f>
        <v>EXC2018ASSETS</v>
      </c>
      <c r="R326" s="61">
        <f>IF(SUM(F326:I326)/D326&gt;1,1,SUM(F326:I326)/D326)</f>
        <v>0.61466885147223571</v>
      </c>
      <c r="S326" s="62">
        <f>SUMIF('FERC Form 1_2 Data'!$C$11:$C$179,$A314,'FERC Form 1_2 Data'!$EP$11:$EP$179)/(SUMIF('FERC Form 1_2 Data'!$C$11:$C$179,$A314,'FERC Form 1_2 Data'!$ET$11:$ET$179))</f>
        <v>0.91447830873847025</v>
      </c>
      <c r="T326" s="62">
        <f>SUMIF('FERC Form 1_2 Data'!$C$11:$C$179,$A314,'FERC Form 1_2 Data'!$EQ$11:$EQ$179)/(SUMIF('FERC Form 1_2 Data'!$C$11:$C$179,$A314,'FERC Form 1_2 Data'!$ET$11:$ET$179))</f>
        <v>8.5521691261529725E-2</v>
      </c>
      <c r="U326" s="63">
        <f t="shared" ref="U326:V327" si="163">IF(OR(ISBLANK($R326),ISBLANK(S326)),"NA",$R326*S326)</f>
        <v>0.56210133172854804</v>
      </c>
      <c r="V326" s="63">
        <f t="shared" si="163"/>
        <v>5.2567519743687612E-2</v>
      </c>
      <c r="W326" s="63"/>
      <c r="X326" s="63"/>
    </row>
    <row r="327" spans="1:24" x14ac:dyDescent="0.2">
      <c r="A327" s="128"/>
      <c r="B327" s="140"/>
      <c r="C327" s="20">
        <v>2017</v>
      </c>
      <c r="D327" s="143">
        <f>SUM(E327:L327)</f>
        <v>116770</v>
      </c>
      <c r="E327" s="33">
        <v>48457</v>
      </c>
      <c r="F327" s="33">
        <v>29726</v>
      </c>
      <c r="G327" s="33">
        <v>10170</v>
      </c>
      <c r="H327" s="33">
        <v>9104</v>
      </c>
      <c r="I327" s="33">
        <v>21247</v>
      </c>
      <c r="J327" s="33">
        <v>8618</v>
      </c>
      <c r="K327" s="33">
        <v>-10552</v>
      </c>
      <c r="L327" s="22"/>
      <c r="M327" s="22"/>
      <c r="N327" s="128"/>
      <c r="O327" s="128"/>
      <c r="P327" s="128"/>
      <c r="Q327" s="128" t="str">
        <f t="shared" si="162"/>
        <v>EXC2017ASSETS</v>
      </c>
      <c r="R327" s="61">
        <f>IF(SUM(F327:I327)/D327&gt;1,1,SUM(F327:I327)/D327)</f>
        <v>0.60158431103879417</v>
      </c>
      <c r="S327" s="62">
        <f>SUMIF('FERC Form 1_2 Data'!$C$11:$C$179,$A314,'FERC Form 1_2 Data'!$EV$11:$EV$179)/(SUMIF('FERC Form 1_2 Data'!$C$11:$C$179,$A314,'FERC Form 1_2 Data'!$EZ$11:$EZ$179))</f>
        <v>0.9181239090519383</v>
      </c>
      <c r="T327" s="62">
        <f>SUMIF('FERC Form 1_2 Data'!$C$11:$C$179,$A314,'FERC Form 1_2 Data'!$EW$11:$EW$179)/(SUMIF('FERC Form 1_2 Data'!$C$11:$C$179,$A314,'FERC Form 1_2 Data'!$EZ$11:$EZ$179))</f>
        <v>8.1876090948061697E-2</v>
      </c>
      <c r="U327" s="63">
        <f t="shared" si="163"/>
        <v>0.55232893927525484</v>
      </c>
      <c r="V327" s="63">
        <f t="shared" si="163"/>
        <v>4.9255371763539349E-2</v>
      </c>
      <c r="W327" s="63"/>
      <c r="X327" s="63"/>
    </row>
    <row r="328" spans="1:24" x14ac:dyDescent="0.2">
      <c r="D328" s="76"/>
    </row>
    <row r="331" spans="1:24" x14ac:dyDescent="0.2">
      <c r="A331" s="18" t="s">
        <v>214</v>
      </c>
      <c r="B331" s="140"/>
      <c r="C331" s="139"/>
      <c r="D331" s="128"/>
      <c r="E331" s="33"/>
      <c r="F331" s="33"/>
      <c r="G331" s="33"/>
      <c r="H331" s="33"/>
      <c r="I331" s="33"/>
      <c r="J331" s="22"/>
      <c r="K331" s="22"/>
      <c r="L331" s="22"/>
      <c r="M331" s="22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</row>
    <row r="332" spans="1:24" x14ac:dyDescent="0.2">
      <c r="A332" s="138" t="s">
        <v>215</v>
      </c>
      <c r="B332" s="140"/>
      <c r="C332" s="139"/>
      <c r="D332" s="128"/>
      <c r="E332" s="33"/>
      <c r="F332" s="33"/>
      <c r="G332" s="33"/>
      <c r="H332" s="33"/>
      <c r="I332" s="33"/>
      <c r="J332" s="22"/>
      <c r="K332" s="22"/>
      <c r="L332" s="22"/>
      <c r="M332" s="22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</row>
    <row r="333" spans="1:24" ht="63.75" x14ac:dyDescent="0.2">
      <c r="A333" s="18" t="s">
        <v>216</v>
      </c>
      <c r="B333" s="140"/>
      <c r="C333" s="139"/>
      <c r="D333" s="139" t="s">
        <v>75</v>
      </c>
      <c r="E333" s="35" t="s">
        <v>217</v>
      </c>
      <c r="F333" s="35" t="s">
        <v>218</v>
      </c>
      <c r="G333" s="35" t="s">
        <v>219</v>
      </c>
      <c r="H333" s="35" t="s">
        <v>118</v>
      </c>
      <c r="I333" s="22"/>
      <c r="J333" s="22"/>
      <c r="K333" s="22"/>
      <c r="L333" s="22"/>
      <c r="M333" s="22"/>
      <c r="N333" s="128"/>
      <c r="O333" s="128"/>
      <c r="P333" s="128"/>
      <c r="Q333" s="141"/>
      <c r="R333" s="142" t="s">
        <v>77</v>
      </c>
      <c r="S333" s="142" t="s">
        <v>78</v>
      </c>
      <c r="T333" s="142" t="s">
        <v>79</v>
      </c>
      <c r="U333" s="142" t="s">
        <v>80</v>
      </c>
      <c r="V333" s="142" t="s">
        <v>81</v>
      </c>
      <c r="W333" s="144"/>
      <c r="X333" s="144"/>
    </row>
    <row r="334" spans="1:24" x14ac:dyDescent="0.2">
      <c r="A334" s="128"/>
      <c r="B334" s="140"/>
      <c r="C334" s="20">
        <v>2019</v>
      </c>
      <c r="D334" s="143">
        <f>SUM(E334:H334)</f>
        <v>11035</v>
      </c>
      <c r="E334" s="35">
        <v>9698</v>
      </c>
      <c r="F334" s="35">
        <v>1526</v>
      </c>
      <c r="G334" s="35">
        <v>14</v>
      </c>
      <c r="H334" s="35">
        <v>-203</v>
      </c>
      <c r="I334" s="22"/>
      <c r="J334" s="22"/>
      <c r="K334" s="22"/>
      <c r="L334" s="22"/>
      <c r="M334" s="22"/>
      <c r="N334" s="128"/>
      <c r="O334" s="128"/>
      <c r="P334" s="128"/>
      <c r="Q334" s="128" t="str">
        <f>$A$333&amp;C334&amp;"REV"</f>
        <v>FE2019REV</v>
      </c>
      <c r="R334" s="61">
        <f>IF(SUM(E334:F334)/D334&gt;1,1,SUM(E334:F334)/D334)</f>
        <v>1</v>
      </c>
      <c r="S334" s="61">
        <f>SUM(E334:F334)/SUM(E334:F334)</f>
        <v>1</v>
      </c>
      <c r="T334" s="61">
        <v>0</v>
      </c>
      <c r="U334" s="37">
        <f t="shared" ref="U334:V336" si="164">IF(OR(ISBLANK($R334),ISBLANK(S334)),"NA",$R334*S334)</f>
        <v>1</v>
      </c>
      <c r="V334" s="37">
        <f t="shared" si="164"/>
        <v>0</v>
      </c>
      <c r="W334" s="37"/>
      <c r="X334" s="37"/>
    </row>
    <row r="335" spans="1:24" x14ac:dyDescent="0.2">
      <c r="A335" s="128"/>
      <c r="B335" s="140" t="s">
        <v>82</v>
      </c>
      <c r="C335" s="20">
        <v>2018</v>
      </c>
      <c r="D335" s="143">
        <f>SUM(E335:H335)</f>
        <v>11261</v>
      </c>
      <c r="E335" s="35">
        <v>10103</v>
      </c>
      <c r="F335" s="35">
        <v>1353</v>
      </c>
      <c r="G335" s="51">
        <v>34</v>
      </c>
      <c r="H335" s="35">
        <v>-229</v>
      </c>
      <c r="I335" s="22"/>
      <c r="J335" s="71"/>
      <c r="K335" s="22"/>
      <c r="L335" s="22"/>
      <c r="M335" s="22"/>
      <c r="N335" s="128"/>
      <c r="O335" s="128"/>
      <c r="P335" s="128"/>
      <c r="Q335" s="128" t="str">
        <f t="shared" ref="Q335:Q336" si="165">$A$333&amp;C335&amp;"REV"</f>
        <v>FE2018REV</v>
      </c>
      <c r="R335" s="61">
        <f t="shared" ref="R335:R336" si="166">IF(SUM(E335:F335)/D335&gt;1,1,SUM(E335:F335)/D335)</f>
        <v>1</v>
      </c>
      <c r="S335" s="61">
        <f>SUM(E335:F335)/SUM(E335:F335)</f>
        <v>1</v>
      </c>
      <c r="T335" s="61">
        <v>0</v>
      </c>
      <c r="U335" s="37">
        <f t="shared" si="164"/>
        <v>1</v>
      </c>
      <c r="V335" s="37">
        <f t="shared" si="164"/>
        <v>0</v>
      </c>
      <c r="W335" s="37"/>
      <c r="X335" s="37"/>
    </row>
    <row r="336" spans="1:24" x14ac:dyDescent="0.2">
      <c r="A336" s="128"/>
      <c r="B336" s="140"/>
      <c r="C336" s="20">
        <v>2017</v>
      </c>
      <c r="D336" s="143">
        <f>SUM(E336:H336)</f>
        <v>10928</v>
      </c>
      <c r="E336" s="35">
        <v>9760</v>
      </c>
      <c r="F336" s="35">
        <v>1324</v>
      </c>
      <c r="G336" s="51">
        <v>43</v>
      </c>
      <c r="H336" s="35">
        <v>-199</v>
      </c>
      <c r="I336" s="22"/>
      <c r="J336" s="71"/>
      <c r="K336" s="22"/>
      <c r="L336" s="22"/>
      <c r="M336" s="22"/>
      <c r="N336" s="128"/>
      <c r="O336" s="128"/>
      <c r="P336" s="128"/>
      <c r="Q336" s="128" t="str">
        <f t="shared" si="165"/>
        <v>FE2017REV</v>
      </c>
      <c r="R336" s="61">
        <f t="shared" si="166"/>
        <v>1</v>
      </c>
      <c r="S336" s="61">
        <f>SUM(E336:F336)/SUM(E336:F336)</f>
        <v>1</v>
      </c>
      <c r="T336" s="61">
        <v>0</v>
      </c>
      <c r="U336" s="37">
        <f t="shared" si="164"/>
        <v>1</v>
      </c>
      <c r="V336" s="37">
        <f t="shared" si="164"/>
        <v>0</v>
      </c>
      <c r="W336" s="37"/>
      <c r="X336" s="37"/>
    </row>
    <row r="337" spans="1:24" x14ac:dyDescent="0.2">
      <c r="A337" s="128"/>
      <c r="B337" s="140"/>
      <c r="C337" s="20"/>
      <c r="D337" s="128"/>
      <c r="E337" s="33"/>
      <c r="F337" s="33"/>
      <c r="G337" s="33"/>
      <c r="H337" s="33"/>
      <c r="I337" s="128"/>
      <c r="J337" s="22"/>
      <c r="K337" s="22"/>
      <c r="L337" s="22"/>
      <c r="M337" s="22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</row>
    <row r="338" spans="1:24" x14ac:dyDescent="0.2">
      <c r="A338" s="128"/>
      <c r="B338" s="140"/>
      <c r="C338" s="20">
        <v>2019</v>
      </c>
      <c r="D338" s="143">
        <f>SUM(E338:H338)</f>
        <v>2510</v>
      </c>
      <c r="E338" s="33">
        <v>1921</v>
      </c>
      <c r="F338" s="33">
        <v>751</v>
      </c>
      <c r="G338" s="33">
        <v>-162</v>
      </c>
      <c r="H338" s="33">
        <f>(0+0-33+33)*1000</f>
        <v>0</v>
      </c>
      <c r="I338" s="128"/>
      <c r="J338" s="22"/>
      <c r="K338" s="22"/>
      <c r="L338" s="22"/>
      <c r="M338" s="22"/>
      <c r="N338" s="128"/>
      <c r="O338" s="128"/>
      <c r="P338" s="128"/>
      <c r="Q338" s="128" t="str">
        <f>$A$333&amp;C338&amp;"INC"</f>
        <v>FE2019INC</v>
      </c>
      <c r="R338" s="61">
        <f t="shared" ref="R338:R340" si="167">IF(SUM(E338:F338)/D338&gt;1,1,SUM(E338:F338)/D338)</f>
        <v>1</v>
      </c>
      <c r="S338" s="61">
        <f>SUM(E338:F338)/SUM(E338:F338)</f>
        <v>1</v>
      </c>
      <c r="T338" s="61">
        <v>0</v>
      </c>
      <c r="U338" s="37">
        <f t="shared" ref="U338:V340" si="168">IF(OR(ISBLANK($R338),ISBLANK(S338)),"NA",$R338*S338)</f>
        <v>1</v>
      </c>
      <c r="V338" s="37">
        <f t="shared" si="168"/>
        <v>0</v>
      </c>
      <c r="W338" s="37"/>
      <c r="X338" s="37"/>
    </row>
    <row r="339" spans="1:24" x14ac:dyDescent="0.2">
      <c r="A339" s="128"/>
      <c r="B339" s="140" t="s">
        <v>83</v>
      </c>
      <c r="C339" s="20">
        <v>2018</v>
      </c>
      <c r="D339" s="143">
        <f>SUM(E339:H339)</f>
        <v>2502</v>
      </c>
      <c r="E339" s="33">
        <v>2069</v>
      </c>
      <c r="F339" s="33">
        <v>643</v>
      </c>
      <c r="G339" s="33">
        <v>-210</v>
      </c>
      <c r="H339" s="33">
        <f>(0+0+-44--44)*1000</f>
        <v>0</v>
      </c>
      <c r="I339" s="128"/>
      <c r="J339" s="71"/>
      <c r="K339" s="22"/>
      <c r="L339" s="22"/>
      <c r="M339" s="22"/>
      <c r="N339" s="128"/>
      <c r="O339" s="128"/>
      <c r="P339" s="128"/>
      <c r="Q339" s="128" t="str">
        <f t="shared" ref="Q339:Q340" si="169">$A$333&amp;C339&amp;"INC"</f>
        <v>FE2018INC</v>
      </c>
      <c r="R339" s="61">
        <f t="shared" si="167"/>
        <v>1</v>
      </c>
      <c r="S339" s="61">
        <f>SUM(E339:F339)/SUM(E339:F339)</f>
        <v>1</v>
      </c>
      <c r="T339" s="61">
        <v>0</v>
      </c>
      <c r="U339" s="37">
        <f t="shared" si="168"/>
        <v>1</v>
      </c>
      <c r="V339" s="37">
        <f t="shared" si="168"/>
        <v>0</v>
      </c>
      <c r="W339" s="37"/>
      <c r="X339" s="37"/>
    </row>
    <row r="340" spans="1:24" x14ac:dyDescent="0.2">
      <c r="A340" s="128"/>
      <c r="B340" s="140"/>
      <c r="C340" s="20">
        <v>2017</v>
      </c>
      <c r="D340" s="143">
        <f>SUM(E340:H340)</f>
        <v>2378</v>
      </c>
      <c r="E340" s="33">
        <f>(916+580+535-57)</f>
        <v>1974</v>
      </c>
      <c r="F340" s="33">
        <f>(336+205+156-1)</f>
        <v>696</v>
      </c>
      <c r="G340" s="33">
        <f>(-1541+930+358-39)</f>
        <v>-292</v>
      </c>
      <c r="H340" s="145">
        <f>(0+0+-44--44)</f>
        <v>0</v>
      </c>
      <c r="I340" s="128"/>
      <c r="J340" s="71"/>
      <c r="K340" s="22"/>
      <c r="L340" s="22"/>
      <c r="M340" s="22"/>
      <c r="N340" s="128"/>
      <c r="O340" s="128"/>
      <c r="P340" s="128"/>
      <c r="Q340" s="128" t="str">
        <f t="shared" si="169"/>
        <v>FE2017INC</v>
      </c>
      <c r="R340" s="61">
        <f t="shared" si="167"/>
        <v>1</v>
      </c>
      <c r="S340" s="61">
        <f>SUM(E340:F340)/SUM(E340:F340)</f>
        <v>1</v>
      </c>
      <c r="T340" s="61">
        <v>0</v>
      </c>
      <c r="U340" s="37">
        <f t="shared" si="168"/>
        <v>1</v>
      </c>
      <c r="V340" s="37">
        <f t="shared" si="168"/>
        <v>0</v>
      </c>
      <c r="W340" s="37"/>
      <c r="X340" s="37"/>
    </row>
    <row r="341" spans="1:24" x14ac:dyDescent="0.2">
      <c r="A341" s="128"/>
      <c r="B341" s="140"/>
      <c r="C341" s="20"/>
      <c r="D341" s="146"/>
      <c r="E341" s="33"/>
      <c r="F341" s="33"/>
      <c r="G341" s="33"/>
      <c r="H341" s="33"/>
      <c r="I341" s="128"/>
      <c r="J341" s="22"/>
      <c r="K341" s="22"/>
      <c r="L341" s="22"/>
      <c r="M341" s="22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</row>
    <row r="342" spans="1:24" x14ac:dyDescent="0.2">
      <c r="A342" s="128"/>
      <c r="B342" s="140"/>
      <c r="C342" s="20">
        <v>2019</v>
      </c>
      <c r="D342" s="143">
        <f>SUM(E342:H342)</f>
        <v>42301</v>
      </c>
      <c r="E342" s="33">
        <v>29642</v>
      </c>
      <c r="F342" s="33">
        <v>11611</v>
      </c>
      <c r="G342" s="33">
        <v>1015</v>
      </c>
      <c r="H342" s="33">
        <v>33</v>
      </c>
      <c r="I342" s="128"/>
      <c r="J342" s="22"/>
      <c r="K342" s="22"/>
      <c r="L342" s="22"/>
      <c r="M342" s="22"/>
      <c r="N342" s="128"/>
      <c r="O342" s="128"/>
      <c r="P342" s="128"/>
      <c r="Q342" s="128" t="str">
        <f>$A$333&amp;C342&amp;"ASSETS"</f>
        <v>FE2019ASSETS</v>
      </c>
      <c r="R342" s="61">
        <f t="shared" ref="R342:R344" si="170">IF(SUM(E342:F342)/D342&gt;1,1,SUM(E342:F342)/D342)</f>
        <v>0.97522517198174985</v>
      </c>
      <c r="S342" s="61">
        <f>SUM(E342:F342)/SUM(E342:F342)</f>
        <v>1</v>
      </c>
      <c r="T342" s="61">
        <v>0</v>
      </c>
      <c r="U342" s="37">
        <f t="shared" ref="U342:V344" si="171">IF(OR(ISBLANK($R342),ISBLANK(S342)),"NA",$R342*S342)</f>
        <v>0.97522517198174985</v>
      </c>
      <c r="V342" s="37">
        <f t="shared" si="171"/>
        <v>0</v>
      </c>
      <c r="W342" s="37"/>
      <c r="X342" s="37"/>
    </row>
    <row r="343" spans="1:24" x14ac:dyDescent="0.2">
      <c r="A343" s="128"/>
      <c r="B343" s="140" t="s">
        <v>84</v>
      </c>
      <c r="C343" s="20">
        <v>2018</v>
      </c>
      <c r="D343" s="143">
        <f>SUM(E343:H343)</f>
        <v>40063</v>
      </c>
      <c r="E343" s="33">
        <v>28690</v>
      </c>
      <c r="F343" s="33">
        <v>10404</v>
      </c>
      <c r="G343" s="33">
        <v>944</v>
      </c>
      <c r="H343" s="33">
        <v>25</v>
      </c>
      <c r="I343" s="128"/>
      <c r="J343" s="22"/>
      <c r="K343" s="22"/>
      <c r="L343" s="22"/>
      <c r="M343" s="22"/>
      <c r="N343" s="128"/>
      <c r="O343" s="128"/>
      <c r="P343" s="128"/>
      <c r="Q343" s="128" t="str">
        <f t="shared" ref="Q343:Q344" si="172">$A$333&amp;C343&amp;"ASSETS"</f>
        <v>FE2018ASSETS</v>
      </c>
      <c r="R343" s="61">
        <f t="shared" si="170"/>
        <v>0.97581309437635722</v>
      </c>
      <c r="S343" s="61">
        <f>SUM(E343:F343)/SUM(E343:F343)</f>
        <v>1</v>
      </c>
      <c r="T343" s="61">
        <v>0</v>
      </c>
      <c r="U343" s="37">
        <f t="shared" si="171"/>
        <v>0.97581309437635722</v>
      </c>
      <c r="V343" s="37">
        <f t="shared" si="171"/>
        <v>0</v>
      </c>
      <c r="W343" s="37"/>
      <c r="X343" s="37"/>
    </row>
    <row r="344" spans="1:24" x14ac:dyDescent="0.2">
      <c r="A344" s="128"/>
      <c r="C344" s="20">
        <v>2017</v>
      </c>
      <c r="D344" s="143">
        <f>SUM(E344:H344)</f>
        <v>42257</v>
      </c>
      <c r="E344" s="33">
        <v>27730</v>
      </c>
      <c r="F344" s="33">
        <v>9525</v>
      </c>
      <c r="G344" s="33">
        <v>1007</v>
      </c>
      <c r="H344" s="33">
        <v>3995</v>
      </c>
      <c r="I344" s="128"/>
      <c r="J344" s="22"/>
      <c r="K344" s="22"/>
      <c r="L344" s="22"/>
      <c r="M344" s="22"/>
      <c r="N344" s="128"/>
      <c r="O344" s="128"/>
      <c r="P344" s="128"/>
      <c r="Q344" s="128" t="str">
        <f t="shared" si="172"/>
        <v>FE2017ASSETS</v>
      </c>
      <c r="R344" s="61">
        <f t="shared" si="170"/>
        <v>0.88162907920581202</v>
      </c>
      <c r="S344" s="61">
        <f>SUM(E344:F344)/SUM(E344:F344)</f>
        <v>1</v>
      </c>
      <c r="T344" s="61">
        <v>0</v>
      </c>
      <c r="U344" s="37">
        <f t="shared" si="171"/>
        <v>0.88162907920581202</v>
      </c>
      <c r="V344" s="37">
        <f t="shared" si="171"/>
        <v>0</v>
      </c>
      <c r="W344" s="37"/>
      <c r="X344" s="37"/>
    </row>
    <row r="345" spans="1:24" x14ac:dyDescent="0.2">
      <c r="D345" s="76"/>
    </row>
    <row r="348" spans="1:24" x14ac:dyDescent="0.2">
      <c r="A348" s="18" t="s">
        <v>44</v>
      </c>
      <c r="B348" s="140"/>
      <c r="C348" s="139"/>
      <c r="D348" s="128"/>
      <c r="E348" s="33"/>
      <c r="F348" s="33"/>
      <c r="G348" s="33"/>
      <c r="H348" s="22"/>
      <c r="I348" s="22"/>
      <c r="J348" s="22"/>
      <c r="K348" s="22"/>
      <c r="L348" s="22"/>
      <c r="M348" s="22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</row>
    <row r="349" spans="1:24" x14ac:dyDescent="0.2">
      <c r="A349" s="128" t="s">
        <v>220</v>
      </c>
      <c r="B349" s="140"/>
      <c r="C349" s="139"/>
      <c r="D349" s="128"/>
      <c r="E349" s="33"/>
      <c r="F349" s="33"/>
      <c r="G349" s="33"/>
      <c r="H349" s="22"/>
      <c r="I349" s="22"/>
      <c r="J349" s="22"/>
      <c r="K349" s="22"/>
      <c r="L349" s="22"/>
      <c r="M349" s="22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</row>
    <row r="350" spans="1:24" ht="63.75" x14ac:dyDescent="0.2">
      <c r="A350" s="18" t="s">
        <v>45</v>
      </c>
      <c r="B350" s="140"/>
      <c r="C350" s="139"/>
      <c r="D350" s="139" t="s">
        <v>75</v>
      </c>
      <c r="E350" s="51" t="s">
        <v>133</v>
      </c>
      <c r="F350" s="51" t="s">
        <v>221</v>
      </c>
      <c r="G350" s="51" t="s">
        <v>88</v>
      </c>
      <c r="H350" s="22"/>
      <c r="I350" s="22"/>
      <c r="J350" s="22"/>
      <c r="K350" s="22"/>
      <c r="L350" s="22"/>
      <c r="M350" s="22"/>
      <c r="N350" s="128"/>
      <c r="O350" s="128"/>
      <c r="P350" s="128"/>
      <c r="Q350" s="141"/>
      <c r="R350" s="142" t="s">
        <v>77</v>
      </c>
      <c r="S350" s="142" t="s">
        <v>78</v>
      </c>
      <c r="T350" s="142" t="s">
        <v>79</v>
      </c>
      <c r="U350" s="142" t="s">
        <v>80</v>
      </c>
      <c r="V350" s="142" t="s">
        <v>81</v>
      </c>
      <c r="W350" s="144"/>
      <c r="X350" s="144"/>
    </row>
    <row r="351" spans="1:24" x14ac:dyDescent="0.2">
      <c r="A351" s="128"/>
      <c r="B351" s="140"/>
      <c r="C351" s="20">
        <v>2019</v>
      </c>
      <c r="D351" s="143">
        <f>SUM(E351:G351)</f>
        <v>2874601</v>
      </c>
      <c r="E351" s="33">
        <v>2545942</v>
      </c>
      <c r="F351" s="33">
        <v>328570</v>
      </c>
      <c r="G351" s="33">
        <v>89</v>
      </c>
      <c r="H351" s="22"/>
      <c r="I351" s="22"/>
      <c r="J351" s="22"/>
      <c r="K351" s="22"/>
      <c r="L351" s="22"/>
      <c r="M351" s="22"/>
      <c r="N351" s="128"/>
      <c r="O351" s="128"/>
      <c r="P351" s="128"/>
      <c r="Q351" s="128" t="str">
        <f>$A$350&amp;C351&amp;"REV"</f>
        <v>HE2019REV</v>
      </c>
      <c r="R351" s="61">
        <f>IF(E351/D351&gt;1,1,E351/D351)</f>
        <v>0.88566795878801963</v>
      </c>
      <c r="S351" s="61">
        <f>E351/E351</f>
        <v>1</v>
      </c>
      <c r="T351" s="61">
        <v>0</v>
      </c>
      <c r="U351" s="37">
        <f>IF(OR(ISBLANK($R351),ISBLANK(S351)),"NA",$R351*S351)</f>
        <v>0.88566795878801963</v>
      </c>
      <c r="V351" s="37">
        <f>IF(OR(ISBLANK($R351),ISBLANK(T351)),"NA",$R351*T351)</f>
        <v>0</v>
      </c>
      <c r="W351" s="37"/>
      <c r="X351" s="37"/>
    </row>
    <row r="352" spans="1:24" x14ac:dyDescent="0.2">
      <c r="A352" s="128"/>
      <c r="B352" s="140" t="s">
        <v>82</v>
      </c>
      <c r="C352" s="20">
        <v>2018</v>
      </c>
      <c r="D352" s="143">
        <f>SUM(E352:G352)</f>
        <v>2860849</v>
      </c>
      <c r="E352" s="33">
        <v>2546525</v>
      </c>
      <c r="F352" s="33">
        <v>314275</v>
      </c>
      <c r="G352" s="33">
        <v>49</v>
      </c>
      <c r="H352" s="22"/>
      <c r="I352" s="22"/>
      <c r="J352" s="22"/>
      <c r="K352" s="22"/>
      <c r="L352" s="22"/>
      <c r="M352" s="22"/>
      <c r="N352" s="128"/>
      <c r="O352" s="128"/>
      <c r="P352" s="128"/>
      <c r="Q352" s="128" t="str">
        <f t="shared" ref="Q352:Q353" si="173">$A$350&amp;C352&amp;"REV"</f>
        <v>HE2018REV</v>
      </c>
      <c r="R352" s="61">
        <f t="shared" ref="R352:R353" si="174">IF(E352/D352&gt;1,1,E352/D352)</f>
        <v>0.89012911901327196</v>
      </c>
      <c r="S352" s="61">
        <f>E352/E352</f>
        <v>1</v>
      </c>
      <c r="T352" s="61">
        <v>0</v>
      </c>
      <c r="U352" s="37">
        <f>IF(OR(ISBLANK($R352),ISBLANK(S352)),"NA",$R352*S352)</f>
        <v>0.89012911901327196</v>
      </c>
      <c r="V352" s="37">
        <f>IF(OR(ISBLANK($R352),ISBLANK(T352)),"NA",$R352*T352)</f>
        <v>0</v>
      </c>
      <c r="W352" s="37"/>
      <c r="X352" s="37"/>
    </row>
    <row r="353" spans="1:24" x14ac:dyDescent="0.2">
      <c r="A353" s="128"/>
      <c r="B353" s="140"/>
      <c r="C353" s="20">
        <v>2017</v>
      </c>
      <c r="D353" s="143">
        <f t="shared" ref="D353:D361" si="175">SUM(E353:G353)</f>
        <v>2555625</v>
      </c>
      <c r="E353" s="51">
        <v>2257566</v>
      </c>
      <c r="F353" s="51">
        <v>297640</v>
      </c>
      <c r="G353" s="51">
        <v>419</v>
      </c>
      <c r="H353" s="22"/>
      <c r="I353" s="22"/>
      <c r="J353" s="22"/>
      <c r="K353" s="22"/>
      <c r="L353" s="22"/>
      <c r="M353" s="22"/>
      <c r="N353" s="128"/>
      <c r="O353" s="128"/>
      <c r="P353" s="128"/>
      <c r="Q353" s="128" t="str">
        <f t="shared" si="173"/>
        <v>HE2017REV</v>
      </c>
      <c r="R353" s="61">
        <f t="shared" si="174"/>
        <v>0.88337138664710202</v>
      </c>
      <c r="S353" s="61">
        <f>E353/E353</f>
        <v>1</v>
      </c>
      <c r="T353" s="61">
        <v>0</v>
      </c>
      <c r="U353" s="37">
        <f t="shared" ref="U353:V353" si="176">IF(OR(ISBLANK($R353),ISBLANK(S353)),"NA",$R353*S353)</f>
        <v>0.88337138664710202</v>
      </c>
      <c r="V353" s="37">
        <f t="shared" si="176"/>
        <v>0</v>
      </c>
      <c r="W353" s="37"/>
      <c r="X353" s="37"/>
    </row>
    <row r="354" spans="1:24" x14ac:dyDescent="0.2">
      <c r="A354" s="128"/>
      <c r="B354" s="140"/>
      <c r="C354" s="20"/>
      <c r="D354" s="143"/>
      <c r="E354" s="33"/>
      <c r="F354" s="33"/>
      <c r="G354" s="33"/>
      <c r="H354" s="22"/>
      <c r="I354" s="22"/>
      <c r="J354" s="22"/>
      <c r="K354" s="22"/>
      <c r="L354" s="22"/>
      <c r="M354" s="22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</row>
    <row r="355" spans="1:24" x14ac:dyDescent="0.2">
      <c r="A355" s="128"/>
      <c r="B355" s="140"/>
      <c r="C355" s="20">
        <v>2019</v>
      </c>
      <c r="D355" s="143">
        <f t="shared" si="175"/>
        <v>348764</v>
      </c>
      <c r="E355" s="33">
        <v>254378</v>
      </c>
      <c r="F355" s="33">
        <v>111652</v>
      </c>
      <c r="G355" s="33">
        <v>-17266</v>
      </c>
      <c r="H355" s="22"/>
      <c r="I355" s="22"/>
      <c r="J355" s="22"/>
      <c r="K355" s="22"/>
      <c r="L355" s="22"/>
      <c r="M355" s="22"/>
      <c r="N355" s="128"/>
      <c r="O355" s="128"/>
      <c r="P355" s="128"/>
      <c r="Q355" s="128" t="str">
        <f>$A$350&amp;C355&amp;"INC"</f>
        <v>HE2019INC</v>
      </c>
      <c r="R355" s="61">
        <f t="shared" ref="R355:R357" si="177">IF(E355/D355&gt;1,1,E355/D355)</f>
        <v>0.72937000378479433</v>
      </c>
      <c r="S355" s="61">
        <f>E355/E355</f>
        <v>1</v>
      </c>
      <c r="T355" s="61">
        <v>0</v>
      </c>
      <c r="U355" s="37">
        <f>IF(OR(ISBLANK($R355),ISBLANK(S355)),"NA",$R355*S355)</f>
        <v>0.72937000378479433</v>
      </c>
      <c r="V355" s="37">
        <f>IF(OR(ISBLANK($R355),ISBLANK(T355)),"NA",$R355*T355)</f>
        <v>0</v>
      </c>
      <c r="W355" s="37"/>
      <c r="X355" s="37"/>
    </row>
    <row r="356" spans="1:24" x14ac:dyDescent="0.2">
      <c r="A356" s="128"/>
      <c r="B356" s="140" t="s">
        <v>83</v>
      </c>
      <c r="C356" s="20">
        <v>2018</v>
      </c>
      <c r="D356" s="143">
        <f t="shared" si="175"/>
        <v>333356</v>
      </c>
      <c r="E356" s="33">
        <v>241661</v>
      </c>
      <c r="F356" s="33">
        <v>108235</v>
      </c>
      <c r="G356" s="33">
        <v>-16540</v>
      </c>
      <c r="H356" s="22"/>
      <c r="I356" s="22"/>
      <c r="J356" s="22"/>
      <c r="K356" s="22"/>
      <c r="L356" s="22"/>
      <c r="M356" s="22"/>
      <c r="N356" s="128"/>
      <c r="O356" s="128"/>
      <c r="P356" s="128"/>
      <c r="Q356" s="128" t="str">
        <f t="shared" ref="Q356:Q357" si="178">$A$350&amp;C356&amp;"INC"</f>
        <v>HE2018INC</v>
      </c>
      <c r="R356" s="61">
        <f t="shared" si="177"/>
        <v>0.72493370450809347</v>
      </c>
      <c r="S356" s="61">
        <f>E356/E356</f>
        <v>1</v>
      </c>
      <c r="T356" s="61">
        <v>0</v>
      </c>
      <c r="U356" s="37">
        <f>IF(OR(ISBLANK($R356),ISBLANK(S356)),"NA",$R356*S356)</f>
        <v>0.72493370450809347</v>
      </c>
      <c r="V356" s="37">
        <f>IF(OR(ISBLANK($R356),ISBLANK(T356)),"NA",$R356*T356)</f>
        <v>0</v>
      </c>
      <c r="W356" s="37"/>
      <c r="X356" s="37"/>
    </row>
    <row r="357" spans="1:24" x14ac:dyDescent="0.2">
      <c r="A357" s="128"/>
      <c r="B357" s="140"/>
      <c r="C357" s="20">
        <v>2017</v>
      </c>
      <c r="D357" s="143">
        <f t="shared" si="175"/>
        <v>346233</v>
      </c>
      <c r="E357" s="33">
        <v>263524</v>
      </c>
      <c r="F357" s="33">
        <v>99536</v>
      </c>
      <c r="G357" s="33">
        <v>-16827</v>
      </c>
      <c r="H357" s="22"/>
      <c r="I357" s="22"/>
      <c r="J357" s="22"/>
      <c r="K357" s="22"/>
      <c r="L357" s="22"/>
      <c r="M357" s="22"/>
      <c r="N357" s="128"/>
      <c r="O357" s="128"/>
      <c r="P357" s="128"/>
      <c r="Q357" s="128" t="str">
        <f t="shared" si="178"/>
        <v>HE2017INC</v>
      </c>
      <c r="R357" s="61">
        <f t="shared" si="177"/>
        <v>0.76111751335083599</v>
      </c>
      <c r="S357" s="61">
        <f>E357/E357</f>
        <v>1</v>
      </c>
      <c r="T357" s="61">
        <v>0</v>
      </c>
      <c r="U357" s="37">
        <f t="shared" ref="U357:V357" si="179">IF(OR(ISBLANK($R357),ISBLANK(S357)),"NA",$R357*S357)</f>
        <v>0.76111751335083599</v>
      </c>
      <c r="V357" s="37">
        <f t="shared" si="179"/>
        <v>0</v>
      </c>
      <c r="W357" s="37"/>
      <c r="X357" s="37"/>
    </row>
    <row r="358" spans="1:24" x14ac:dyDescent="0.2">
      <c r="A358" s="128"/>
      <c r="B358" s="140"/>
      <c r="C358" s="20"/>
      <c r="D358" s="143"/>
      <c r="E358" s="33"/>
      <c r="F358" s="33"/>
      <c r="G358" s="33"/>
      <c r="H358" s="22"/>
      <c r="I358" s="22"/>
      <c r="J358" s="22"/>
      <c r="K358" s="22"/>
      <c r="L358" s="22"/>
      <c r="M358" s="22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</row>
    <row r="359" spans="1:24" x14ac:dyDescent="0.2">
      <c r="A359" s="128"/>
      <c r="B359" s="140"/>
      <c r="C359" s="20">
        <v>2019</v>
      </c>
      <c r="D359" s="143">
        <f t="shared" si="175"/>
        <v>13745251</v>
      </c>
      <c r="E359" s="33">
        <v>6388682</v>
      </c>
      <c r="F359" s="33">
        <v>7233017</v>
      </c>
      <c r="G359" s="33">
        <v>123552</v>
      </c>
      <c r="H359" s="22"/>
      <c r="I359" s="22"/>
      <c r="J359" s="22"/>
      <c r="K359" s="22"/>
      <c r="L359" s="22"/>
      <c r="M359" s="22"/>
      <c r="N359" s="128"/>
      <c r="O359" s="128"/>
      <c r="P359" s="128"/>
      <c r="Q359" s="128" t="str">
        <f>$A$350&amp;C359&amp;"ASSETS"</f>
        <v>HE2019ASSETS</v>
      </c>
      <c r="R359" s="61">
        <f t="shared" ref="R359:R361" si="180">IF(E359/D359&gt;1,1,E359/D359)</f>
        <v>0.46479194887019526</v>
      </c>
      <c r="S359" s="61">
        <f>E359/E359</f>
        <v>1</v>
      </c>
      <c r="T359" s="61">
        <v>0</v>
      </c>
      <c r="U359" s="37">
        <f>IF(OR(ISBLANK($R359),ISBLANK(S359)),"NA",$R359*S359)</f>
        <v>0.46479194887019526</v>
      </c>
      <c r="V359" s="37">
        <f>IF(OR(ISBLANK($R359),ISBLANK(T359)),"NA",$R359*T359)</f>
        <v>0</v>
      </c>
      <c r="W359" s="37"/>
      <c r="X359" s="37"/>
    </row>
    <row r="360" spans="1:24" x14ac:dyDescent="0.2">
      <c r="A360" s="128"/>
      <c r="B360" s="140" t="s">
        <v>84</v>
      </c>
      <c r="C360" s="20">
        <v>2018</v>
      </c>
      <c r="D360" s="143">
        <f t="shared" si="175"/>
        <v>13104051</v>
      </c>
      <c r="E360" s="33">
        <v>5967503</v>
      </c>
      <c r="F360" s="33">
        <v>7027894</v>
      </c>
      <c r="G360" s="33">
        <v>108654</v>
      </c>
      <c r="H360" s="22"/>
      <c r="I360" s="22"/>
      <c r="J360" s="22"/>
      <c r="K360" s="22"/>
      <c r="L360" s="22"/>
      <c r="M360" s="22"/>
      <c r="N360" s="128"/>
      <c r="O360" s="128"/>
      <c r="P360" s="128"/>
      <c r="Q360" s="128" t="str">
        <f t="shared" ref="Q360:Q361" si="181">$A$350&amp;C360&amp;"ASSETS"</f>
        <v>HE2018ASSETS</v>
      </c>
      <c r="R360" s="61">
        <f t="shared" si="180"/>
        <v>0.45539375571722057</v>
      </c>
      <c r="S360" s="61">
        <f>E360/E360</f>
        <v>1</v>
      </c>
      <c r="T360" s="61">
        <v>0</v>
      </c>
      <c r="U360" s="37">
        <f>IF(OR(ISBLANK($R360),ISBLANK(S360)),"NA",$R360*S360)</f>
        <v>0.45539375571722057</v>
      </c>
      <c r="V360" s="37">
        <f>IF(OR(ISBLANK($R360),ISBLANK(T360)),"NA",$R360*T360)</f>
        <v>0</v>
      </c>
      <c r="W360" s="37"/>
      <c r="X360" s="37"/>
    </row>
    <row r="361" spans="1:24" x14ac:dyDescent="0.2">
      <c r="A361" s="128"/>
      <c r="B361" s="128"/>
      <c r="C361" s="20">
        <v>2017</v>
      </c>
      <c r="D361" s="143">
        <f t="shared" si="175"/>
        <v>12534160</v>
      </c>
      <c r="E361" s="33">
        <v>5630613</v>
      </c>
      <c r="F361" s="33">
        <v>6798659</v>
      </c>
      <c r="G361" s="33">
        <v>104888</v>
      </c>
      <c r="H361" s="22"/>
      <c r="I361" s="22"/>
      <c r="J361" s="22"/>
      <c r="K361" s="22"/>
      <c r="L361" s="22"/>
      <c r="M361" s="22"/>
      <c r="N361" s="128"/>
      <c r="O361" s="128"/>
      <c r="P361" s="128"/>
      <c r="Q361" s="128" t="str">
        <f t="shared" si="181"/>
        <v>HE2017ASSETS</v>
      </c>
      <c r="R361" s="61">
        <f t="shared" si="180"/>
        <v>0.44922140773693647</v>
      </c>
      <c r="S361" s="61">
        <f>E361/E361</f>
        <v>1</v>
      </c>
      <c r="T361" s="61">
        <v>0</v>
      </c>
      <c r="U361" s="37">
        <f t="shared" ref="U361:V361" si="182">IF(OR(ISBLANK($R361),ISBLANK(S361)),"NA",$R361*S361)</f>
        <v>0.44922140773693647</v>
      </c>
      <c r="V361" s="37">
        <f t="shared" si="182"/>
        <v>0</v>
      </c>
      <c r="W361" s="37"/>
      <c r="X361" s="37"/>
    </row>
    <row r="362" spans="1:24" x14ac:dyDescent="0.2">
      <c r="D362" s="76"/>
    </row>
    <row r="365" spans="1:24" x14ac:dyDescent="0.2">
      <c r="A365" s="18" t="s">
        <v>47</v>
      </c>
      <c r="B365" s="140"/>
      <c r="C365" s="139"/>
      <c r="D365" s="128"/>
      <c r="E365" s="33"/>
      <c r="F365" s="33"/>
      <c r="G365" s="33"/>
      <c r="H365" s="22"/>
      <c r="I365" s="22"/>
      <c r="J365" s="22"/>
      <c r="K365" s="22"/>
      <c r="L365" s="22"/>
      <c r="M365" s="22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</row>
    <row r="366" spans="1:24" x14ac:dyDescent="0.2">
      <c r="A366" s="128" t="s">
        <v>222</v>
      </c>
      <c r="B366" s="140"/>
      <c r="C366" s="139"/>
      <c r="D366" s="128"/>
      <c r="E366" s="33"/>
      <c r="F366" s="33"/>
      <c r="G366" s="33"/>
      <c r="H366" s="22"/>
      <c r="I366" s="22"/>
      <c r="J366" s="22"/>
      <c r="K366" s="22"/>
      <c r="L366" s="22"/>
      <c r="M366" s="22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</row>
    <row r="367" spans="1:24" ht="63.75" x14ac:dyDescent="0.2">
      <c r="A367" s="147" t="s">
        <v>48</v>
      </c>
      <c r="B367" s="140" t="s">
        <v>223</v>
      </c>
      <c r="C367" s="139"/>
      <c r="D367" s="139" t="s">
        <v>75</v>
      </c>
      <c r="E367" s="51" t="s">
        <v>224</v>
      </c>
      <c r="F367" s="51" t="s">
        <v>225</v>
      </c>
      <c r="G367" s="51" t="s">
        <v>76</v>
      </c>
      <c r="H367" s="22"/>
      <c r="I367" s="22"/>
      <c r="J367" s="22"/>
      <c r="K367" s="22"/>
      <c r="L367" s="22"/>
      <c r="M367" s="22"/>
      <c r="N367" s="128"/>
      <c r="O367" s="128"/>
      <c r="P367" s="128"/>
      <c r="Q367" s="141"/>
      <c r="R367" s="142" t="s">
        <v>77</v>
      </c>
      <c r="S367" s="142" t="s">
        <v>78</v>
      </c>
      <c r="T367" s="142" t="s">
        <v>79</v>
      </c>
      <c r="U367" s="142" t="s">
        <v>80</v>
      </c>
      <c r="V367" s="142" t="s">
        <v>81</v>
      </c>
      <c r="W367" s="144"/>
      <c r="X367" s="144"/>
    </row>
    <row r="368" spans="1:24" x14ac:dyDescent="0.2">
      <c r="A368" s="128"/>
      <c r="B368" s="140"/>
      <c r="C368" s="139">
        <v>2019</v>
      </c>
      <c r="D368" s="143">
        <f>SUM(E368:M368)</f>
        <v>1346383</v>
      </c>
      <c r="E368" s="51">
        <v>1342940</v>
      </c>
      <c r="F368" s="51">
        <v>3443</v>
      </c>
      <c r="G368" s="51">
        <v>0</v>
      </c>
      <c r="H368" s="22"/>
      <c r="I368" s="22"/>
      <c r="J368" s="22"/>
      <c r="K368" s="22"/>
      <c r="L368" s="22"/>
      <c r="M368" s="22"/>
      <c r="N368" s="128"/>
      <c r="O368" s="128"/>
      <c r="P368" s="128"/>
      <c r="Q368" s="128" t="str">
        <f>$A$367&amp;C368&amp;"REV"</f>
        <v>IDA2019REV</v>
      </c>
      <c r="R368" s="61">
        <f>IF(E368/D368&gt;1,1,E368/D368)</f>
        <v>0.99744277816936189</v>
      </c>
      <c r="S368" s="61">
        <f>E368/E368</f>
        <v>1</v>
      </c>
      <c r="T368" s="61">
        <v>0</v>
      </c>
      <c r="U368" s="37">
        <f>IF(OR(ISBLANK($R368),ISBLANK(S368)),"NA",$R368*S368)</f>
        <v>0.99744277816936189</v>
      </c>
      <c r="V368" s="37">
        <f>IF(OR(ISBLANK($R368),ISBLANK(T368)),"NA",$R368*T368)</f>
        <v>0</v>
      </c>
      <c r="W368" s="37"/>
      <c r="X368" s="37"/>
    </row>
    <row r="369" spans="1:24" x14ac:dyDescent="0.2">
      <c r="A369" s="128"/>
      <c r="B369" s="140" t="s">
        <v>82</v>
      </c>
      <c r="C369" s="139">
        <v>2018</v>
      </c>
      <c r="D369" s="143">
        <f>SUM(E369:M369)</f>
        <v>1370752</v>
      </c>
      <c r="E369" s="27">
        <v>1366582</v>
      </c>
      <c r="F369" s="27">
        <v>4170</v>
      </c>
      <c r="G369" s="51">
        <v>0</v>
      </c>
      <c r="H369" s="22"/>
      <c r="I369" s="22"/>
      <c r="J369" s="22"/>
      <c r="K369" s="22"/>
      <c r="L369" s="22"/>
      <c r="M369" s="22"/>
      <c r="N369" s="128"/>
      <c r="O369" s="128"/>
      <c r="P369" s="128"/>
      <c r="Q369" s="128" t="str">
        <f t="shared" ref="Q369:Q370" si="183">$A$367&amp;C369&amp;"REV"</f>
        <v>IDA2018REV</v>
      </c>
      <c r="R369" s="61">
        <f t="shared" ref="R369:R370" si="184">IF(E369/D369&gt;1,1,E369/D369)</f>
        <v>0.99695787421794757</v>
      </c>
      <c r="S369" s="61">
        <f>E369/E369</f>
        <v>1</v>
      </c>
      <c r="T369" s="61">
        <v>0</v>
      </c>
      <c r="U369" s="37">
        <f>IF(OR(ISBLANK($R369),ISBLANK(S369)),"NA",$R369*S369)</f>
        <v>0.99695787421794757</v>
      </c>
      <c r="V369" s="37">
        <f>IF(OR(ISBLANK($R369),ISBLANK(T369)),"NA",$R369*T369)</f>
        <v>0</v>
      </c>
      <c r="W369" s="37"/>
      <c r="X369" s="37"/>
    </row>
    <row r="370" spans="1:24" x14ac:dyDescent="0.2">
      <c r="A370" s="128"/>
      <c r="B370" s="140"/>
      <c r="C370" s="139">
        <v>2017</v>
      </c>
      <c r="D370" s="143">
        <f>SUM(E370:M370)</f>
        <v>1349486</v>
      </c>
      <c r="E370" s="35">
        <v>1344893</v>
      </c>
      <c r="F370" s="51">
        <v>4593</v>
      </c>
      <c r="G370" s="51">
        <v>0</v>
      </c>
      <c r="H370" s="22"/>
      <c r="I370" s="22"/>
      <c r="J370" s="22"/>
      <c r="K370" s="22"/>
      <c r="L370" s="22"/>
      <c r="M370" s="22"/>
      <c r="N370" s="128"/>
      <c r="O370" s="128"/>
      <c r="P370" s="128"/>
      <c r="Q370" s="128" t="str">
        <f t="shared" si="183"/>
        <v>IDA2017REV</v>
      </c>
      <c r="R370" s="61">
        <f t="shared" si="184"/>
        <v>0.99659648191978278</v>
      </c>
      <c r="S370" s="61">
        <f>E370/E370</f>
        <v>1</v>
      </c>
      <c r="T370" s="61">
        <v>0</v>
      </c>
      <c r="U370" s="37">
        <f t="shared" ref="U370:V370" si="185">IF(OR(ISBLANK($R370),ISBLANK(S370)),"NA",$R370*S370)</f>
        <v>0.99659648191978278</v>
      </c>
      <c r="V370" s="37">
        <f t="shared" si="185"/>
        <v>0</v>
      </c>
      <c r="W370" s="37"/>
      <c r="X370" s="37"/>
    </row>
    <row r="371" spans="1:24" x14ac:dyDescent="0.2">
      <c r="A371" s="128"/>
      <c r="B371" s="140"/>
      <c r="C371" s="139"/>
      <c r="D371" s="128"/>
      <c r="E371" s="33"/>
      <c r="F371" s="33"/>
      <c r="G371" s="33"/>
      <c r="H371" s="22"/>
      <c r="I371" s="22"/>
      <c r="J371" s="22"/>
      <c r="K371" s="22"/>
      <c r="L371" s="22"/>
      <c r="M371" s="22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</row>
    <row r="372" spans="1:24" x14ac:dyDescent="0.2">
      <c r="A372" s="128"/>
      <c r="B372" s="140"/>
      <c r="C372" s="139">
        <v>2019</v>
      </c>
      <c r="D372" s="143">
        <f t="shared" ref="D372:D373" si="186">SUM(E372:M372)</f>
        <v>298326</v>
      </c>
      <c r="E372" s="27">
        <v>297652</v>
      </c>
      <c r="F372" s="27">
        <v>674</v>
      </c>
      <c r="G372" s="51">
        <v>0</v>
      </c>
      <c r="H372" s="22"/>
      <c r="I372" s="22"/>
      <c r="J372" s="22"/>
      <c r="K372" s="22"/>
      <c r="L372" s="22"/>
      <c r="M372" s="22"/>
      <c r="N372" s="128"/>
      <c r="O372" s="128"/>
      <c r="P372" s="128"/>
      <c r="Q372" s="128" t="str">
        <f>$A$367&amp;C372&amp;"INC"</f>
        <v>IDA2019INC</v>
      </c>
      <c r="R372" s="61">
        <f t="shared" ref="R372:R374" si="187">IF(E372/D372&gt;1,1,E372/D372)</f>
        <v>0.99774072658769264</v>
      </c>
      <c r="S372" s="61">
        <f>E372/E372</f>
        <v>1</v>
      </c>
      <c r="T372" s="61">
        <v>0</v>
      </c>
      <c r="U372" s="37">
        <f>IF(OR(ISBLANK($R372),ISBLANK(S372)),"NA",$R372*S372)</f>
        <v>0.99774072658769264</v>
      </c>
      <c r="V372" s="37">
        <f>IF(OR(ISBLANK($R372),ISBLANK(T372)),"NA",$R372*T372)</f>
        <v>0</v>
      </c>
      <c r="W372" s="37"/>
      <c r="X372" s="37"/>
    </row>
    <row r="373" spans="1:24" x14ac:dyDescent="0.2">
      <c r="A373" s="128"/>
      <c r="B373" s="140" t="s">
        <v>83</v>
      </c>
      <c r="C373" s="139">
        <v>2018</v>
      </c>
      <c r="D373" s="143">
        <f t="shared" si="186"/>
        <v>296922</v>
      </c>
      <c r="E373" s="33">
        <v>295256</v>
      </c>
      <c r="F373" s="33">
        <v>1666</v>
      </c>
      <c r="G373" s="51">
        <v>0</v>
      </c>
      <c r="H373" s="22"/>
      <c r="I373" s="22"/>
      <c r="J373" s="22"/>
      <c r="K373" s="22"/>
      <c r="L373" s="22"/>
      <c r="M373" s="22"/>
      <c r="N373" s="128"/>
      <c r="O373" s="128"/>
      <c r="P373" s="128"/>
      <c r="Q373" s="128" t="str">
        <f t="shared" ref="Q373:Q374" si="188">$A$367&amp;C373&amp;"INC"</f>
        <v>IDA2018INC</v>
      </c>
      <c r="R373" s="61">
        <f t="shared" si="187"/>
        <v>0.9943890988205657</v>
      </c>
      <c r="S373" s="61">
        <f>E373/E373</f>
        <v>1</v>
      </c>
      <c r="T373" s="61">
        <v>0</v>
      </c>
      <c r="U373" s="37">
        <f>IF(OR(ISBLANK($R373),ISBLANK(S373)),"NA",$R373*S373)</f>
        <v>0.9943890988205657</v>
      </c>
      <c r="V373" s="37">
        <f>IF(OR(ISBLANK($R373),ISBLANK(T373)),"NA",$R373*T373)</f>
        <v>0</v>
      </c>
      <c r="W373" s="37"/>
      <c r="X373" s="37"/>
    </row>
    <row r="374" spans="1:24" x14ac:dyDescent="0.2">
      <c r="A374" s="128"/>
      <c r="B374" s="140"/>
      <c r="C374" s="139">
        <v>2017</v>
      </c>
      <c r="D374" s="143">
        <f>SUM(E374:M374)</f>
        <v>315545</v>
      </c>
      <c r="E374" s="35">
        <v>313602</v>
      </c>
      <c r="F374" s="51">
        <v>1943</v>
      </c>
      <c r="G374" s="51">
        <v>0</v>
      </c>
      <c r="H374" s="22"/>
      <c r="I374" s="22"/>
      <c r="J374" s="22"/>
      <c r="K374" s="22"/>
      <c r="L374" s="22"/>
      <c r="M374" s="22"/>
      <c r="N374" s="128"/>
      <c r="O374" s="128"/>
      <c r="P374" s="128"/>
      <c r="Q374" s="128" t="str">
        <f t="shared" si="188"/>
        <v>IDA2017INC</v>
      </c>
      <c r="R374" s="61">
        <f t="shared" si="187"/>
        <v>0.99384239965773502</v>
      </c>
      <c r="S374" s="61">
        <f>E374/E374</f>
        <v>1</v>
      </c>
      <c r="T374" s="61">
        <v>0</v>
      </c>
      <c r="U374" s="37">
        <f t="shared" ref="U374:V374" si="189">IF(OR(ISBLANK($R374),ISBLANK(S374)),"NA",$R374*S374)</f>
        <v>0.99384239965773502</v>
      </c>
      <c r="V374" s="37">
        <f t="shared" si="189"/>
        <v>0</v>
      </c>
      <c r="W374" s="37"/>
      <c r="X374" s="37"/>
    </row>
    <row r="375" spans="1:24" x14ac:dyDescent="0.2">
      <c r="A375" s="128"/>
      <c r="B375" s="140"/>
      <c r="C375" s="139"/>
      <c r="D375" s="146"/>
      <c r="E375" s="33"/>
      <c r="F375" s="33"/>
      <c r="G375" s="33"/>
      <c r="H375" s="22"/>
      <c r="I375" s="22"/>
      <c r="J375" s="22"/>
      <c r="K375" s="22"/>
      <c r="L375" s="22"/>
      <c r="M375" s="22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</row>
    <row r="376" spans="1:24" x14ac:dyDescent="0.2">
      <c r="A376" s="128"/>
      <c r="B376" s="140"/>
      <c r="C376" s="139">
        <v>2019</v>
      </c>
      <c r="D376" s="143">
        <f t="shared" ref="D376:D377" si="190">SUM(E376:M376)</f>
        <v>6641201</v>
      </c>
      <c r="E376" s="27">
        <v>6494159</v>
      </c>
      <c r="F376" s="27">
        <v>220620</v>
      </c>
      <c r="G376" s="27">
        <v>-73578</v>
      </c>
      <c r="H376" s="22"/>
      <c r="I376" s="22"/>
      <c r="J376" s="22"/>
      <c r="K376" s="22"/>
      <c r="L376" s="22"/>
      <c r="M376" s="22"/>
      <c r="N376" s="128"/>
      <c r="O376" s="128"/>
      <c r="P376" s="128"/>
      <c r="Q376" s="128" t="str">
        <f>$A$367&amp;C376&amp;"ASSETS"</f>
        <v>IDA2019ASSETS</v>
      </c>
      <c r="R376" s="61">
        <f t="shared" ref="R376:R378" si="191">IF(E376/D376&gt;1,1,E376/D376)</f>
        <v>0.97785912517931617</v>
      </c>
      <c r="S376" s="61">
        <f>E376/E376</f>
        <v>1</v>
      </c>
      <c r="T376" s="61">
        <v>0</v>
      </c>
      <c r="U376" s="37">
        <f>IF(OR(ISBLANK($R376),ISBLANK(S376)),"NA",$R376*S376)</f>
        <v>0.97785912517931617</v>
      </c>
      <c r="V376" s="37">
        <f>IF(OR(ISBLANK($R376),ISBLANK(T376)),"NA",$R376*T376)</f>
        <v>0</v>
      </c>
      <c r="W376" s="37"/>
      <c r="X376" s="37"/>
    </row>
    <row r="377" spans="1:24" x14ac:dyDescent="0.2">
      <c r="A377" s="128"/>
      <c r="B377" s="140" t="s">
        <v>84</v>
      </c>
      <c r="C377" s="139">
        <v>2018</v>
      </c>
      <c r="D377" s="143">
        <f t="shared" si="190"/>
        <v>6382754</v>
      </c>
      <c r="E377" s="33">
        <v>6254400</v>
      </c>
      <c r="F377" s="33">
        <v>163540</v>
      </c>
      <c r="G377" s="33">
        <v>-35186</v>
      </c>
      <c r="H377" s="22"/>
      <c r="I377" s="22"/>
      <c r="J377" s="22"/>
      <c r="K377" s="22"/>
      <c r="L377" s="22"/>
      <c r="M377" s="22"/>
      <c r="N377" s="128"/>
      <c r="O377" s="128"/>
      <c r="P377" s="128"/>
      <c r="Q377" s="128" t="str">
        <f t="shared" ref="Q377:Q378" si="192">$A$367&amp;C377&amp;"ASSETS"</f>
        <v>IDA2018ASSETS</v>
      </c>
      <c r="R377" s="61">
        <f t="shared" si="191"/>
        <v>0.97989049867815681</v>
      </c>
      <c r="S377" s="61">
        <f>E377/E377</f>
        <v>1</v>
      </c>
      <c r="T377" s="61">
        <v>0</v>
      </c>
      <c r="U377" s="37">
        <f>IF(OR(ISBLANK($R377),ISBLANK(S377)),"NA",$R377*S377)</f>
        <v>0.97989049867815681</v>
      </c>
      <c r="V377" s="37">
        <f>IF(OR(ISBLANK($R377),ISBLANK(T377)),"NA",$R377*T377)</f>
        <v>0</v>
      </c>
      <c r="W377" s="37"/>
      <c r="X377" s="37"/>
    </row>
    <row r="378" spans="1:24" x14ac:dyDescent="0.2">
      <c r="A378" s="128"/>
      <c r="B378" s="140"/>
      <c r="C378" s="139">
        <v>2017</v>
      </c>
      <c r="D378" s="143">
        <f>SUM(E378:M378)</f>
        <v>6045405</v>
      </c>
      <c r="E378" s="35">
        <v>5995435</v>
      </c>
      <c r="F378" s="51">
        <v>143696</v>
      </c>
      <c r="G378" s="51">
        <v>-93726</v>
      </c>
      <c r="H378" s="22"/>
      <c r="I378" s="22"/>
      <c r="J378" s="22"/>
      <c r="K378" s="22"/>
      <c r="L378" s="22"/>
      <c r="M378" s="22"/>
      <c r="N378" s="128"/>
      <c r="O378" s="128"/>
      <c r="P378" s="128"/>
      <c r="Q378" s="128" t="str">
        <f t="shared" si="192"/>
        <v>IDA2017ASSETS</v>
      </c>
      <c r="R378" s="61">
        <f t="shared" si="191"/>
        <v>0.99173421797216232</v>
      </c>
      <c r="S378" s="61">
        <f>E378/E378</f>
        <v>1</v>
      </c>
      <c r="T378" s="61">
        <v>0</v>
      </c>
      <c r="U378" s="37">
        <f t="shared" ref="U378:V378" si="193">IF(OR(ISBLANK($R378),ISBLANK(S378)),"NA",$R378*S378)</f>
        <v>0.99173421797216232</v>
      </c>
      <c r="V378" s="37">
        <f t="shared" si="193"/>
        <v>0</v>
      </c>
      <c r="W378" s="37"/>
      <c r="X378" s="37"/>
    </row>
    <row r="379" spans="1:24" x14ac:dyDescent="0.2">
      <c r="D379" s="76"/>
    </row>
    <row r="381" spans="1:24" x14ac:dyDescent="0.2">
      <c r="A381" s="18" t="s">
        <v>226</v>
      </c>
      <c r="B381" s="140"/>
      <c r="C381" s="139"/>
      <c r="D381" s="128"/>
      <c r="E381" s="22"/>
      <c r="F381" s="22"/>
      <c r="G381" s="22"/>
      <c r="H381" s="22"/>
      <c r="I381" s="22"/>
      <c r="J381" s="22"/>
      <c r="K381" s="22"/>
      <c r="L381" s="22"/>
      <c r="M381" s="22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</row>
    <row r="382" spans="1:24" x14ac:dyDescent="0.2">
      <c r="A382" s="128" t="s">
        <v>227</v>
      </c>
      <c r="B382" s="140"/>
      <c r="C382" s="139"/>
      <c r="D382" s="128"/>
      <c r="E382" s="22"/>
      <c r="F382" s="22"/>
      <c r="G382" s="22"/>
      <c r="H382" s="22"/>
      <c r="I382" s="22"/>
      <c r="J382" s="22"/>
      <c r="K382" s="22"/>
      <c r="L382" s="22"/>
      <c r="M382" s="22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</row>
    <row r="383" spans="1:24" ht="63.75" x14ac:dyDescent="0.2">
      <c r="A383" s="147" t="s">
        <v>228</v>
      </c>
      <c r="B383" s="144" t="s">
        <v>223</v>
      </c>
      <c r="C383" s="139"/>
      <c r="D383" s="139" t="s">
        <v>75</v>
      </c>
      <c r="E383" s="45" t="s">
        <v>156</v>
      </c>
      <c r="F383" s="45" t="s">
        <v>157</v>
      </c>
      <c r="G383" s="35" t="s">
        <v>229</v>
      </c>
      <c r="H383" s="35" t="s">
        <v>230</v>
      </c>
      <c r="I383" s="51" t="s">
        <v>231</v>
      </c>
      <c r="J383" s="35" t="s">
        <v>232</v>
      </c>
      <c r="K383" s="22"/>
      <c r="L383" s="22"/>
      <c r="M383" s="22"/>
      <c r="N383" s="128"/>
      <c r="O383" s="128"/>
      <c r="P383" s="128"/>
      <c r="Q383" s="141"/>
      <c r="R383" s="142" t="s">
        <v>77</v>
      </c>
      <c r="S383" s="142" t="s">
        <v>78</v>
      </c>
      <c r="T383" s="142" t="s">
        <v>79</v>
      </c>
      <c r="U383" s="142" t="s">
        <v>80</v>
      </c>
      <c r="V383" s="142" t="s">
        <v>81</v>
      </c>
      <c r="W383" s="144"/>
      <c r="X383" s="144"/>
    </row>
    <row r="384" spans="1:24" x14ac:dyDescent="0.2">
      <c r="A384" s="128"/>
      <c r="B384" s="140"/>
      <c r="C384" s="139">
        <v>2019</v>
      </c>
      <c r="D384" s="143">
        <f>SUM(E384:M384)</f>
        <v>568855</v>
      </c>
      <c r="E384" s="27">
        <v>408285</v>
      </c>
      <c r="F384" s="27">
        <v>159875</v>
      </c>
      <c r="G384" s="27">
        <v>695</v>
      </c>
      <c r="H384" s="27">
        <v>0</v>
      </c>
      <c r="I384" s="27">
        <v>0</v>
      </c>
      <c r="J384" s="27">
        <v>0</v>
      </c>
      <c r="K384" s="22"/>
      <c r="L384" s="22"/>
      <c r="M384" s="22"/>
      <c r="N384" s="128"/>
      <c r="O384" s="128"/>
      <c r="P384" s="128"/>
      <c r="Q384" s="128" t="str">
        <f>$A$383&amp;C384&amp;"REV"</f>
        <v>MGEE2019REV</v>
      </c>
      <c r="R384" s="61">
        <f>IF(SUM(E384:F384,H384)/D384&gt;1,1,SUM(E384:F384,H384)/D384)</f>
        <v>0.99877824753232369</v>
      </c>
      <c r="S384" s="61">
        <f>SUM(E384,H384)/SUM(E384:F384,H384)</f>
        <v>0.71860919459307238</v>
      </c>
      <c r="T384" s="61">
        <f>F384/SUM(E384:F384,H384)</f>
        <v>0.28139080540692762</v>
      </c>
      <c r="U384" s="37">
        <f t="shared" ref="U384:V386" si="194">IF(OR(ISBLANK($R384),ISBLANK(S384)),"NA",$R384*S384)</f>
        <v>0.71773123203628342</v>
      </c>
      <c r="V384" s="37">
        <f t="shared" si="194"/>
        <v>0.28104701549604028</v>
      </c>
      <c r="W384" s="37"/>
      <c r="X384" s="37"/>
    </row>
    <row r="385" spans="1:24" x14ac:dyDescent="0.2">
      <c r="A385" s="128"/>
      <c r="B385" s="140" t="s">
        <v>82</v>
      </c>
      <c r="C385" s="139">
        <v>2018</v>
      </c>
      <c r="D385" s="143">
        <f>SUM(E385:M385)</f>
        <v>559768</v>
      </c>
      <c r="E385" s="45">
        <v>400882</v>
      </c>
      <c r="F385" s="45">
        <v>157767</v>
      </c>
      <c r="G385" s="35">
        <v>1119</v>
      </c>
      <c r="H385" s="35">
        <v>0</v>
      </c>
      <c r="I385" s="51">
        <v>0</v>
      </c>
      <c r="J385" s="35">
        <v>0</v>
      </c>
      <c r="K385" s="22"/>
      <c r="L385" s="22"/>
      <c r="M385" s="22"/>
      <c r="N385" s="128"/>
      <c r="O385" s="128"/>
      <c r="P385" s="128"/>
      <c r="Q385" s="128" t="str">
        <f t="shared" ref="Q385:Q386" si="195">$A$383&amp;C385&amp;"REV"</f>
        <v>MGEE2018REV</v>
      </c>
      <c r="R385" s="61">
        <f t="shared" ref="R385:R386" si="196">IF(SUM(E385:F385,H385)/D385&gt;1,1,SUM(E385:F385,H385)/D385)</f>
        <v>0.99800095753955209</v>
      </c>
      <c r="S385" s="61">
        <f>SUM(E385,H385)/SUM(E385:F385,H385)</f>
        <v>0.71759190475593804</v>
      </c>
      <c r="T385" s="61">
        <f>F385/SUM(E385:F385,H385)</f>
        <v>0.28240809524406202</v>
      </c>
      <c r="U385" s="37">
        <f t="shared" si="194"/>
        <v>0.71615740806905726</v>
      </c>
      <c r="V385" s="37">
        <f t="shared" si="194"/>
        <v>0.28184354947049495</v>
      </c>
      <c r="W385" s="37"/>
      <c r="X385" s="37"/>
    </row>
    <row r="386" spans="1:24" x14ac:dyDescent="0.2">
      <c r="A386" s="128"/>
      <c r="B386" s="140"/>
      <c r="C386" s="139">
        <v>2017</v>
      </c>
      <c r="D386" s="143">
        <f>SUM(E386:M386)</f>
        <v>563099</v>
      </c>
      <c r="E386" s="44">
        <v>413926</v>
      </c>
      <c r="F386" s="51">
        <v>148825</v>
      </c>
      <c r="G386" s="51">
        <v>348</v>
      </c>
      <c r="H386" s="51">
        <v>0</v>
      </c>
      <c r="I386" s="51">
        <v>0</v>
      </c>
      <c r="J386" s="44">
        <v>0</v>
      </c>
      <c r="K386" s="22"/>
      <c r="L386" s="22"/>
      <c r="M386" s="22"/>
      <c r="N386" s="128"/>
      <c r="O386" s="128"/>
      <c r="P386" s="128"/>
      <c r="Q386" s="128" t="str">
        <f t="shared" si="195"/>
        <v>MGEE2017REV</v>
      </c>
      <c r="R386" s="61">
        <f t="shared" si="196"/>
        <v>0.99938199144377804</v>
      </c>
      <c r="S386" s="61">
        <f>SUM(E386,H386)/SUM(E386:F386,H386)</f>
        <v>0.73554023004845837</v>
      </c>
      <c r="T386" s="61">
        <f>F386/SUM(E386:F386,H386)</f>
        <v>0.26445976995154163</v>
      </c>
      <c r="U386" s="37">
        <f t="shared" si="194"/>
        <v>0.73508565989284291</v>
      </c>
      <c r="V386" s="37">
        <f t="shared" si="194"/>
        <v>0.26429633155093507</v>
      </c>
      <c r="W386" s="37"/>
      <c r="X386" s="37"/>
    </row>
    <row r="387" spans="1:24" x14ac:dyDescent="0.2">
      <c r="A387" s="128"/>
      <c r="B387" s="140"/>
      <c r="C387" s="139"/>
      <c r="D387" s="128"/>
      <c r="E387" s="48"/>
      <c r="F387" s="48"/>
      <c r="G387" s="48"/>
      <c r="H387" s="48"/>
      <c r="I387" s="48"/>
      <c r="J387" s="48"/>
      <c r="K387" s="22"/>
      <c r="L387" s="22"/>
      <c r="M387" s="22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</row>
    <row r="388" spans="1:24" x14ac:dyDescent="0.2">
      <c r="A388" s="128"/>
      <c r="B388" s="140"/>
      <c r="C388" s="139">
        <v>2019</v>
      </c>
      <c r="D388" s="143">
        <f>SUM(E388:M388)</f>
        <v>110910</v>
      </c>
      <c r="E388" s="27">
        <v>59180</v>
      </c>
      <c r="F388" s="27">
        <v>19528</v>
      </c>
      <c r="G388" s="27">
        <v>33084</v>
      </c>
      <c r="H388" s="27">
        <v>0</v>
      </c>
      <c r="I388" s="27">
        <v>-882</v>
      </c>
      <c r="J388" s="27">
        <v>0</v>
      </c>
      <c r="K388" s="22"/>
      <c r="L388" s="22"/>
      <c r="M388" s="22"/>
      <c r="N388" s="128"/>
      <c r="O388" s="128"/>
      <c r="P388" s="128"/>
      <c r="Q388" s="128" t="str">
        <f>$A$383&amp;C388&amp;"INC"</f>
        <v>MGEE2019INC</v>
      </c>
      <c r="R388" s="61">
        <f t="shared" ref="R388:R390" si="197">IF(SUM(E388:F388,H388)/D388&gt;1,1,SUM(E388:F388,H388)/D388)</f>
        <v>0.70965647822558831</v>
      </c>
      <c r="S388" s="61">
        <f>SUM(E388,H388)/SUM(E388:F388,H388)</f>
        <v>0.75189307313106668</v>
      </c>
      <c r="T388" s="61">
        <f>F388/SUM(E388:F388,H388)</f>
        <v>0.24810692686893326</v>
      </c>
      <c r="U388" s="37">
        <f t="shared" ref="U388:V390" si="198">IF(OR(ISBLANK($R388),ISBLANK(S388)),"NA",$R388*S388)</f>
        <v>0.53358579028040753</v>
      </c>
      <c r="V388" s="37">
        <f t="shared" si="198"/>
        <v>0.17607068794518077</v>
      </c>
      <c r="W388" s="37"/>
      <c r="X388" s="37"/>
    </row>
    <row r="389" spans="1:24" x14ac:dyDescent="0.2">
      <c r="A389" s="128"/>
      <c r="B389" s="140" t="s">
        <v>83</v>
      </c>
      <c r="C389" s="139">
        <v>2018</v>
      </c>
      <c r="D389" s="143">
        <f>SUM(E389:M389)</f>
        <v>114207</v>
      </c>
      <c r="E389" s="48">
        <v>64294</v>
      </c>
      <c r="F389" s="48">
        <v>17900</v>
      </c>
      <c r="G389" s="48">
        <v>33074</v>
      </c>
      <c r="H389" s="48">
        <v>-16</v>
      </c>
      <c r="I389" s="48">
        <v>-1045</v>
      </c>
      <c r="J389" s="44">
        <v>0</v>
      </c>
      <c r="K389" s="22"/>
      <c r="L389" s="22"/>
      <c r="M389" s="22"/>
      <c r="N389" s="128"/>
      <c r="O389" s="128"/>
      <c r="P389" s="128"/>
      <c r="Q389" s="128" t="str">
        <f t="shared" ref="Q389:Q390" si="199">$A$383&amp;C389&amp;"INC"</f>
        <v>MGEE2018INC</v>
      </c>
      <c r="R389" s="61">
        <f t="shared" si="197"/>
        <v>0.71955309219224739</v>
      </c>
      <c r="S389" s="61">
        <f>SUM(E389,H389)/SUM(E389:F389,H389)</f>
        <v>0.78218014553773518</v>
      </c>
      <c r="T389" s="61">
        <f>F389/SUM(E389:F389,H389)</f>
        <v>0.21781985446226484</v>
      </c>
      <c r="U389" s="37">
        <f t="shared" si="198"/>
        <v>0.56282014237305944</v>
      </c>
      <c r="V389" s="37">
        <f t="shared" si="198"/>
        <v>0.15673294981918798</v>
      </c>
      <c r="W389" s="37"/>
      <c r="X389" s="37"/>
    </row>
    <row r="390" spans="1:24" x14ac:dyDescent="0.2">
      <c r="A390" s="128"/>
      <c r="B390" s="140"/>
      <c r="C390" s="139">
        <v>2017</v>
      </c>
      <c r="D390" s="143">
        <f>SUM(E390:M390)</f>
        <v>128736</v>
      </c>
      <c r="E390" s="44">
        <v>71217</v>
      </c>
      <c r="F390" s="51">
        <v>21320</v>
      </c>
      <c r="G390" s="51">
        <v>37209</v>
      </c>
      <c r="H390" s="51">
        <v>-9</v>
      </c>
      <c r="I390" s="51">
        <v>-1001</v>
      </c>
      <c r="J390" s="44">
        <v>0</v>
      </c>
      <c r="K390" s="22"/>
      <c r="L390" s="22"/>
      <c r="M390" s="22"/>
      <c r="N390" s="128"/>
      <c r="O390" s="128"/>
      <c r="P390" s="128"/>
      <c r="Q390" s="128" t="str">
        <f t="shared" si="199"/>
        <v>MGEE2017INC</v>
      </c>
      <c r="R390" s="61">
        <f t="shared" si="197"/>
        <v>0.71874223216505095</v>
      </c>
      <c r="S390" s="61">
        <f>SUM(E390,H390)/SUM(E390:F390,H390)</f>
        <v>0.76958326128307109</v>
      </c>
      <c r="T390" s="61">
        <f>F390/SUM(E390:F390,H390)</f>
        <v>0.23041673871692894</v>
      </c>
      <c r="U390" s="37">
        <f t="shared" si="198"/>
        <v>0.55313199105145416</v>
      </c>
      <c r="V390" s="37">
        <f t="shared" si="198"/>
        <v>0.16561024111359682</v>
      </c>
      <c r="W390" s="37"/>
      <c r="X390" s="37"/>
    </row>
    <row r="391" spans="1:24" x14ac:dyDescent="0.2">
      <c r="A391" s="128"/>
      <c r="B391" s="140"/>
      <c r="C391" s="139"/>
      <c r="D391" s="146"/>
      <c r="E391" s="48"/>
      <c r="F391" s="48"/>
      <c r="G391" s="48"/>
      <c r="H391" s="48"/>
      <c r="I391" s="48"/>
      <c r="J391" s="48"/>
      <c r="K391" s="22"/>
      <c r="L391" s="22"/>
      <c r="M391" s="22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</row>
    <row r="392" spans="1:24" x14ac:dyDescent="0.2">
      <c r="A392" s="128"/>
      <c r="B392" s="140"/>
      <c r="C392" s="139">
        <v>2019</v>
      </c>
      <c r="D392" s="143">
        <f>SUM(E392:M392)</f>
        <v>2081664</v>
      </c>
      <c r="E392" s="27">
        <v>1308277</v>
      </c>
      <c r="F392" s="27">
        <v>408001</v>
      </c>
      <c r="G392" s="27">
        <v>258004</v>
      </c>
      <c r="H392" s="27">
        <v>71668</v>
      </c>
      <c r="I392" s="27">
        <v>443278</v>
      </c>
      <c r="J392" s="27">
        <v>-407564</v>
      </c>
      <c r="K392" s="22"/>
      <c r="L392" s="22"/>
      <c r="M392" s="22"/>
      <c r="N392" s="128"/>
      <c r="O392" s="128"/>
      <c r="P392" s="128"/>
      <c r="Q392" s="128" t="str">
        <f>$A$383&amp;C392&amp;"ASSETS"</f>
        <v>MGEE2019ASSETS</v>
      </c>
      <c r="R392" s="61">
        <f t="shared" ref="R392:R394" si="200">IF(SUM(E392:F392,H392)/D392&gt;1,1,SUM(E392:F392,H392)/D392)</f>
        <v>0.85890230123593436</v>
      </c>
      <c r="S392" s="61">
        <f>SUM(E392,H392)/SUM(E392:F392,H392)</f>
        <v>0.77180462944630324</v>
      </c>
      <c r="T392" s="66">
        <f>F392/SUM(E392:F392,H392)</f>
        <v>0.22819537055369682</v>
      </c>
      <c r="U392" s="37">
        <f t="shared" ref="U392:V394" si="201">IF(OR(ISBLANK($R392),ISBLANK(S392)),"NA",$R392*S392)</f>
        <v>0.66290477233597744</v>
      </c>
      <c r="V392" s="37">
        <f t="shared" si="201"/>
        <v>0.19599752889995697</v>
      </c>
      <c r="W392" s="37"/>
      <c r="X392" s="37"/>
    </row>
    <row r="393" spans="1:24" x14ac:dyDescent="0.2">
      <c r="A393" s="128"/>
      <c r="B393" s="140" t="s">
        <v>84</v>
      </c>
      <c r="C393" s="139">
        <v>2018</v>
      </c>
      <c r="D393" s="143">
        <f>SUM(E393:M393)</f>
        <v>1988618</v>
      </c>
      <c r="E393" s="48">
        <v>1193083</v>
      </c>
      <c r="F393" s="48">
        <v>377005</v>
      </c>
      <c r="G393" s="48">
        <v>265301</v>
      </c>
      <c r="H393" s="48">
        <v>66366</v>
      </c>
      <c r="I393" s="48">
        <v>465661</v>
      </c>
      <c r="J393" s="48">
        <v>-378798</v>
      </c>
      <c r="K393" s="22"/>
      <c r="L393" s="22"/>
      <c r="M393" s="22"/>
      <c r="N393" s="128"/>
      <c r="O393" s="128"/>
      <c r="P393" s="128"/>
      <c r="Q393" s="128" t="str">
        <f t="shared" ref="Q393:Q394" si="202">$A$383&amp;C393&amp;"ASSETS"</f>
        <v>MGEE2018ASSETS</v>
      </c>
      <c r="R393" s="61">
        <f t="shared" si="200"/>
        <v>0.82291018184487918</v>
      </c>
      <c r="S393" s="61">
        <f>SUM(E393,H393)/SUM(E393:F393,H393)</f>
        <v>0.76962077760816983</v>
      </c>
      <c r="T393" s="66">
        <f>F393/SUM(E393:F393,H393)</f>
        <v>0.23037922239183015</v>
      </c>
      <c r="U393" s="37">
        <f t="shared" si="201"/>
        <v>0.63332877405313637</v>
      </c>
      <c r="V393" s="37">
        <f t="shared" si="201"/>
        <v>0.18958140779174282</v>
      </c>
      <c r="W393" s="37"/>
      <c r="X393" s="37"/>
    </row>
    <row r="394" spans="1:24" x14ac:dyDescent="0.2">
      <c r="A394" s="128"/>
      <c r="B394" s="140"/>
      <c r="C394" s="139">
        <v>2017</v>
      </c>
      <c r="D394" s="143">
        <f>SUM(E394:M394)</f>
        <v>1855182</v>
      </c>
      <c r="E394" s="44">
        <v>1058988</v>
      </c>
      <c r="F394" s="51">
        <v>354875</v>
      </c>
      <c r="G394" s="51">
        <v>270384</v>
      </c>
      <c r="H394" s="51">
        <v>61783</v>
      </c>
      <c r="I394" s="51">
        <v>485548</v>
      </c>
      <c r="J394" s="44">
        <v>-376396</v>
      </c>
      <c r="K394" s="22"/>
      <c r="L394" s="22"/>
      <c r="M394" s="22"/>
      <c r="N394" s="128"/>
      <c r="O394" s="128"/>
      <c r="P394" s="128"/>
      <c r="Q394" s="128" t="str">
        <f t="shared" si="202"/>
        <v>MGEE2017ASSETS</v>
      </c>
      <c r="R394" s="61">
        <f t="shared" si="200"/>
        <v>0.79541845490092078</v>
      </c>
      <c r="S394" s="61">
        <f>SUM(E394,H394)/SUM(E394:F394,H394)</f>
        <v>0.75951210520680434</v>
      </c>
      <c r="T394" s="66">
        <f>F394/SUM(E394:F394,H394)</f>
        <v>0.24048789479319566</v>
      </c>
      <c r="U394" s="37">
        <f t="shared" si="201"/>
        <v>0.60412994520214192</v>
      </c>
      <c r="V394" s="37">
        <f t="shared" si="201"/>
        <v>0.19128850969877889</v>
      </c>
      <c r="W394" s="37"/>
      <c r="X394" s="37"/>
    </row>
    <row r="398" spans="1:24" x14ac:dyDescent="0.2">
      <c r="A398" s="18" t="s">
        <v>233</v>
      </c>
      <c r="B398" s="19"/>
      <c r="C398" s="20"/>
      <c r="D398" s="21"/>
      <c r="E398" s="28"/>
      <c r="F398" s="28"/>
      <c r="G398" s="28"/>
      <c r="H398" s="28"/>
      <c r="I398" s="22"/>
      <c r="J398" s="22"/>
      <c r="K398" s="22"/>
      <c r="L398" s="22"/>
      <c r="M398" s="22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x14ac:dyDescent="0.2">
      <c r="A399" s="21" t="s">
        <v>234</v>
      </c>
      <c r="B399" s="19"/>
      <c r="C399" s="20"/>
      <c r="D399" s="21"/>
      <c r="E399" s="28"/>
      <c r="F399" s="28"/>
      <c r="G399" s="28"/>
      <c r="H399" s="28"/>
      <c r="I399" s="22"/>
      <c r="J399" s="22"/>
      <c r="K399" s="22"/>
      <c r="L399" s="22"/>
      <c r="M399" s="22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63.75" x14ac:dyDescent="0.2">
      <c r="A400" s="18" t="s">
        <v>235</v>
      </c>
      <c r="B400" s="19" t="s">
        <v>223</v>
      </c>
      <c r="C400" s="20"/>
      <c r="D400" s="20" t="s">
        <v>75</v>
      </c>
      <c r="E400" s="35" t="s">
        <v>236</v>
      </c>
      <c r="F400" s="35" t="s">
        <v>237</v>
      </c>
      <c r="G400" s="35" t="s">
        <v>238</v>
      </c>
      <c r="H400" s="35" t="s">
        <v>185</v>
      </c>
      <c r="I400" s="28"/>
      <c r="J400" s="22"/>
      <c r="K400" s="22"/>
      <c r="L400" s="22"/>
      <c r="M400" s="22"/>
      <c r="N400" s="22"/>
      <c r="O400" s="21"/>
      <c r="P400" s="21"/>
      <c r="Q400" s="29"/>
      <c r="R400" s="30" t="s">
        <v>77</v>
      </c>
      <c r="S400" s="30" t="s">
        <v>78</v>
      </c>
      <c r="T400" s="30" t="s">
        <v>79</v>
      </c>
      <c r="U400" s="30" t="s">
        <v>80</v>
      </c>
      <c r="V400" s="30" t="s">
        <v>81</v>
      </c>
      <c r="W400" s="31"/>
      <c r="X400" s="31"/>
    </row>
    <row r="401" spans="1:24" x14ac:dyDescent="0.2">
      <c r="A401" s="21"/>
      <c r="B401" s="19"/>
      <c r="C401" s="139">
        <v>2019</v>
      </c>
      <c r="D401" s="32">
        <f>SUM(E401:N401)</f>
        <v>19204000</v>
      </c>
      <c r="E401" s="27">
        <v>12192000</v>
      </c>
      <c r="F401" s="27">
        <v>1487000</v>
      </c>
      <c r="G401" s="27">
        <v>5639000</v>
      </c>
      <c r="H401" s="27">
        <v>-114000</v>
      </c>
      <c r="I401" s="28"/>
      <c r="J401" s="22"/>
      <c r="K401" s="22"/>
      <c r="L401" s="22"/>
      <c r="M401" s="22"/>
      <c r="N401" s="22"/>
      <c r="O401" s="21"/>
      <c r="P401" s="21"/>
      <c r="Q401" s="21" t="str">
        <f>$A$400&amp;C401&amp;"REV"</f>
        <v>NEE2019REV</v>
      </c>
      <c r="R401" s="61">
        <f>IF(SUM(E401:F401)/D401&gt;1,1,SUM(E401:F401)/D401)</f>
        <v>0.71229952093313897</v>
      </c>
      <c r="S401" s="61">
        <f>SUM(E401:F401)/SUM(E401:F401)</f>
        <v>1</v>
      </c>
      <c r="T401" s="61">
        <v>0</v>
      </c>
      <c r="U401" s="34">
        <f>IF(OR(ISBLANK($R401),ISBLANK(S401)),"NA",$R401*S401)</f>
        <v>0.71229952093313897</v>
      </c>
      <c r="V401" s="34">
        <f>IF(OR(ISBLANK($R401),ISBLANK(T401)),"NA",$R401*T401)</f>
        <v>0</v>
      </c>
      <c r="W401" s="34"/>
      <c r="X401" s="34"/>
    </row>
    <row r="402" spans="1:24" x14ac:dyDescent="0.2">
      <c r="A402" s="21"/>
      <c r="B402" s="19" t="s">
        <v>82</v>
      </c>
      <c r="C402" s="139">
        <v>2018</v>
      </c>
      <c r="D402" s="32">
        <f>SUM(E402:N402)</f>
        <v>16727000</v>
      </c>
      <c r="E402" s="35">
        <v>11862000</v>
      </c>
      <c r="F402" s="35">
        <v>0</v>
      </c>
      <c r="G402" s="35">
        <v>4984000</v>
      </c>
      <c r="H402" s="35">
        <v>-119000</v>
      </c>
      <c r="I402" s="28"/>
      <c r="J402" s="22"/>
      <c r="K402" s="22"/>
      <c r="L402" s="22"/>
      <c r="M402" s="22"/>
      <c r="N402" s="22"/>
      <c r="O402" s="21"/>
      <c r="P402" s="21"/>
      <c r="Q402" s="21" t="str">
        <f t="shared" ref="Q402:Q403" si="203">$A$400&amp;C402&amp;"REV"</f>
        <v>NEE2018REV</v>
      </c>
      <c r="R402" s="61">
        <f t="shared" ref="R402:R403" si="204">IF(SUM(E402:F402)/D402&gt;1,1,SUM(E402:F402)/D402)</f>
        <v>0.7091528666228254</v>
      </c>
      <c r="S402" s="61">
        <f t="shared" ref="S402:S403" si="205">SUM(E402:F402)/SUM(E402:F402)</f>
        <v>1</v>
      </c>
      <c r="T402" s="61">
        <v>0</v>
      </c>
      <c r="U402" s="34">
        <f t="shared" ref="U402:V403" si="206">IF(OR(ISBLANK($R402),ISBLANK(S402)),"NA",$R402*S402)</f>
        <v>0.7091528666228254</v>
      </c>
      <c r="V402" s="34">
        <f t="shared" si="206"/>
        <v>0</v>
      </c>
      <c r="W402" s="34"/>
      <c r="X402" s="34"/>
    </row>
    <row r="403" spans="1:24" x14ac:dyDescent="0.2">
      <c r="A403" s="21"/>
      <c r="B403" s="19"/>
      <c r="C403" s="139">
        <v>2017</v>
      </c>
      <c r="D403" s="32">
        <f>SUM(E403:N403)</f>
        <v>17173000</v>
      </c>
      <c r="E403" s="35">
        <v>11972000</v>
      </c>
      <c r="F403" s="35">
        <v>0</v>
      </c>
      <c r="G403" s="51">
        <v>5275000</v>
      </c>
      <c r="H403" s="51">
        <v>-74000</v>
      </c>
      <c r="I403" s="28"/>
      <c r="J403" s="22"/>
      <c r="K403" s="22"/>
      <c r="L403" s="22"/>
      <c r="M403" s="22"/>
      <c r="N403" s="22"/>
      <c r="O403" s="21"/>
      <c r="P403" s="21"/>
      <c r="Q403" s="21" t="str">
        <f t="shared" si="203"/>
        <v>NEE2017REV</v>
      </c>
      <c r="R403" s="61">
        <f t="shared" si="204"/>
        <v>0.69714086065335124</v>
      </c>
      <c r="S403" s="61">
        <f t="shared" si="205"/>
        <v>1</v>
      </c>
      <c r="T403" s="61">
        <v>0</v>
      </c>
      <c r="U403" s="34">
        <f t="shared" si="206"/>
        <v>0.69714086065335124</v>
      </c>
      <c r="V403" s="34">
        <f t="shared" si="206"/>
        <v>0</v>
      </c>
      <c r="W403" s="34"/>
      <c r="X403" s="34"/>
    </row>
    <row r="404" spans="1:24" x14ac:dyDescent="0.2">
      <c r="A404" s="21"/>
      <c r="B404" s="19"/>
      <c r="C404" s="20"/>
      <c r="D404" s="21"/>
      <c r="E404" s="33"/>
      <c r="F404" s="33"/>
      <c r="G404" s="33"/>
      <c r="H404" s="33"/>
      <c r="I404" s="28"/>
      <c r="J404" s="22"/>
      <c r="K404" s="22"/>
      <c r="L404" s="22"/>
      <c r="M404" s="22"/>
      <c r="N404" s="22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x14ac:dyDescent="0.2">
      <c r="A405" s="21"/>
      <c r="B405" s="19"/>
      <c r="C405" s="139">
        <v>2019</v>
      </c>
      <c r="D405" s="32">
        <f>SUM(E405:N405)</f>
        <v>5353000</v>
      </c>
      <c r="E405" s="27">
        <f>12192000-8890000</f>
        <v>3302000</v>
      </c>
      <c r="F405" s="27">
        <f>1487000-1216000</f>
        <v>271000</v>
      </c>
      <c r="G405" s="27">
        <f>5639000-3635000</f>
        <v>2004000</v>
      </c>
      <c r="H405" s="27">
        <f>-114000-110000</f>
        <v>-224000</v>
      </c>
      <c r="I405" s="28"/>
      <c r="J405" s="22"/>
      <c r="K405" s="22"/>
      <c r="L405" s="22"/>
      <c r="M405" s="22"/>
      <c r="N405" s="22"/>
      <c r="O405" s="21"/>
      <c r="P405" s="21"/>
      <c r="Q405" s="21" t="str">
        <f>$A$400&amp;C405&amp;"INC"</f>
        <v>NEE2019INC</v>
      </c>
      <c r="R405" s="61">
        <f>IF(SUM(E405:F405)/D405&gt;1,1,SUM(E405:F405)/D405)</f>
        <v>0.66747618158042221</v>
      </c>
      <c r="S405" s="61">
        <f>SUM(E405:F405)/SUM(E405:F405)</f>
        <v>1</v>
      </c>
      <c r="T405" s="61">
        <v>0</v>
      </c>
      <c r="U405" s="34">
        <f>IF(OR(ISBLANK($R405),ISBLANK(S405)),"NA",$R405*S405)</f>
        <v>0.66747618158042221</v>
      </c>
      <c r="V405" s="34">
        <f>IF(OR(ISBLANK($R405),ISBLANK(T405)),"NA",$R405*T405)</f>
        <v>0</v>
      </c>
      <c r="W405" s="34"/>
      <c r="X405" s="34"/>
    </row>
    <row r="406" spans="1:24" x14ac:dyDescent="0.2">
      <c r="A406" s="21"/>
      <c r="B406" s="19" t="s">
        <v>83</v>
      </c>
      <c r="C406" s="139">
        <v>2018</v>
      </c>
      <c r="D406" s="32">
        <f>SUM(E406:N406)</f>
        <v>4280000</v>
      </c>
      <c r="E406" s="33">
        <f>11862000-8708000</f>
        <v>3154000</v>
      </c>
      <c r="F406" s="33">
        <v>0</v>
      </c>
      <c r="G406" s="33">
        <f>4984000-3616000</f>
        <v>1368000</v>
      </c>
      <c r="H406" s="35">
        <f>-119000-123000</f>
        <v>-242000</v>
      </c>
      <c r="I406" s="28"/>
      <c r="J406" s="22"/>
      <c r="K406" s="22"/>
      <c r="L406" s="22"/>
      <c r="M406" s="22"/>
      <c r="N406" s="22"/>
      <c r="O406" s="21"/>
      <c r="P406" s="21"/>
      <c r="Q406" s="21" t="str">
        <f t="shared" ref="Q406:Q407" si="207">$A$400&amp;C406&amp;"INC"</f>
        <v>NEE2018INC</v>
      </c>
      <c r="R406" s="61">
        <f t="shared" ref="R406:R407" si="208">IF(SUM(E406:F406)/D406&gt;1,1,SUM(E406:F406)/D406)</f>
        <v>0.73691588785046724</v>
      </c>
      <c r="S406" s="61">
        <f t="shared" ref="S406:S407" si="209">SUM(E406:F406)/SUM(E406:F406)</f>
        <v>1</v>
      </c>
      <c r="T406" s="61">
        <v>0</v>
      </c>
      <c r="U406" s="34">
        <f t="shared" ref="U406:V407" si="210">IF(OR(ISBLANK($R406),ISBLANK(S406)),"NA",$R406*S406)</f>
        <v>0.73691588785046724</v>
      </c>
      <c r="V406" s="34">
        <f t="shared" si="210"/>
        <v>0</v>
      </c>
      <c r="W406" s="34"/>
      <c r="X406" s="34"/>
    </row>
    <row r="407" spans="1:24" x14ac:dyDescent="0.2">
      <c r="A407" s="21"/>
      <c r="B407" s="19"/>
      <c r="C407" s="139">
        <v>2017</v>
      </c>
      <c r="D407" s="32">
        <f>SUM(E407:N407)</f>
        <v>5173000</v>
      </c>
      <c r="E407" s="35">
        <f>11972000-8582000</f>
        <v>3390000</v>
      </c>
      <c r="F407" s="35">
        <v>0</v>
      </c>
      <c r="G407" s="35">
        <f>5275000-4345000</f>
        <v>930000</v>
      </c>
      <c r="H407" s="35">
        <f>-74000-(-927000)</f>
        <v>853000</v>
      </c>
      <c r="I407" s="28"/>
      <c r="J407" s="22"/>
      <c r="K407" s="22"/>
      <c r="L407" s="22"/>
      <c r="M407" s="22"/>
      <c r="N407" s="22"/>
      <c r="O407" s="21"/>
      <c r="P407" s="21"/>
      <c r="Q407" s="21" t="str">
        <f t="shared" si="207"/>
        <v>NEE2017INC</v>
      </c>
      <c r="R407" s="61">
        <f t="shared" si="208"/>
        <v>0.65532572975062831</v>
      </c>
      <c r="S407" s="61">
        <f t="shared" si="209"/>
        <v>1</v>
      </c>
      <c r="T407" s="61">
        <v>0</v>
      </c>
      <c r="U407" s="34">
        <f t="shared" si="210"/>
        <v>0.65532572975062831</v>
      </c>
      <c r="V407" s="34">
        <f t="shared" si="210"/>
        <v>0</v>
      </c>
      <c r="W407" s="34"/>
      <c r="X407" s="34"/>
    </row>
    <row r="408" spans="1:24" x14ac:dyDescent="0.2">
      <c r="A408" s="21"/>
      <c r="B408" s="19"/>
      <c r="C408" s="20"/>
      <c r="D408" s="57"/>
      <c r="E408" s="57"/>
      <c r="F408" s="57"/>
      <c r="G408" s="57"/>
      <c r="H408" s="57"/>
      <c r="I408" s="28"/>
      <c r="J408" s="22"/>
      <c r="K408" s="22"/>
      <c r="L408" s="22"/>
      <c r="M408" s="22"/>
      <c r="N408" s="22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x14ac:dyDescent="0.2">
      <c r="A409" s="21"/>
      <c r="B409" s="19"/>
      <c r="C409" s="139">
        <v>2019</v>
      </c>
      <c r="D409" s="32">
        <f>SUM(E409:N409)</f>
        <v>117691000</v>
      </c>
      <c r="E409" s="27">
        <v>57188000</v>
      </c>
      <c r="F409" s="27">
        <v>5855000</v>
      </c>
      <c r="G409" s="27">
        <v>51516000</v>
      </c>
      <c r="H409" s="27">
        <v>3132000</v>
      </c>
      <c r="I409" s="28"/>
      <c r="J409" s="22"/>
      <c r="K409" s="22"/>
      <c r="L409" s="22"/>
      <c r="M409" s="22"/>
      <c r="N409" s="22"/>
      <c r="O409" s="21"/>
      <c r="P409" s="21"/>
      <c r="Q409" s="21" t="str">
        <f>$A$400&amp;C409&amp;"ASSETS"</f>
        <v>NEE2019ASSETS</v>
      </c>
      <c r="R409" s="61">
        <f>IF(SUM(E409:F409)/D409&gt;1,1,SUM(E409:F409)/D409)</f>
        <v>0.53566542896228264</v>
      </c>
      <c r="S409" s="61">
        <f>SUM(E409:F409)/SUM(E409:F409)</f>
        <v>1</v>
      </c>
      <c r="T409" s="61">
        <v>0</v>
      </c>
      <c r="U409" s="34">
        <f>IF(OR(ISBLANK($R409),ISBLANK(S409)),"NA",$R409*S409)</f>
        <v>0.53566542896228264</v>
      </c>
      <c r="V409" s="34">
        <f>IF(OR(ISBLANK($R409),ISBLANK(T409)),"NA",$R409*T409)</f>
        <v>0</v>
      </c>
      <c r="W409" s="34"/>
      <c r="X409" s="34"/>
    </row>
    <row r="410" spans="1:24" x14ac:dyDescent="0.2">
      <c r="A410" s="21"/>
      <c r="B410" s="19" t="s">
        <v>84</v>
      </c>
      <c r="C410" s="139">
        <v>2018</v>
      </c>
      <c r="D410" s="32">
        <f>SUM(E410:N410)</f>
        <v>103702000</v>
      </c>
      <c r="E410" s="33">
        <v>53484000</v>
      </c>
      <c r="F410" s="33">
        <v>0</v>
      </c>
      <c r="G410" s="33">
        <v>43530000</v>
      </c>
      <c r="H410" s="33">
        <v>6688000</v>
      </c>
      <c r="I410" s="28"/>
      <c r="J410" s="22"/>
      <c r="K410" s="22"/>
      <c r="L410" s="22"/>
      <c r="M410" s="22"/>
      <c r="N410" s="22"/>
      <c r="O410" s="21"/>
      <c r="P410" s="21"/>
      <c r="Q410" s="21" t="str">
        <f t="shared" ref="Q410:Q411" si="211">$A$400&amp;C410&amp;"ASSETS"</f>
        <v>NEE2018ASSETS</v>
      </c>
      <c r="R410" s="61">
        <f t="shared" ref="R410:R411" si="212">IF(SUM(E410:F410)/D410&gt;1,1,SUM(E410:F410)/D410)</f>
        <v>0.51574704441572972</v>
      </c>
      <c r="S410" s="61">
        <f t="shared" ref="S410:S411" si="213">SUM(E410:F410)/SUM(E410:F410)</f>
        <v>1</v>
      </c>
      <c r="T410" s="61">
        <v>0</v>
      </c>
      <c r="U410" s="34">
        <f t="shared" ref="U410:V411" si="214">IF(OR(ISBLANK($R410),ISBLANK(S410)),"NA",$R410*S410)</f>
        <v>0.51574704441572972</v>
      </c>
      <c r="V410" s="34">
        <f t="shared" si="214"/>
        <v>0</v>
      </c>
      <c r="W410" s="34"/>
      <c r="X410" s="34"/>
    </row>
    <row r="411" spans="1:24" x14ac:dyDescent="0.2">
      <c r="A411" s="21"/>
      <c r="B411" s="19"/>
      <c r="C411" s="139">
        <v>2017</v>
      </c>
      <c r="D411" s="32">
        <f>SUM(E411:N411)</f>
        <v>97963000</v>
      </c>
      <c r="E411" s="35">
        <v>50254000</v>
      </c>
      <c r="F411" s="35">
        <v>0</v>
      </c>
      <c r="G411" s="51">
        <v>45671000</v>
      </c>
      <c r="H411" s="51">
        <v>2038000</v>
      </c>
      <c r="I411" s="28"/>
      <c r="J411" s="22"/>
      <c r="K411" s="22"/>
      <c r="L411" s="22"/>
      <c r="M411" s="22"/>
      <c r="N411" s="22"/>
      <c r="O411" s="21"/>
      <c r="P411" s="21"/>
      <c r="Q411" s="21" t="str">
        <f t="shared" si="211"/>
        <v>NEE2017ASSETS</v>
      </c>
      <c r="R411" s="61">
        <f t="shared" si="212"/>
        <v>0.51298959811357348</v>
      </c>
      <c r="S411" s="61">
        <f t="shared" si="213"/>
        <v>1</v>
      </c>
      <c r="T411" s="61">
        <v>0</v>
      </c>
      <c r="U411" s="34">
        <f t="shared" si="214"/>
        <v>0.51298959811357348</v>
      </c>
      <c r="V411" s="34">
        <f t="shared" si="214"/>
        <v>0</v>
      </c>
      <c r="W411" s="34"/>
      <c r="X411" s="34"/>
    </row>
    <row r="415" spans="1:24" x14ac:dyDescent="0.2">
      <c r="A415" s="18" t="s">
        <v>239</v>
      </c>
      <c r="B415" s="19"/>
      <c r="C415" s="20"/>
      <c r="D415" s="21"/>
      <c r="E415" s="33"/>
      <c r="F415" s="33"/>
      <c r="G415" s="33"/>
      <c r="H415" s="33"/>
      <c r="I415" s="22"/>
      <c r="J415" s="22"/>
      <c r="K415" s="22"/>
      <c r="L415" s="22"/>
      <c r="M415" s="22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x14ac:dyDescent="0.2">
      <c r="A416" s="21" t="s">
        <v>240</v>
      </c>
      <c r="B416" s="19"/>
      <c r="C416" s="20"/>
      <c r="D416" s="21"/>
      <c r="E416" s="33"/>
      <c r="F416" s="33"/>
      <c r="G416" s="33"/>
      <c r="H416" s="33"/>
      <c r="I416" s="22"/>
      <c r="J416" s="22"/>
      <c r="K416" s="22"/>
      <c r="L416" s="22"/>
      <c r="M416" s="22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63.75" x14ac:dyDescent="0.2">
      <c r="A417" s="148" t="s">
        <v>241</v>
      </c>
      <c r="B417" s="19" t="s">
        <v>223</v>
      </c>
      <c r="C417" s="31"/>
      <c r="D417" s="31" t="s">
        <v>75</v>
      </c>
      <c r="E417" s="35" t="s">
        <v>242</v>
      </c>
      <c r="F417" s="35" t="s">
        <v>243</v>
      </c>
      <c r="G417" s="35" t="s">
        <v>88</v>
      </c>
      <c r="H417" s="35" t="s">
        <v>76</v>
      </c>
      <c r="I417" s="22"/>
      <c r="J417" s="22"/>
      <c r="K417" s="22"/>
      <c r="L417" s="22"/>
      <c r="M417" s="22"/>
      <c r="N417" s="21"/>
      <c r="O417" s="21"/>
      <c r="P417" s="21"/>
      <c r="Q417" s="29"/>
      <c r="R417" s="30" t="s">
        <v>77</v>
      </c>
      <c r="S417" s="30" t="s">
        <v>78</v>
      </c>
      <c r="T417" s="30" t="s">
        <v>79</v>
      </c>
      <c r="U417" s="30" t="s">
        <v>80</v>
      </c>
      <c r="V417" s="30" t="s">
        <v>81</v>
      </c>
      <c r="W417" s="31"/>
      <c r="X417" s="31"/>
    </row>
    <row r="418" spans="1:24" x14ac:dyDescent="0.2">
      <c r="A418" s="53"/>
      <c r="B418" s="19"/>
      <c r="C418" s="139">
        <v>2019</v>
      </c>
      <c r="D418" s="32">
        <f>SUM(E418:M418)</f>
        <v>1257910</v>
      </c>
      <c r="E418" s="35">
        <v>981178</v>
      </c>
      <c r="F418" s="35">
        <v>276732</v>
      </c>
      <c r="G418" s="35">
        <v>0</v>
      </c>
      <c r="H418" s="35">
        <v>0</v>
      </c>
      <c r="I418" s="22"/>
      <c r="J418" s="22"/>
      <c r="K418" s="22"/>
      <c r="L418" s="22"/>
      <c r="M418" s="22"/>
      <c r="N418" s="21"/>
      <c r="O418" s="21"/>
      <c r="P418" s="21"/>
      <c r="Q418" s="21" t="str">
        <f>$A$417&amp;C418&amp;"REV"</f>
        <v>NWE2019REV</v>
      </c>
      <c r="R418" s="61">
        <f>IF(SUM(E418:F418)/D418&gt;1,1,SUM(E418:F418)/D418)</f>
        <v>1</v>
      </c>
      <c r="S418" s="61">
        <f>E418/SUM(E418:F418)</f>
        <v>0.78000651874935412</v>
      </c>
      <c r="T418" s="61">
        <f>F418/SUM(E418:F418)</f>
        <v>0.21999348125064591</v>
      </c>
      <c r="U418" s="34">
        <f>IF(OR(ISBLANK($R418),ISBLANK(S418)),"NA",$R418*S418)</f>
        <v>0.78000651874935412</v>
      </c>
      <c r="V418" s="34">
        <f>IF(OR(ISBLANK($R418),ISBLANK(T418)),"NA",$R418*T418)</f>
        <v>0.21999348125064591</v>
      </c>
      <c r="W418" s="34"/>
      <c r="X418" s="34"/>
    </row>
    <row r="419" spans="1:24" x14ac:dyDescent="0.2">
      <c r="A419" s="21"/>
      <c r="B419" s="19" t="s">
        <v>82</v>
      </c>
      <c r="C419" s="139">
        <v>2018</v>
      </c>
      <c r="D419" s="32">
        <f>SUM(E419:M419)</f>
        <v>1192009</v>
      </c>
      <c r="E419" s="35">
        <v>921093</v>
      </c>
      <c r="F419" s="51">
        <v>270916</v>
      </c>
      <c r="G419" s="35">
        <v>0</v>
      </c>
      <c r="H419" s="35">
        <v>0</v>
      </c>
      <c r="I419" s="22"/>
      <c r="J419" s="22"/>
      <c r="K419" s="22"/>
      <c r="L419" s="22"/>
      <c r="M419" s="22"/>
      <c r="N419" s="21"/>
      <c r="O419" s="21"/>
      <c r="P419" s="21"/>
      <c r="Q419" s="21" t="str">
        <f t="shared" ref="Q419:Q420" si="215">$A$417&amp;C419&amp;"REV"</f>
        <v>NWE2018REV</v>
      </c>
      <c r="R419" s="61">
        <f t="shared" ref="R419:R420" si="216">IF(SUM(E419:F419)/D419&gt;1,1,SUM(E419:F419)/D419)</f>
        <v>1</v>
      </c>
      <c r="S419" s="61">
        <f>E419/SUM(E419:F419)</f>
        <v>0.7727231925262309</v>
      </c>
      <c r="T419" s="61">
        <f>F419/SUM(E419:F419)</f>
        <v>0.22727680747376908</v>
      </c>
      <c r="U419" s="34">
        <f>IF(OR(ISBLANK($R419),ISBLANK(S419)),"NA",$R419*S419)</f>
        <v>0.7727231925262309</v>
      </c>
      <c r="V419" s="34">
        <f>IF(OR(ISBLANK($R419),ISBLANK(T419)),"NA",$R419*T419)</f>
        <v>0.22727680747376908</v>
      </c>
      <c r="W419" s="34"/>
      <c r="X419" s="34"/>
    </row>
    <row r="420" spans="1:24" x14ac:dyDescent="0.2">
      <c r="A420" s="21"/>
      <c r="B420" s="19"/>
      <c r="C420" s="139">
        <v>2017</v>
      </c>
      <c r="D420" s="32">
        <f t="shared" ref="D420" si="217">SUM(E420:M420)</f>
        <v>1305652</v>
      </c>
      <c r="E420" s="35">
        <v>1037053</v>
      </c>
      <c r="F420" s="51">
        <v>268599</v>
      </c>
      <c r="G420" s="35">
        <v>0</v>
      </c>
      <c r="H420" s="35">
        <v>0</v>
      </c>
      <c r="I420" s="22"/>
      <c r="J420" s="22"/>
      <c r="K420" s="22"/>
      <c r="L420" s="22"/>
      <c r="M420" s="22"/>
      <c r="N420" s="21"/>
      <c r="O420" s="21"/>
      <c r="P420" s="21"/>
      <c r="Q420" s="21" t="str">
        <f t="shared" si="215"/>
        <v>NWE2017REV</v>
      </c>
      <c r="R420" s="61">
        <f t="shared" si="216"/>
        <v>1</v>
      </c>
      <c r="S420" s="61">
        <f>E420/SUM(E420:F420)</f>
        <v>0.7942797927778612</v>
      </c>
      <c r="T420" s="61">
        <f>F420/SUM(E420:F420)</f>
        <v>0.20572020722213882</v>
      </c>
      <c r="U420" s="34">
        <f t="shared" ref="U420:V420" si="218">IF(OR(ISBLANK($R420),ISBLANK(S420)),"NA",$R420*S420)</f>
        <v>0.7942797927778612</v>
      </c>
      <c r="V420" s="34">
        <f t="shared" si="218"/>
        <v>0.20572020722213882</v>
      </c>
      <c r="W420" s="63">
        <f>AVERAGE(T418:T420)</f>
        <v>0.21766349864885126</v>
      </c>
      <c r="X420" s="34"/>
    </row>
    <row r="421" spans="1:24" x14ac:dyDescent="0.2">
      <c r="A421" s="21"/>
      <c r="B421" s="19"/>
      <c r="C421" s="20"/>
      <c r="D421" s="21"/>
      <c r="E421" s="33"/>
      <c r="F421" s="33"/>
      <c r="G421" s="33"/>
      <c r="H421" s="33"/>
      <c r="I421" s="22"/>
      <c r="J421" s="22"/>
      <c r="K421" s="22"/>
      <c r="L421" s="22"/>
      <c r="M421" s="22"/>
      <c r="N421" s="21"/>
      <c r="O421" s="21"/>
      <c r="P421" s="21"/>
      <c r="Q421" s="21"/>
      <c r="R421" s="21"/>
      <c r="S421" s="21"/>
      <c r="T421" s="21"/>
      <c r="U421" s="21"/>
      <c r="V421" s="21"/>
      <c r="X421" s="21"/>
    </row>
    <row r="422" spans="1:24" x14ac:dyDescent="0.2">
      <c r="A422" s="21"/>
      <c r="B422" s="19"/>
      <c r="C422" s="139">
        <v>2019</v>
      </c>
      <c r="D422" s="32">
        <f t="shared" ref="D422:D424" si="219">SUM(E422:M422)</f>
        <v>276850</v>
      </c>
      <c r="E422" s="33">
        <v>231217</v>
      </c>
      <c r="F422" s="33">
        <v>48716</v>
      </c>
      <c r="G422" s="33">
        <v>-3083</v>
      </c>
      <c r="H422" s="33">
        <v>0</v>
      </c>
      <c r="I422" s="22"/>
      <c r="J422" s="22"/>
      <c r="K422" s="22"/>
      <c r="L422" s="22"/>
      <c r="M422" s="22"/>
      <c r="N422" s="21"/>
      <c r="O422" s="21"/>
      <c r="P422" s="21"/>
      <c r="Q422" s="21" t="str">
        <f>$A$417&amp;C422&amp;"INC"</f>
        <v>NWE2019INC</v>
      </c>
      <c r="R422" s="61">
        <f t="shared" ref="R422:R424" si="220">IF(SUM(E422:F422)/D422&gt;1,1,SUM(E422:F422)/D422)</f>
        <v>1</v>
      </c>
      <c r="S422" s="61">
        <f>E422/SUM(E422:F422)</f>
        <v>0.82597264345396937</v>
      </c>
      <c r="T422" s="61">
        <f>F422/SUM(E422:F422)</f>
        <v>0.17402735654603066</v>
      </c>
      <c r="U422" s="34">
        <f>IF(OR(ISBLANK($R422),ISBLANK(S422)),"NA",$R422*S422)</f>
        <v>0.82597264345396937</v>
      </c>
      <c r="V422" s="34">
        <f>IF(OR(ISBLANK($R422),ISBLANK(T422)),"NA",$R422*T422)</f>
        <v>0.17402735654603066</v>
      </c>
      <c r="W422" s="63"/>
      <c r="X422" s="34"/>
    </row>
    <row r="423" spans="1:24" x14ac:dyDescent="0.2">
      <c r="A423" s="21"/>
      <c r="B423" s="19" t="s">
        <v>83</v>
      </c>
      <c r="C423" s="139">
        <v>2018</v>
      </c>
      <c r="D423" s="32">
        <f t="shared" si="219"/>
        <v>266272</v>
      </c>
      <c r="E423" s="35">
        <v>223570</v>
      </c>
      <c r="F423" s="35">
        <v>43386</v>
      </c>
      <c r="G423" s="35">
        <v>-684</v>
      </c>
      <c r="H423" s="35"/>
      <c r="I423" s="22"/>
      <c r="J423" s="22"/>
      <c r="K423" s="22"/>
      <c r="L423" s="22"/>
      <c r="M423" s="22"/>
      <c r="N423" s="21"/>
      <c r="O423" s="21"/>
      <c r="P423" s="21"/>
      <c r="Q423" s="21" t="str">
        <f t="shared" ref="Q423:Q424" si="221">$A$417&amp;C423&amp;"INC"</f>
        <v>NWE2018INC</v>
      </c>
      <c r="R423" s="61">
        <f t="shared" si="220"/>
        <v>1</v>
      </c>
      <c r="S423" s="61">
        <f>E423/SUM(E423:F423)</f>
        <v>0.83747883546352209</v>
      </c>
      <c r="T423" s="61">
        <f>F423/SUM(E423:F423)</f>
        <v>0.16252116453647791</v>
      </c>
      <c r="U423" s="34">
        <f>IF(OR(ISBLANK($R423),ISBLANK(S423)),"NA",$R423*S423)</f>
        <v>0.83747883546352209</v>
      </c>
      <c r="V423" s="34">
        <f>IF(OR(ISBLANK($R423),ISBLANK(T423)),"NA",$R423*T423)</f>
        <v>0.16252116453647791</v>
      </c>
      <c r="W423" s="63"/>
      <c r="X423" s="34"/>
    </row>
    <row r="424" spans="1:24" x14ac:dyDescent="0.2">
      <c r="A424" s="21"/>
      <c r="B424" s="19"/>
      <c r="C424" s="139">
        <v>2017</v>
      </c>
      <c r="D424" s="32">
        <f t="shared" si="219"/>
        <v>271749</v>
      </c>
      <c r="E424" s="35">
        <v>223074</v>
      </c>
      <c r="F424" s="35">
        <v>48760</v>
      </c>
      <c r="G424" s="35">
        <v>-85</v>
      </c>
      <c r="H424" s="35">
        <v>0</v>
      </c>
      <c r="I424" s="22"/>
      <c r="J424" s="22"/>
      <c r="K424" s="22"/>
      <c r="L424" s="22"/>
      <c r="M424" s="22"/>
      <c r="N424" s="21"/>
      <c r="O424" s="21"/>
      <c r="P424" s="21"/>
      <c r="Q424" s="21" t="str">
        <f t="shared" si="221"/>
        <v>NWE2017INC</v>
      </c>
      <c r="R424" s="61">
        <f t="shared" si="220"/>
        <v>1</v>
      </c>
      <c r="S424" s="61">
        <f>E424/SUM(E424:F424)</f>
        <v>0.82062582311263488</v>
      </c>
      <c r="T424" s="61">
        <f>F424/SUM(E424:F424)</f>
        <v>0.17937417688736509</v>
      </c>
      <c r="U424" s="34">
        <f t="shared" ref="U424:V424" si="222">IF(OR(ISBLANK($R424),ISBLANK(S424)),"NA",$R424*S424)</f>
        <v>0.82062582311263488</v>
      </c>
      <c r="V424" s="34">
        <f t="shared" si="222"/>
        <v>0.17937417688736509</v>
      </c>
      <c r="W424" s="63">
        <f>AVERAGE(T422:T424)</f>
        <v>0.17197423265662456</v>
      </c>
      <c r="X424" s="34"/>
    </row>
    <row r="425" spans="1:24" x14ac:dyDescent="0.2">
      <c r="A425" s="21"/>
      <c r="B425" s="19"/>
      <c r="C425" s="20"/>
      <c r="D425" s="57"/>
      <c r="E425" s="33"/>
      <c r="F425" s="33"/>
      <c r="G425" s="33"/>
      <c r="H425" s="33"/>
      <c r="I425" s="22"/>
      <c r="J425" s="22"/>
      <c r="K425" s="22"/>
      <c r="L425" s="22"/>
      <c r="M425" s="22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x14ac:dyDescent="0.2">
      <c r="A426" s="21"/>
      <c r="B426" s="19"/>
      <c r="C426" s="139">
        <v>2019</v>
      </c>
      <c r="D426" s="32">
        <f t="shared" ref="D426:D428" si="223">SUM(E426:M426)</f>
        <v>5910702</v>
      </c>
      <c r="E426" s="33">
        <v>4685990</v>
      </c>
      <c r="F426" s="33">
        <v>1220048</v>
      </c>
      <c r="G426" s="33">
        <v>4664</v>
      </c>
      <c r="H426" s="33">
        <v>0</v>
      </c>
      <c r="I426" s="22"/>
      <c r="J426" s="22"/>
      <c r="K426" s="22"/>
      <c r="L426" s="22"/>
      <c r="M426" s="22"/>
      <c r="N426" s="21"/>
      <c r="O426" s="21"/>
      <c r="P426" s="21"/>
      <c r="Q426" s="21" t="str">
        <f>$A$417&amp;C426&amp;"ASSETS"</f>
        <v>NWE2019ASSETS</v>
      </c>
      <c r="R426" s="61">
        <f t="shared" ref="R426:R428" si="224">IF(SUM(E426:F426)/D426&gt;1,1,SUM(E426:F426)/D426)</f>
        <v>0.99921092283116286</v>
      </c>
      <c r="S426" s="61">
        <f>E426/SUM(E426:F426)</f>
        <v>0.79342361156497809</v>
      </c>
      <c r="T426" s="61">
        <f>F426/SUM(E426:F426)</f>
        <v>0.20657638843502193</v>
      </c>
      <c r="U426" s="34">
        <f>IF(OR(ISBLANK($R426),ISBLANK(S426)),"NA",$R426*S426)</f>
        <v>0.79279753910787587</v>
      </c>
      <c r="V426" s="34">
        <f>IF(OR(ISBLANK($R426),ISBLANK(T426)),"NA",$R426*T426)</f>
        <v>0.20641338372328702</v>
      </c>
      <c r="W426" s="34"/>
      <c r="X426" s="34"/>
    </row>
    <row r="427" spans="1:24" x14ac:dyDescent="0.2">
      <c r="A427" s="21"/>
      <c r="B427" s="19" t="s">
        <v>84</v>
      </c>
      <c r="C427" s="139">
        <v>2018</v>
      </c>
      <c r="D427" s="32">
        <f t="shared" si="223"/>
        <v>5644376</v>
      </c>
      <c r="E427" s="35">
        <v>4512392</v>
      </c>
      <c r="F427" s="51">
        <v>1127252</v>
      </c>
      <c r="G427" s="51">
        <v>4732</v>
      </c>
      <c r="H427" s="35"/>
      <c r="I427" s="22"/>
      <c r="J427" s="22"/>
      <c r="K427" s="22"/>
      <c r="L427" s="22"/>
      <c r="M427" s="22"/>
      <c r="N427" s="21"/>
      <c r="O427" s="21"/>
      <c r="P427" s="21"/>
      <c r="Q427" s="21" t="str">
        <f t="shared" ref="Q427:Q428" si="225">$A$417&amp;C427&amp;"ASSETS"</f>
        <v>NWE2018ASSETS</v>
      </c>
      <c r="R427" s="61">
        <f t="shared" si="224"/>
        <v>0.99916164337740787</v>
      </c>
      <c r="S427" s="61">
        <f>E427/SUM(E427:F427)</f>
        <v>0.80012000757494617</v>
      </c>
      <c r="T427" s="61">
        <f>F427/SUM(E427:F427)</f>
        <v>0.19987999242505378</v>
      </c>
      <c r="U427" s="34">
        <f>IF(OR(ISBLANK($R427),ISBLANK(S427)),"NA",$R427*S427)</f>
        <v>0.79944922166772725</v>
      </c>
      <c r="V427" s="34">
        <f>IF(OR(ISBLANK($R427),ISBLANK(T427)),"NA",$R427*T427)</f>
        <v>0.19971242170968057</v>
      </c>
      <c r="W427" s="34"/>
      <c r="X427" s="34"/>
    </row>
    <row r="428" spans="1:24" x14ac:dyDescent="0.2">
      <c r="A428" s="21"/>
      <c r="B428" s="19"/>
      <c r="C428" s="139">
        <v>2017</v>
      </c>
      <c r="D428" s="32">
        <f t="shared" si="223"/>
        <v>5420917</v>
      </c>
      <c r="E428" s="35">
        <v>4346484</v>
      </c>
      <c r="F428" s="51">
        <v>1071847</v>
      </c>
      <c r="G428" s="51">
        <v>2586</v>
      </c>
      <c r="H428" s="35">
        <v>0</v>
      </c>
      <c r="I428" s="22"/>
      <c r="J428" s="22"/>
      <c r="K428" s="22"/>
      <c r="L428" s="22"/>
      <c r="M428" s="22"/>
      <c r="N428" s="21"/>
      <c r="O428" s="21"/>
      <c r="P428" s="21"/>
      <c r="Q428" s="21" t="str">
        <f t="shared" si="225"/>
        <v>NWE2017ASSETS</v>
      </c>
      <c r="R428" s="61">
        <f t="shared" si="224"/>
        <v>0.99952295893849696</v>
      </c>
      <c r="S428" s="61">
        <f>E428/SUM(E428:F428)</f>
        <v>0.80218133591321761</v>
      </c>
      <c r="T428" s="61">
        <f>F428/SUM(E428:F428)</f>
        <v>0.19781866408678245</v>
      </c>
      <c r="U428" s="34">
        <f t="shared" ref="U428:V428" si="226">IF(OR(ISBLANK($R428),ISBLANK(S428)),"NA",$R428*S428)</f>
        <v>0.80179866247721565</v>
      </c>
      <c r="V428" s="34">
        <f t="shared" si="226"/>
        <v>0.19772429646128137</v>
      </c>
      <c r="W428" s="34"/>
      <c r="X428" s="34"/>
    </row>
    <row r="432" spans="1:24" x14ac:dyDescent="0.2">
      <c r="A432" s="18" t="s">
        <v>49</v>
      </c>
      <c r="B432" s="19"/>
      <c r="C432" s="20"/>
      <c r="D432" s="21"/>
      <c r="E432" s="33"/>
      <c r="F432" s="33"/>
      <c r="G432" s="33"/>
      <c r="H432" s="33"/>
      <c r="I432" s="22"/>
      <c r="J432" s="22"/>
      <c r="K432" s="22"/>
      <c r="L432" s="22"/>
      <c r="M432" s="22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6" x14ac:dyDescent="0.2">
      <c r="A433" s="21" t="s">
        <v>244</v>
      </c>
      <c r="B433" s="19"/>
      <c r="C433" s="20"/>
      <c r="D433" s="21"/>
      <c r="E433" s="33"/>
      <c r="F433" s="33"/>
      <c r="G433" s="33"/>
      <c r="H433" s="33"/>
      <c r="I433" s="22"/>
      <c r="J433" s="22"/>
      <c r="K433" s="22"/>
      <c r="L433" s="22"/>
      <c r="M433" s="22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6" ht="63.75" x14ac:dyDescent="0.2">
      <c r="A434" s="18" t="s">
        <v>50</v>
      </c>
      <c r="B434" s="19" t="s">
        <v>223</v>
      </c>
      <c r="C434" s="20"/>
      <c r="D434" s="20" t="s">
        <v>75</v>
      </c>
      <c r="E434" s="51" t="s">
        <v>133</v>
      </c>
      <c r="F434" s="35" t="s">
        <v>245</v>
      </c>
      <c r="G434" s="35" t="s">
        <v>246</v>
      </c>
      <c r="H434" s="51" t="s">
        <v>76</v>
      </c>
      <c r="I434" s="22"/>
      <c r="J434" s="22"/>
      <c r="K434" s="22"/>
      <c r="L434" s="22"/>
      <c r="M434" s="22"/>
      <c r="N434" s="21"/>
      <c r="O434" s="21"/>
      <c r="P434" s="21"/>
      <c r="Q434" s="29"/>
      <c r="R434" s="30" t="s">
        <v>77</v>
      </c>
      <c r="S434" s="30" t="s">
        <v>78</v>
      </c>
      <c r="T434" s="30" t="s">
        <v>79</v>
      </c>
      <c r="U434" s="30" t="s">
        <v>80</v>
      </c>
      <c r="V434" s="30" t="s">
        <v>81</v>
      </c>
      <c r="W434" s="31"/>
      <c r="X434" s="31"/>
    </row>
    <row r="435" spans="1:26" x14ac:dyDescent="0.2">
      <c r="A435" s="21"/>
      <c r="B435" s="19"/>
      <c r="C435" s="139">
        <v>2019</v>
      </c>
      <c r="D435" s="32">
        <f>SUM(E435:M435)</f>
        <v>2231600</v>
      </c>
      <c r="E435" s="51">
        <v>2231600</v>
      </c>
      <c r="F435" s="35">
        <v>0</v>
      </c>
      <c r="G435" s="35">
        <v>0</v>
      </c>
      <c r="H435" s="51">
        <v>0</v>
      </c>
      <c r="I435" s="22"/>
      <c r="J435" s="22"/>
      <c r="K435" s="22"/>
      <c r="L435" s="22"/>
      <c r="M435" s="22"/>
      <c r="N435" s="21"/>
      <c r="O435" s="21"/>
      <c r="P435" s="21"/>
      <c r="Q435" s="21" t="str">
        <f>$A$434&amp;C435&amp;"REV"</f>
        <v>OGE2019REV</v>
      </c>
      <c r="R435" s="61">
        <f>IF(E435/D435&gt;1,1,E435/D435)</f>
        <v>1</v>
      </c>
      <c r="S435" s="61">
        <f>E435/E435</f>
        <v>1</v>
      </c>
      <c r="T435" s="61">
        <f>0/SUM(E435:F435)</f>
        <v>0</v>
      </c>
      <c r="U435" s="34">
        <f>IF(OR(ISBLANK($R435),ISBLANK(S435)),"NA",$R435*S435)</f>
        <v>1</v>
      </c>
      <c r="V435" s="34">
        <f>IF(OR(ISBLANK($R435),ISBLANK(T435)),"NA",$R435*T435)</f>
        <v>0</v>
      </c>
      <c r="W435" s="34"/>
      <c r="X435" s="34"/>
    </row>
    <row r="436" spans="1:26" x14ac:dyDescent="0.2">
      <c r="A436" s="21"/>
      <c r="B436" s="19" t="s">
        <v>82</v>
      </c>
      <c r="C436" s="139">
        <v>2018</v>
      </c>
      <c r="D436" s="32">
        <f>SUM(E436:M436)</f>
        <v>2270300</v>
      </c>
      <c r="E436" s="35">
        <v>2270300</v>
      </c>
      <c r="F436" s="51">
        <v>0</v>
      </c>
      <c r="G436" s="51">
        <v>0</v>
      </c>
      <c r="H436" s="35">
        <v>0</v>
      </c>
      <c r="I436" s="22"/>
      <c r="J436" s="22"/>
      <c r="K436" s="22"/>
      <c r="L436" s="22"/>
      <c r="M436" s="22"/>
      <c r="N436" s="21"/>
      <c r="O436" s="21"/>
      <c r="P436" s="21"/>
      <c r="Q436" s="21" t="str">
        <f t="shared" ref="Q436:Q437" si="227">$A$434&amp;C436&amp;"REV"</f>
        <v>OGE2018REV</v>
      </c>
      <c r="R436" s="61">
        <f t="shared" ref="R436:R437" si="228">IF(E436/D436&gt;1,1,E436/D436)</f>
        <v>1</v>
      </c>
      <c r="S436" s="61">
        <f>E436/E436</f>
        <v>1</v>
      </c>
      <c r="T436" s="61">
        <f>0/SUM(E436:F436)</f>
        <v>0</v>
      </c>
      <c r="U436" s="34">
        <f>IF(OR(ISBLANK($R436),ISBLANK(S436)),"NA",$R436*S436)</f>
        <v>1</v>
      </c>
      <c r="V436" s="34">
        <f>IF(OR(ISBLANK($R436),ISBLANK(T436)),"NA",$R436*T436)</f>
        <v>0</v>
      </c>
      <c r="W436" s="34"/>
      <c r="X436" s="34"/>
    </row>
    <row r="437" spans="1:26" x14ac:dyDescent="0.2">
      <c r="A437" s="21"/>
      <c r="B437" s="19"/>
      <c r="C437" s="139">
        <v>2017</v>
      </c>
      <c r="D437" s="32">
        <f t="shared" ref="D437" si="229">SUM(E437:M437)</f>
        <v>2261100</v>
      </c>
      <c r="E437" s="35">
        <v>2261100</v>
      </c>
      <c r="F437" s="51">
        <v>0</v>
      </c>
      <c r="G437" s="51">
        <v>0</v>
      </c>
      <c r="H437" s="35">
        <v>0</v>
      </c>
      <c r="I437" s="22"/>
      <c r="J437" s="22"/>
      <c r="K437" s="22"/>
      <c r="L437" s="22"/>
      <c r="M437" s="22"/>
      <c r="N437" s="21"/>
      <c r="O437" s="21"/>
      <c r="P437" s="21"/>
      <c r="Q437" s="21" t="str">
        <f t="shared" si="227"/>
        <v>OGE2017REV</v>
      </c>
      <c r="R437" s="61">
        <f t="shared" si="228"/>
        <v>1</v>
      </c>
      <c r="S437" s="61">
        <f t="shared" ref="S437:S445" si="230">E437/E437</f>
        <v>1</v>
      </c>
      <c r="T437" s="61">
        <f>0/SUM(E437:F437)</f>
        <v>0</v>
      </c>
      <c r="U437" s="34">
        <f t="shared" ref="U437:V437" si="231">IF(OR(ISBLANK($R437),ISBLANK(S437)),"NA",$R437*S437)</f>
        <v>1</v>
      </c>
      <c r="V437" s="34">
        <f t="shared" si="231"/>
        <v>0</v>
      </c>
      <c r="W437" s="34"/>
      <c r="X437" s="34"/>
    </row>
    <row r="438" spans="1:26" x14ac:dyDescent="0.2">
      <c r="A438" s="21"/>
      <c r="B438" s="19"/>
      <c r="C438" s="20"/>
      <c r="D438" s="21"/>
      <c r="E438" s="33"/>
      <c r="F438" s="33"/>
      <c r="G438" s="33"/>
      <c r="H438" s="33"/>
      <c r="I438" s="22"/>
      <c r="J438" s="22"/>
      <c r="K438" s="22"/>
      <c r="L438" s="22"/>
      <c r="M438" s="22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Z438" s="64">
        <f>AVERAGE(S435:S437)</f>
        <v>1</v>
      </c>
    </row>
    <row r="439" spans="1:26" x14ac:dyDescent="0.2">
      <c r="A439" s="21"/>
      <c r="B439" s="19"/>
      <c r="C439" s="139">
        <v>2019</v>
      </c>
      <c r="D439" s="32">
        <f t="shared" ref="D439:D441" si="232">SUM(E439:M439)</f>
        <v>504300</v>
      </c>
      <c r="E439" s="33">
        <v>507700</v>
      </c>
      <c r="F439" s="33">
        <v>-3200</v>
      </c>
      <c r="G439" s="33">
        <v>-200</v>
      </c>
      <c r="H439" s="33">
        <v>0</v>
      </c>
      <c r="I439" s="22"/>
      <c r="J439" s="22"/>
      <c r="K439" s="22"/>
      <c r="L439" s="22"/>
      <c r="M439" s="22"/>
      <c r="N439" s="21"/>
      <c r="O439" s="21"/>
      <c r="P439" s="21"/>
      <c r="Q439" s="21" t="str">
        <f>$A$434&amp;C439&amp;"INC"</f>
        <v>OGE2019INC</v>
      </c>
      <c r="R439" s="61">
        <f t="shared" ref="R439:R441" si="233">IF(E439/D439&gt;1,1,E439/D439)</f>
        <v>1</v>
      </c>
      <c r="S439" s="61">
        <f t="shared" ref="S439" si="234">E439/E439</f>
        <v>1</v>
      </c>
      <c r="T439" s="61">
        <f>0/SUM(E439:F439)</f>
        <v>0</v>
      </c>
      <c r="U439" s="34">
        <f>IF(OR(ISBLANK($R439),ISBLANK(S439)),"NA",$R439*S439)</f>
        <v>1</v>
      </c>
      <c r="V439" s="34">
        <f>IF(OR(ISBLANK($R439),ISBLANK(T439)),"NA",$R439*T439)</f>
        <v>0</v>
      </c>
      <c r="W439" s="34"/>
      <c r="X439" s="34"/>
    </row>
    <row r="440" spans="1:26" x14ac:dyDescent="0.2">
      <c r="A440" s="21"/>
      <c r="B440" s="19" t="s">
        <v>83</v>
      </c>
      <c r="C440" s="139">
        <v>2018</v>
      </c>
      <c r="D440" s="32">
        <f t="shared" si="232"/>
        <v>489600</v>
      </c>
      <c r="E440" s="35">
        <v>494200</v>
      </c>
      <c r="F440" s="51">
        <v>-2000</v>
      </c>
      <c r="G440" s="35">
        <v>-2600</v>
      </c>
      <c r="H440" s="35">
        <v>0</v>
      </c>
      <c r="I440" s="22"/>
      <c r="J440" s="22"/>
      <c r="K440" s="22"/>
      <c r="L440" s="22"/>
      <c r="M440" s="22"/>
      <c r="N440" s="21"/>
      <c r="O440" s="21"/>
      <c r="P440" s="21"/>
      <c r="Q440" s="21" t="str">
        <f t="shared" ref="Q440:Q441" si="235">$A$434&amp;C440&amp;"INC"</f>
        <v>OGE2018INC</v>
      </c>
      <c r="R440" s="61">
        <f t="shared" si="233"/>
        <v>1</v>
      </c>
      <c r="S440" s="61">
        <f t="shared" si="230"/>
        <v>1</v>
      </c>
      <c r="T440" s="61">
        <f>0/SUM(E440:F440)</f>
        <v>0</v>
      </c>
      <c r="U440" s="34">
        <f>IF(OR(ISBLANK($R440),ISBLANK(S440)),"NA",$R440*S440)</f>
        <v>1</v>
      </c>
      <c r="V440" s="34">
        <f>IF(OR(ISBLANK($R440),ISBLANK(T440)),"NA",$R440*T440)</f>
        <v>0</v>
      </c>
      <c r="W440" s="34"/>
      <c r="X440" s="34"/>
    </row>
    <row r="441" spans="1:26" x14ac:dyDescent="0.2">
      <c r="A441" s="21"/>
      <c r="B441" s="19"/>
      <c r="C441" s="139">
        <v>2017</v>
      </c>
      <c r="D441" s="32">
        <f t="shared" si="232"/>
        <v>531900</v>
      </c>
      <c r="E441" s="35">
        <v>528000</v>
      </c>
      <c r="F441" s="35">
        <v>-200</v>
      </c>
      <c r="G441" s="35">
        <v>4100</v>
      </c>
      <c r="H441" s="35">
        <v>0</v>
      </c>
      <c r="I441" s="22"/>
      <c r="J441" s="22"/>
      <c r="K441" s="22"/>
      <c r="L441" s="22"/>
      <c r="M441" s="22"/>
      <c r="N441" s="21"/>
      <c r="O441" s="21"/>
      <c r="P441" s="21"/>
      <c r="Q441" s="21" t="str">
        <f t="shared" si="235"/>
        <v>OGE2017INC</v>
      </c>
      <c r="R441" s="61">
        <f t="shared" si="233"/>
        <v>0.9926677946982515</v>
      </c>
      <c r="S441" s="61">
        <f t="shared" si="230"/>
        <v>1</v>
      </c>
      <c r="T441" s="61">
        <f>0/SUM(E441:F441)</f>
        <v>0</v>
      </c>
      <c r="U441" s="34">
        <f t="shared" ref="U441:V441" si="236">IF(OR(ISBLANK($R441),ISBLANK(S441)),"NA",$R441*S441)</f>
        <v>0.9926677946982515</v>
      </c>
      <c r="V441" s="34">
        <f t="shared" si="236"/>
        <v>0</v>
      </c>
      <c r="W441" s="34"/>
      <c r="X441" s="34"/>
    </row>
    <row r="442" spans="1:26" x14ac:dyDescent="0.2">
      <c r="A442" s="21"/>
      <c r="B442" s="19"/>
      <c r="C442" s="20"/>
      <c r="D442" s="57"/>
      <c r="E442" s="33"/>
      <c r="F442" s="33"/>
      <c r="G442" s="33"/>
      <c r="H442" s="33"/>
      <c r="I442" s="22"/>
      <c r="J442" s="22"/>
      <c r="K442" s="22"/>
      <c r="L442" s="22"/>
      <c r="M442" s="22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Z442" s="64">
        <f>AVERAGE(S439:S441)</f>
        <v>1</v>
      </c>
    </row>
    <row r="443" spans="1:26" x14ac:dyDescent="0.2">
      <c r="A443" s="21"/>
      <c r="B443" s="19"/>
      <c r="C443" s="139">
        <v>2019</v>
      </c>
      <c r="D443" s="32">
        <f t="shared" ref="D443:D445" si="237">SUM(E443:M443)</f>
        <v>11024300</v>
      </c>
      <c r="E443" s="33">
        <v>10076600</v>
      </c>
      <c r="F443" s="33">
        <v>1135400</v>
      </c>
      <c r="G443" s="33">
        <v>107000</v>
      </c>
      <c r="H443" s="33">
        <v>-294700</v>
      </c>
      <c r="I443" s="22"/>
      <c r="J443" s="22"/>
      <c r="K443" s="22"/>
      <c r="L443" s="22"/>
      <c r="M443" s="22"/>
      <c r="N443" s="21"/>
      <c r="O443" s="21"/>
      <c r="P443" s="21"/>
      <c r="Q443" s="21" t="str">
        <f>$A$434&amp;C443&amp;"ASSETS"</f>
        <v>OGE2019ASSETS</v>
      </c>
      <c r="R443" s="61">
        <f t="shared" ref="R443:R445" si="238">IF(E443/D443&gt;1,1,E443/D443)</f>
        <v>0.91403535825403881</v>
      </c>
      <c r="S443" s="61">
        <f t="shared" ref="S443" si="239">E443/E443</f>
        <v>1</v>
      </c>
      <c r="T443" s="61">
        <f>0/SUM(E443:F443)</f>
        <v>0</v>
      </c>
      <c r="U443" s="34">
        <f>IF(OR(ISBLANK($R443),ISBLANK(S443)),"NA",$R443*S443)</f>
        <v>0.91403535825403881</v>
      </c>
      <c r="V443" s="34">
        <f>IF(OR(ISBLANK($R443),ISBLANK(T443)),"NA",$R443*T443)</f>
        <v>0</v>
      </c>
      <c r="W443" s="34"/>
      <c r="X443" s="34"/>
    </row>
    <row r="444" spans="1:26" x14ac:dyDescent="0.2">
      <c r="A444" s="21"/>
      <c r="B444" s="19" t="s">
        <v>84</v>
      </c>
      <c r="C444" s="139">
        <v>2018</v>
      </c>
      <c r="D444" s="32">
        <f t="shared" si="237"/>
        <v>10748600</v>
      </c>
      <c r="E444" s="35">
        <v>9704500</v>
      </c>
      <c r="F444" s="51">
        <v>1169800</v>
      </c>
      <c r="G444" s="51">
        <v>184800</v>
      </c>
      <c r="H444" s="35">
        <v>-310500</v>
      </c>
      <c r="I444" s="22"/>
      <c r="J444" s="22"/>
      <c r="K444" s="22"/>
      <c r="L444" s="22"/>
      <c r="M444" s="22"/>
      <c r="N444" s="21"/>
      <c r="O444" s="21"/>
      <c r="P444" s="21"/>
      <c r="Q444" s="21" t="str">
        <f t="shared" ref="Q444:Q445" si="240">$A$434&amp;C444&amp;"ASSETS"</f>
        <v>OGE2018ASSETS</v>
      </c>
      <c r="R444" s="61">
        <f t="shared" si="238"/>
        <v>0.90286176804421037</v>
      </c>
      <c r="S444" s="61">
        <f t="shared" si="230"/>
        <v>1</v>
      </c>
      <c r="T444" s="61">
        <f>0/SUM(E444:F444)</f>
        <v>0</v>
      </c>
      <c r="U444" s="34">
        <f>IF(OR(ISBLANK($R444),ISBLANK(S444)),"NA",$R444*S444)</f>
        <v>0.90286176804421037</v>
      </c>
      <c r="V444" s="34">
        <f>IF(OR(ISBLANK($R444),ISBLANK(T444)),"NA",$R444*T444)</f>
        <v>0</v>
      </c>
      <c r="W444" s="34"/>
      <c r="X444" s="34"/>
    </row>
    <row r="445" spans="1:26" x14ac:dyDescent="0.2">
      <c r="A445" s="21"/>
      <c r="B445" s="19"/>
      <c r="C445" s="139">
        <v>2017</v>
      </c>
      <c r="D445" s="32">
        <f t="shared" si="237"/>
        <v>10412700</v>
      </c>
      <c r="E445" s="35">
        <v>9255600</v>
      </c>
      <c r="F445" s="51">
        <v>1155300</v>
      </c>
      <c r="G445" s="51">
        <v>109100</v>
      </c>
      <c r="H445" s="35">
        <v>-107300</v>
      </c>
      <c r="I445" s="22"/>
      <c r="J445" s="22"/>
      <c r="K445" s="22"/>
      <c r="L445" s="22"/>
      <c r="M445" s="22"/>
      <c r="N445" s="21"/>
      <c r="O445" s="21"/>
      <c r="P445" s="21"/>
      <c r="Q445" s="21" t="str">
        <f t="shared" si="240"/>
        <v>OGE2017ASSETS</v>
      </c>
      <c r="R445" s="61">
        <f t="shared" si="238"/>
        <v>0.88887608401279206</v>
      </c>
      <c r="S445" s="61">
        <f t="shared" si="230"/>
        <v>1</v>
      </c>
      <c r="T445" s="61">
        <f>0/SUM(E445:F445)</f>
        <v>0</v>
      </c>
      <c r="U445" s="34">
        <f t="shared" ref="U445:V445" si="241">IF(OR(ISBLANK($R445),ISBLANK(S445)),"NA",$R445*S445)</f>
        <v>0.88887608401279206</v>
      </c>
      <c r="V445" s="34">
        <f t="shared" si="241"/>
        <v>0</v>
      </c>
      <c r="W445" s="34"/>
      <c r="X445" s="34"/>
    </row>
    <row r="446" spans="1:26" x14ac:dyDescent="0.2">
      <c r="Z446" s="64">
        <f>AVERAGE(S443:S445)</f>
        <v>1</v>
      </c>
    </row>
    <row r="449" spans="1:24" x14ac:dyDescent="0.2">
      <c r="A449" s="18" t="s">
        <v>247</v>
      </c>
      <c r="B449" s="19"/>
      <c r="C449" s="20"/>
      <c r="D449" s="21"/>
      <c r="E449" s="33"/>
      <c r="F449" s="33"/>
      <c r="G449" s="33"/>
      <c r="H449" s="33"/>
      <c r="I449" s="33"/>
      <c r="J449" s="22"/>
      <c r="K449" s="22"/>
      <c r="L449" s="22"/>
      <c r="M449" s="22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x14ac:dyDescent="0.2">
      <c r="A450" s="24" t="s">
        <v>248</v>
      </c>
      <c r="B450" s="19"/>
      <c r="C450" s="20"/>
      <c r="D450" s="21"/>
      <c r="E450" s="33"/>
      <c r="F450" s="33"/>
      <c r="G450" s="33"/>
      <c r="H450" s="33"/>
      <c r="I450" s="33"/>
      <c r="J450" s="22"/>
      <c r="K450" s="22"/>
      <c r="L450" s="22"/>
      <c r="M450" s="22" t="s">
        <v>249</v>
      </c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63.75" x14ac:dyDescent="0.2">
      <c r="A451" s="18" t="s">
        <v>250</v>
      </c>
      <c r="B451" s="19" t="s">
        <v>223</v>
      </c>
      <c r="C451" s="20"/>
      <c r="D451" s="20" t="s">
        <v>75</v>
      </c>
      <c r="E451" s="51" t="s">
        <v>156</v>
      </c>
      <c r="F451" s="51" t="s">
        <v>251</v>
      </c>
      <c r="G451" s="51" t="s">
        <v>252</v>
      </c>
      <c r="H451" s="35" t="s">
        <v>253</v>
      </c>
      <c r="I451" s="35" t="s">
        <v>254</v>
      </c>
      <c r="J451" s="25"/>
      <c r="K451" s="25"/>
      <c r="L451" s="22"/>
      <c r="M451" s="22"/>
      <c r="N451" s="21"/>
      <c r="O451" s="21"/>
      <c r="P451" s="21"/>
      <c r="Q451" s="29"/>
      <c r="R451" s="30" t="s">
        <v>77</v>
      </c>
      <c r="S451" s="30" t="s">
        <v>78</v>
      </c>
      <c r="T451" s="30" t="s">
        <v>79</v>
      </c>
      <c r="U451" s="30" t="s">
        <v>80</v>
      </c>
      <c r="V451" s="30" t="s">
        <v>81</v>
      </c>
      <c r="W451" s="31"/>
      <c r="X451" s="31"/>
    </row>
    <row r="452" spans="1:24" x14ac:dyDescent="0.2">
      <c r="A452" s="21"/>
      <c r="B452" s="19"/>
      <c r="C452" s="139">
        <v>2019</v>
      </c>
      <c r="D452" s="32">
        <f>SUM(E452:M452)</f>
        <v>919503</v>
      </c>
      <c r="E452" s="51">
        <v>459097</v>
      </c>
      <c r="F452" s="51">
        <v>277204</v>
      </c>
      <c r="G452" s="51">
        <v>183257</v>
      </c>
      <c r="H452" s="35">
        <v>-55</v>
      </c>
      <c r="I452" s="35">
        <v>0</v>
      </c>
      <c r="J452" s="25"/>
      <c r="K452" s="25"/>
      <c r="L452" s="22"/>
      <c r="M452" s="22"/>
      <c r="N452" s="21"/>
      <c r="O452" s="21"/>
      <c r="P452" s="21"/>
      <c r="Q452" s="21" t="str">
        <f>$A$451&amp;C452&amp;"REV"</f>
        <v>OTTR2019REV</v>
      </c>
      <c r="R452" s="61">
        <f>IF(E452/D452&gt;1,1,E452/D452)</f>
        <v>0.49928820243109595</v>
      </c>
      <c r="S452" s="61">
        <f>E452/E452</f>
        <v>1</v>
      </c>
      <c r="T452" s="61">
        <v>0</v>
      </c>
      <c r="U452" s="34">
        <f>IF(OR(ISBLANK($R452),ISBLANK(S452)),"NA",$R452*S452)</f>
        <v>0.49928820243109595</v>
      </c>
      <c r="V452" s="34">
        <f>IF(OR(ISBLANK($R452),ISBLANK(T452)),"NA",$R452*T452)</f>
        <v>0</v>
      </c>
      <c r="W452" s="34"/>
      <c r="X452" s="34"/>
    </row>
    <row r="453" spans="1:24" x14ac:dyDescent="0.2">
      <c r="A453" s="21"/>
      <c r="B453" s="19" t="s">
        <v>82</v>
      </c>
      <c r="C453" s="139">
        <v>2018</v>
      </c>
      <c r="D453" s="32">
        <f>SUM(E453:M453)</f>
        <v>916447</v>
      </c>
      <c r="E453" s="35">
        <v>450255</v>
      </c>
      <c r="F453" s="51">
        <v>268409</v>
      </c>
      <c r="G453" s="51">
        <v>197840</v>
      </c>
      <c r="H453" s="35">
        <v>-57</v>
      </c>
      <c r="I453" s="51">
        <v>0</v>
      </c>
      <c r="J453" s="22"/>
      <c r="K453" s="22"/>
      <c r="L453" s="22"/>
      <c r="M453" s="22"/>
      <c r="N453" s="21"/>
      <c r="O453" s="21"/>
      <c r="P453" s="21"/>
      <c r="Q453" s="21" t="str">
        <f t="shared" ref="Q453:Q454" si="242">$A$451&amp;C453&amp;"REV"</f>
        <v>OTTR2018REV</v>
      </c>
      <c r="R453" s="61">
        <f t="shared" ref="R453:R454" si="243">IF(E453/D453&gt;1,1,E453/D453)</f>
        <v>0.49130500727265186</v>
      </c>
      <c r="S453" s="61">
        <f>E453/E453</f>
        <v>1</v>
      </c>
      <c r="T453" s="61">
        <v>0</v>
      </c>
      <c r="U453" s="34">
        <f>IF(OR(ISBLANK($R453),ISBLANK(S453)),"NA",$R453*S453)</f>
        <v>0.49130500727265186</v>
      </c>
      <c r="V453" s="34">
        <f>IF(OR(ISBLANK($R453),ISBLANK(T453)),"NA",$R453*T453)</f>
        <v>0</v>
      </c>
      <c r="W453" s="34"/>
      <c r="X453" s="34"/>
    </row>
    <row r="454" spans="1:24" x14ac:dyDescent="0.2">
      <c r="A454" s="21"/>
      <c r="B454" s="19"/>
      <c r="C454" s="139">
        <v>2017</v>
      </c>
      <c r="D454" s="32">
        <f t="shared" ref="D454" si="244">SUM(E454:M454)</f>
        <v>849350</v>
      </c>
      <c r="E454" s="35">
        <v>434537</v>
      </c>
      <c r="F454" s="51">
        <v>229738</v>
      </c>
      <c r="G454" s="51">
        <v>185132</v>
      </c>
      <c r="H454" s="35">
        <v>-57</v>
      </c>
      <c r="I454" s="51">
        <v>0</v>
      </c>
      <c r="J454" s="22"/>
      <c r="K454" s="22"/>
      <c r="L454" s="22"/>
      <c r="M454" s="22"/>
      <c r="N454" s="21"/>
      <c r="O454" s="21"/>
      <c r="P454" s="21"/>
      <c r="Q454" s="21" t="str">
        <f t="shared" si="242"/>
        <v>OTTR2017REV</v>
      </c>
      <c r="R454" s="61">
        <f t="shared" si="243"/>
        <v>0.51161123211867898</v>
      </c>
      <c r="S454" s="61">
        <f>E454/E454</f>
        <v>1</v>
      </c>
      <c r="T454" s="61">
        <v>0</v>
      </c>
      <c r="U454" s="34">
        <f t="shared" ref="U454:V454" si="245">IF(OR(ISBLANK($R454),ISBLANK(S454)),"NA",$R454*S454)</f>
        <v>0.51161123211867898</v>
      </c>
      <c r="V454" s="34">
        <f t="shared" si="245"/>
        <v>0</v>
      </c>
      <c r="W454" s="34"/>
      <c r="X454" s="34"/>
    </row>
    <row r="455" spans="1:24" x14ac:dyDescent="0.2">
      <c r="A455" s="21"/>
      <c r="B455" s="19"/>
      <c r="C455" s="20"/>
      <c r="D455" s="21"/>
      <c r="E455" s="33"/>
      <c r="F455" s="33"/>
      <c r="G455" s="33"/>
      <c r="H455" s="33"/>
      <c r="I455" s="33"/>
      <c r="J455" s="22"/>
      <c r="K455" s="22"/>
      <c r="L455" s="22"/>
      <c r="M455" s="22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x14ac:dyDescent="0.2">
      <c r="A456" s="21"/>
      <c r="B456" s="19"/>
      <c r="C456" s="139">
        <v>2019</v>
      </c>
      <c r="D456" s="32">
        <f>SUM(E456:M456)</f>
        <v>134880</v>
      </c>
      <c r="E456" s="33">
        <v>98417</v>
      </c>
      <c r="F456" s="33">
        <v>17869</v>
      </c>
      <c r="G456" s="33">
        <v>28439</v>
      </c>
      <c r="H456" s="33">
        <v>-9845</v>
      </c>
      <c r="I456" s="33">
        <v>0</v>
      </c>
      <c r="J456" s="22"/>
      <c r="K456" s="22"/>
      <c r="L456" s="22"/>
      <c r="M456" s="22"/>
      <c r="N456" s="21"/>
      <c r="O456" s="21"/>
      <c r="P456" s="21"/>
      <c r="Q456" s="21" t="str">
        <f>$A$451&amp;C456&amp;"INC"</f>
        <v>OTTR2019INC</v>
      </c>
      <c r="R456" s="61">
        <f t="shared" ref="R456:R458" si="246">IF(E456/D456&gt;1,1,E456/D456)</f>
        <v>0.72966340450771061</v>
      </c>
      <c r="S456" s="61">
        <f>E456/E456</f>
        <v>1</v>
      </c>
      <c r="T456" s="61">
        <v>0</v>
      </c>
      <c r="U456" s="34">
        <f>IF(OR(ISBLANK($R456),ISBLANK(S456)),"NA",$R456*S456)</f>
        <v>0.72966340450771061</v>
      </c>
      <c r="V456" s="34">
        <f>IF(OR(ISBLANK($R456),ISBLANK(T456)),"NA",$R456*T456)</f>
        <v>0</v>
      </c>
      <c r="W456" s="34"/>
      <c r="X456" s="34"/>
    </row>
    <row r="457" spans="1:24" x14ac:dyDescent="0.2">
      <c r="A457" s="21"/>
      <c r="B457" s="19" t="s">
        <v>83</v>
      </c>
      <c r="C457" s="139">
        <v>2018</v>
      </c>
      <c r="D457" s="32">
        <f>SUM(E457:M457)</f>
        <v>129389</v>
      </c>
      <c r="E457" s="35">
        <v>88031</v>
      </c>
      <c r="F457" s="51">
        <v>18266</v>
      </c>
      <c r="G457" s="51">
        <v>32917</v>
      </c>
      <c r="H457" s="35">
        <v>-9825</v>
      </c>
      <c r="I457" s="51">
        <v>0</v>
      </c>
      <c r="J457" s="22"/>
      <c r="K457" s="22"/>
      <c r="L457" s="22"/>
      <c r="M457" s="22"/>
      <c r="N457" s="21"/>
      <c r="O457" s="21"/>
      <c r="P457" s="21"/>
      <c r="Q457" s="21" t="str">
        <f t="shared" ref="Q457:Q458" si="247">$A$451&amp;C457&amp;"INC"</f>
        <v>OTTR2018INC</v>
      </c>
      <c r="R457" s="61">
        <f t="shared" si="246"/>
        <v>0.68035922682762828</v>
      </c>
      <c r="S457" s="61">
        <f>E457/E457</f>
        <v>1</v>
      </c>
      <c r="T457" s="61">
        <v>0</v>
      </c>
      <c r="U457" s="34">
        <f>IF(OR(ISBLANK($R457),ISBLANK(S457)),"NA",$R457*S457)</f>
        <v>0.68035922682762828</v>
      </c>
      <c r="V457" s="34">
        <f>IF(OR(ISBLANK($R457),ISBLANK(T457)),"NA",$R457*T457)</f>
        <v>0</v>
      </c>
      <c r="W457" s="34"/>
      <c r="X457" s="34"/>
    </row>
    <row r="458" spans="1:24" x14ac:dyDescent="0.2">
      <c r="A458" s="21"/>
      <c r="B458" s="19"/>
      <c r="C458" s="139">
        <v>2017</v>
      </c>
      <c r="D458" s="32">
        <f t="shared" ref="D458" si="248">SUM(E458:M458)</f>
        <v>132287</v>
      </c>
      <c r="E458" s="35">
        <v>94797</v>
      </c>
      <c r="F458" s="51">
        <v>14101</v>
      </c>
      <c r="G458" s="51">
        <v>29644</v>
      </c>
      <c r="H458" s="35">
        <v>-6255</v>
      </c>
      <c r="I458" s="51">
        <v>0</v>
      </c>
      <c r="J458" s="22"/>
      <c r="K458" s="22"/>
      <c r="L458" s="22"/>
      <c r="M458" s="22"/>
      <c r="N458" s="21"/>
      <c r="O458" s="21"/>
      <c r="P458" s="21"/>
      <c r="Q458" s="21" t="str">
        <f t="shared" si="247"/>
        <v>OTTR2017INC</v>
      </c>
      <c r="R458" s="61">
        <f t="shared" si="246"/>
        <v>0.71660102655589741</v>
      </c>
      <c r="S458" s="61">
        <f>E458/E458</f>
        <v>1</v>
      </c>
      <c r="T458" s="61">
        <v>0</v>
      </c>
      <c r="U458" s="34">
        <f t="shared" ref="U458:V458" si="249">IF(OR(ISBLANK($R458),ISBLANK(S458)),"NA",$R458*S458)</f>
        <v>0.71660102655589741</v>
      </c>
      <c r="V458" s="34">
        <f t="shared" si="249"/>
        <v>0</v>
      </c>
      <c r="W458" s="34"/>
      <c r="X458" s="34"/>
    </row>
    <row r="459" spans="1:24" x14ac:dyDescent="0.2">
      <c r="A459" s="21"/>
      <c r="B459" s="19"/>
      <c r="C459" s="20"/>
      <c r="D459" s="57"/>
      <c r="E459" s="33"/>
      <c r="F459" s="33"/>
      <c r="G459" s="33"/>
      <c r="H459" s="33"/>
      <c r="I459" s="33"/>
      <c r="J459" s="22"/>
      <c r="K459" s="22"/>
      <c r="L459" s="22"/>
      <c r="M459" s="22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x14ac:dyDescent="0.2">
      <c r="A460" s="21"/>
      <c r="B460" s="19"/>
      <c r="C460" s="139">
        <v>2019</v>
      </c>
      <c r="D460" s="32">
        <f t="shared" ref="D460:D462" si="250">SUM(E460:M460)</f>
        <v>2273595</v>
      </c>
      <c r="E460" s="33">
        <v>1931525</v>
      </c>
      <c r="F460" s="33">
        <v>195742</v>
      </c>
      <c r="G460" s="33">
        <v>92049</v>
      </c>
      <c r="H460" s="33">
        <v>54279</v>
      </c>
      <c r="I460" s="33">
        <v>0</v>
      </c>
      <c r="J460" s="22"/>
      <c r="K460" s="22"/>
      <c r="L460" s="22"/>
      <c r="M460" s="22"/>
      <c r="N460" s="21"/>
      <c r="O460" s="21"/>
      <c r="P460" s="21"/>
      <c r="Q460" s="21" t="str">
        <f>$A$451&amp;C460&amp;"ASSETS"</f>
        <v>OTTR2019ASSETS</v>
      </c>
      <c r="R460" s="61">
        <f t="shared" ref="R460:R462" si="251">IF(E460/D460&gt;1,1,E460/D460)</f>
        <v>0.84954664309166761</v>
      </c>
      <c r="S460" s="61">
        <f>E460/E460</f>
        <v>1</v>
      </c>
      <c r="T460" s="61">
        <v>0</v>
      </c>
      <c r="U460" s="34">
        <f>IF(OR(ISBLANK($R460),ISBLANK(S460)),"NA",$R460*S460)</f>
        <v>0.84954664309166761</v>
      </c>
      <c r="V460" s="34">
        <f>IF(OR(ISBLANK($R460),ISBLANK(T460)),"NA",$R460*T460)</f>
        <v>0</v>
      </c>
      <c r="W460" s="34"/>
      <c r="X460" s="34"/>
    </row>
    <row r="461" spans="1:24" x14ac:dyDescent="0.2">
      <c r="A461" s="21"/>
      <c r="B461" s="19" t="s">
        <v>84</v>
      </c>
      <c r="C461" s="139">
        <v>2018</v>
      </c>
      <c r="D461" s="32">
        <f t="shared" si="250"/>
        <v>2052517</v>
      </c>
      <c r="E461" s="35">
        <v>1728534</v>
      </c>
      <c r="F461" s="51">
        <v>187556</v>
      </c>
      <c r="G461" s="51">
        <v>91630</v>
      </c>
      <c r="H461" s="35">
        <v>44797</v>
      </c>
      <c r="I461" s="51">
        <v>0</v>
      </c>
      <c r="J461" s="22"/>
      <c r="K461" s="22"/>
      <c r="L461" s="22"/>
      <c r="M461" s="22"/>
      <c r="N461" s="21"/>
      <c r="O461" s="21"/>
      <c r="P461" s="21"/>
      <c r="Q461" s="21" t="str">
        <f t="shared" ref="Q461:Q462" si="252">$A$451&amp;C461&amp;"ASSETS"</f>
        <v>OTTR2018ASSETS</v>
      </c>
      <c r="R461" s="61">
        <f t="shared" si="251"/>
        <v>0.84215331712234298</v>
      </c>
      <c r="S461" s="61">
        <f>E461/E461</f>
        <v>1</v>
      </c>
      <c r="T461" s="61">
        <v>0</v>
      </c>
      <c r="U461" s="34">
        <f>IF(OR(ISBLANK($R461),ISBLANK(S461)),"NA",$R461*S461)</f>
        <v>0.84215331712234298</v>
      </c>
      <c r="V461" s="34">
        <f>IF(OR(ISBLANK($R461),ISBLANK(T461)),"NA",$R461*T461)</f>
        <v>0</v>
      </c>
      <c r="W461" s="34"/>
      <c r="X461" s="34"/>
    </row>
    <row r="462" spans="1:24" x14ac:dyDescent="0.2">
      <c r="A462" s="21"/>
      <c r="B462" s="19"/>
      <c r="C462" s="139">
        <v>2017</v>
      </c>
      <c r="D462" s="32">
        <f t="shared" si="250"/>
        <v>2004278</v>
      </c>
      <c r="E462" s="35">
        <v>1690224</v>
      </c>
      <c r="F462" s="51">
        <v>167023</v>
      </c>
      <c r="G462" s="51">
        <v>87230</v>
      </c>
      <c r="H462" s="35">
        <v>59801</v>
      </c>
      <c r="I462" s="51">
        <v>0</v>
      </c>
      <c r="J462" s="22"/>
      <c r="K462" s="22"/>
      <c r="L462" s="22"/>
      <c r="M462" s="22"/>
      <c r="N462" s="21"/>
      <c r="O462" s="21"/>
      <c r="P462" s="21"/>
      <c r="Q462" s="21" t="str">
        <f t="shared" si="252"/>
        <v>OTTR2017ASSETS</v>
      </c>
      <c r="R462" s="61">
        <f t="shared" si="251"/>
        <v>0.84330816383755147</v>
      </c>
      <c r="S462" s="61">
        <f>E462/E462</f>
        <v>1</v>
      </c>
      <c r="T462" s="61">
        <v>0</v>
      </c>
      <c r="U462" s="34">
        <f t="shared" ref="U462:V462" si="253">IF(OR(ISBLANK($R462),ISBLANK(S462)),"NA",$R462*S462)</f>
        <v>0.84330816383755147</v>
      </c>
      <c r="V462" s="34">
        <f t="shared" si="253"/>
        <v>0</v>
      </c>
      <c r="W462" s="34"/>
      <c r="X462" s="34"/>
    </row>
    <row r="466" spans="1:28" x14ac:dyDescent="0.2">
      <c r="A466" s="18" t="s">
        <v>255</v>
      </c>
      <c r="B466" s="19"/>
      <c r="C466" s="20"/>
      <c r="D466" s="21"/>
      <c r="E466" s="22"/>
      <c r="F466" s="22"/>
      <c r="G466" s="22"/>
      <c r="H466" s="22"/>
      <c r="I466" s="22"/>
      <c r="J466" s="22"/>
      <c r="K466" s="50"/>
      <c r="L466" s="22"/>
      <c r="M466" s="22"/>
      <c r="N466" s="21"/>
      <c r="O466" s="21"/>
      <c r="P466" s="21"/>
      <c r="Q466" s="21"/>
      <c r="R466" s="21"/>
    </row>
    <row r="467" spans="1:28" x14ac:dyDescent="0.2">
      <c r="A467" s="21" t="s">
        <v>256</v>
      </c>
      <c r="B467" s="19"/>
      <c r="C467" s="20"/>
      <c r="D467" s="21"/>
      <c r="E467" s="22"/>
      <c r="F467" s="22"/>
      <c r="G467" s="22"/>
      <c r="H467" s="22"/>
      <c r="I467" s="22"/>
      <c r="J467" s="22"/>
      <c r="K467" s="50"/>
      <c r="L467" s="22"/>
      <c r="M467" s="22"/>
      <c r="N467" s="21"/>
      <c r="O467" s="21"/>
      <c r="P467" s="21"/>
      <c r="Q467" s="21"/>
      <c r="R467" s="21"/>
    </row>
    <row r="468" spans="1:28" ht="63.75" x14ac:dyDescent="0.2">
      <c r="A468" s="18" t="s">
        <v>257</v>
      </c>
      <c r="B468" s="19" t="s">
        <v>223</v>
      </c>
      <c r="C468" s="20"/>
      <c r="D468" s="20" t="s">
        <v>75</v>
      </c>
      <c r="E468" s="26" t="s">
        <v>133</v>
      </c>
      <c r="F468" s="25" t="s">
        <v>258</v>
      </c>
      <c r="G468" s="44" t="s">
        <v>259</v>
      </c>
      <c r="H468" s="22"/>
      <c r="I468" s="22"/>
      <c r="J468" s="22"/>
      <c r="K468" s="22"/>
      <c r="L468" s="22"/>
      <c r="M468" s="22"/>
      <c r="N468" s="21"/>
      <c r="O468" s="21"/>
      <c r="P468" s="21"/>
      <c r="Q468" s="29"/>
      <c r="R468" s="30" t="s">
        <v>77</v>
      </c>
      <c r="S468" s="59" t="s">
        <v>78</v>
      </c>
      <c r="T468" s="59" t="s">
        <v>79</v>
      </c>
      <c r="U468" s="30" t="s">
        <v>80</v>
      </c>
      <c r="V468" s="30" t="s">
        <v>81</v>
      </c>
      <c r="W468" s="31"/>
      <c r="X468" s="31"/>
      <c r="Y468" s="53" t="s">
        <v>260</v>
      </c>
      <c r="Z468" s="149" t="s">
        <v>261</v>
      </c>
      <c r="AA468" s="149" t="s">
        <v>262</v>
      </c>
      <c r="AB468" s="150" t="s">
        <v>263</v>
      </c>
    </row>
    <row r="469" spans="1:28" x14ac:dyDescent="0.2">
      <c r="A469" s="21"/>
      <c r="B469" s="19"/>
      <c r="C469" s="139">
        <v>2019</v>
      </c>
      <c r="D469" s="32">
        <f>SUM(E469:M469)</f>
        <v>17129000</v>
      </c>
      <c r="E469" s="26">
        <v>12740000</v>
      </c>
      <c r="F469" s="25">
        <v>4389000</v>
      </c>
      <c r="G469" s="44">
        <v>0</v>
      </c>
      <c r="H469" s="22"/>
      <c r="I469" s="22"/>
      <c r="J469" s="22"/>
      <c r="K469" s="22"/>
      <c r="L469" s="22"/>
      <c r="M469" s="22"/>
      <c r="N469" s="21"/>
      <c r="O469" s="21"/>
      <c r="P469" s="21"/>
      <c r="Q469" s="21" t="str">
        <f>$A$468&amp;C469&amp;"REV"</f>
        <v>PCG2019REV</v>
      </c>
      <c r="R469" s="61">
        <f>IF(SUM(E469:F469)/D469&gt;1,1,SUM(E469:F469)/D469)</f>
        <v>1</v>
      </c>
      <c r="S469" s="66">
        <f>E469/SUM(E469:F469)</f>
        <v>0.74376787903555375</v>
      </c>
      <c r="T469" s="66">
        <f>F469/SUM(E469:F469)</f>
        <v>0.25623212096444625</v>
      </c>
      <c r="U469" s="34">
        <f>IF(OR(ISBLANK($R469),ISBLANK(S469)),"NA",$R469*S469)</f>
        <v>0.74376787903555375</v>
      </c>
      <c r="V469" s="34">
        <f>IF(OR(ISBLANK($R469),ISBLANK(T469)),"NA",$R469*T469)</f>
        <v>0.25623212096444625</v>
      </c>
      <c r="W469" s="34"/>
      <c r="X469" s="34"/>
      <c r="Y469" s="21"/>
      <c r="Z469" s="151">
        <v>17129000</v>
      </c>
      <c r="AA469" s="151">
        <v>17129000</v>
      </c>
      <c r="AB469" s="126"/>
    </row>
    <row r="470" spans="1:28" x14ac:dyDescent="0.2">
      <c r="A470" s="21"/>
      <c r="B470" s="19" t="s">
        <v>82</v>
      </c>
      <c r="C470" s="139">
        <v>2018</v>
      </c>
      <c r="D470" s="32">
        <f>SUM(E470:M470)</f>
        <v>16760000</v>
      </c>
      <c r="E470" s="35">
        <v>12713000</v>
      </c>
      <c r="F470" s="51">
        <v>4047000</v>
      </c>
      <c r="G470" s="28">
        <v>0</v>
      </c>
      <c r="H470" s="22"/>
      <c r="I470" s="22"/>
      <c r="J470" s="22"/>
      <c r="K470" s="22"/>
      <c r="L470" s="22"/>
      <c r="M470" s="22"/>
      <c r="N470" s="21"/>
      <c r="O470" s="21"/>
      <c r="P470" s="21"/>
      <c r="Q470" s="21" t="str">
        <f t="shared" ref="Q470:Q471" si="254">$A$468&amp;C470&amp;"REV"</f>
        <v>PCG2018REV</v>
      </c>
      <c r="R470" s="61">
        <f t="shared" ref="R470:R471" si="255">IF(SUM(E470:F470)/D470&gt;1,1,SUM(E470:F470)/D470)</f>
        <v>1</v>
      </c>
      <c r="S470" s="66">
        <f>E470/SUM(E470:F470)</f>
        <v>0.75853221957040573</v>
      </c>
      <c r="T470" s="66">
        <f>F470/SUM(E470:F470)</f>
        <v>0.24146778042959427</v>
      </c>
      <c r="U470" s="34">
        <f>IF(OR(ISBLANK($R470),ISBLANK(S470)),"NA",$R470*S470)</f>
        <v>0.75853221957040573</v>
      </c>
      <c r="V470" s="34">
        <f>IF(OR(ISBLANK($R470),ISBLANK(T470)),"NA",$R470*T470)</f>
        <v>0.24146778042959427</v>
      </c>
      <c r="W470" s="34"/>
      <c r="X470" s="34"/>
      <c r="Y470" s="21"/>
      <c r="Z470" s="151">
        <v>16759000</v>
      </c>
      <c r="AA470" s="151">
        <v>16760000</v>
      </c>
      <c r="AB470" s="126"/>
    </row>
    <row r="471" spans="1:28" x14ac:dyDescent="0.2">
      <c r="A471" s="21"/>
      <c r="B471" s="19"/>
      <c r="C471" s="139">
        <v>2017</v>
      </c>
      <c r="D471" s="32">
        <f>SUM(E471:M471)</f>
        <v>17138000</v>
      </c>
      <c r="E471" s="35">
        <v>13127000</v>
      </c>
      <c r="F471" s="51">
        <v>4011000</v>
      </c>
      <c r="G471" s="28">
        <v>0</v>
      </c>
      <c r="H471" s="22"/>
      <c r="I471" s="22"/>
      <c r="J471" s="22"/>
      <c r="K471" s="22"/>
      <c r="L471" s="22"/>
      <c r="M471" s="22"/>
      <c r="N471" s="21"/>
      <c r="O471" s="21"/>
      <c r="P471" s="21"/>
      <c r="Q471" s="21" t="str">
        <f t="shared" si="254"/>
        <v>PCG2017REV</v>
      </c>
      <c r="R471" s="61">
        <f t="shared" si="255"/>
        <v>1</v>
      </c>
      <c r="S471" s="66">
        <f>E471/SUM(E471:F471)</f>
        <v>0.7659586882950169</v>
      </c>
      <c r="T471" s="66">
        <f>F471/SUM(E471:F471)</f>
        <v>0.23404131170498307</v>
      </c>
      <c r="U471" s="34">
        <f t="shared" ref="U471:V471" si="256">IF(OR(ISBLANK($R471),ISBLANK(S471)),"NA",$R471*S471)</f>
        <v>0.7659586882950169</v>
      </c>
      <c r="V471" s="34">
        <f t="shared" si="256"/>
        <v>0.23404131170498307</v>
      </c>
      <c r="W471" s="34"/>
      <c r="X471" s="34"/>
      <c r="Y471" s="21"/>
      <c r="Z471" s="151">
        <v>17135000</v>
      </c>
      <c r="AA471" s="151">
        <v>17138000</v>
      </c>
      <c r="AB471" s="126"/>
    </row>
    <row r="472" spans="1:28" x14ac:dyDescent="0.2">
      <c r="A472" s="21"/>
      <c r="B472" s="19"/>
      <c r="C472" s="20"/>
      <c r="D472" s="21"/>
      <c r="E472" s="28"/>
      <c r="F472" s="28"/>
      <c r="G472" s="28"/>
      <c r="H472" s="22"/>
      <c r="I472" s="22"/>
      <c r="J472" s="22"/>
      <c r="K472" s="22"/>
      <c r="L472" s="22"/>
      <c r="M472" s="22"/>
      <c r="N472" s="21"/>
      <c r="O472" s="21"/>
      <c r="P472" s="21"/>
      <c r="Q472" s="21"/>
      <c r="R472" s="21"/>
      <c r="U472" s="21"/>
      <c r="V472" s="21"/>
      <c r="W472" s="21"/>
      <c r="X472" s="21"/>
      <c r="Y472" s="21"/>
      <c r="Z472" s="152"/>
      <c r="AA472" s="152"/>
      <c r="AB472" s="126"/>
    </row>
    <row r="473" spans="1:28" x14ac:dyDescent="0.2">
      <c r="A473" s="21"/>
      <c r="B473" s="19"/>
      <c r="C473" s="139">
        <v>2019</v>
      </c>
      <c r="D473" s="32">
        <f>Z473</f>
        <v>-10094000</v>
      </c>
      <c r="E473" s="153"/>
      <c r="F473" s="153"/>
      <c r="G473" s="45">
        <f>D473-AA473</f>
        <v>24000</v>
      </c>
      <c r="H473" s="22"/>
      <c r="I473" s="22"/>
      <c r="J473" s="22"/>
      <c r="K473" s="22"/>
      <c r="L473" s="22"/>
      <c r="M473" s="22"/>
      <c r="N473" s="21"/>
      <c r="O473" s="21"/>
      <c r="P473" s="21"/>
      <c r="Q473" s="21" t="str">
        <f>$A$468&amp;C473&amp;"INC"</f>
        <v>PCG2019INC</v>
      </c>
      <c r="R473" s="61">
        <f t="shared" ref="R473:R475" si="257">IF(SUM(E473:F473)/D473&gt;1,1,SUM(E473:F473)/D473)</f>
        <v>0</v>
      </c>
      <c r="S473" s="62">
        <f>SUMIF('FERC Form 1_2 Data'!$C$11:$C$179,$A466,'FERC Form 1_2 Data'!$Y$11:$Y$179)/SUMIF('FERC Form 1_2 Data'!$C$11:$C$179,$A466,'FERC Form 1_2 Data'!$EA$11:$EA$179)</f>
        <v>1.0581845652742219</v>
      </c>
      <c r="T473" s="62">
        <f>SUMIF('FERC Form 1_2 Data'!$C$11:$C$179,$A466,'FERC Form 1_2 Data'!$BL$11:$BL$179)/SUMIF('FERC Form 1_2 Data'!$C$11:$C$179,$A466,'FERC Form 1_2 Data'!$EA$11:$EA$179)</f>
        <v>-5.8184565274221799E-2</v>
      </c>
      <c r="U473" s="34">
        <f>IF(OR(ISBLANK($R473),ISBLANK(S473)),"NA",$R473*S473)</f>
        <v>0</v>
      </c>
      <c r="V473" s="34">
        <f>IF(OR(ISBLANK($R473),ISBLANK(T473)),"NA",$R473*T473)</f>
        <v>0</v>
      </c>
      <c r="W473" s="34"/>
      <c r="X473" s="34"/>
      <c r="Y473" s="21"/>
      <c r="Z473" s="151">
        <v>-10094000</v>
      </c>
      <c r="AA473" s="151">
        <v>-10118000</v>
      </c>
      <c r="AB473" s="126"/>
    </row>
    <row r="474" spans="1:28" x14ac:dyDescent="0.2">
      <c r="A474" s="21"/>
      <c r="B474" s="154" t="s">
        <v>83</v>
      </c>
      <c r="C474" s="139">
        <v>2018</v>
      </c>
      <c r="D474" s="32">
        <f t="shared" ref="D474:D475" si="258">Z474</f>
        <v>-9700000</v>
      </c>
      <c r="E474" s="153">
        <v>0</v>
      </c>
      <c r="F474" s="153">
        <v>0</v>
      </c>
      <c r="G474" s="45">
        <f t="shared" ref="G474:G475" si="259">D474-AA474</f>
        <v>-1000</v>
      </c>
      <c r="H474" s="22"/>
      <c r="I474" s="22"/>
      <c r="J474" s="22"/>
      <c r="K474" s="22"/>
      <c r="L474" s="22"/>
      <c r="M474" s="22"/>
      <c r="N474" s="21"/>
      <c r="O474" s="21"/>
      <c r="P474" s="21"/>
      <c r="Q474" s="21" t="str">
        <f t="shared" ref="Q474:Q475" si="260">$A$468&amp;C474&amp;"INC"</f>
        <v>PCG2018INC</v>
      </c>
      <c r="R474" s="61">
        <f t="shared" si="257"/>
        <v>0</v>
      </c>
      <c r="S474" s="62">
        <f>SUMIF('FERC Form 1_2 Data'!$C$11:$C$179,$A466,'FERC Form 1_2 Data'!$AL$11:$AL$179)/SUMIF('FERC Form 1_2 Data'!$C$11:$C$179,$A466,'FERC Form 1_2 Data'!$EB$11:$EB$179)</f>
        <v>1.0668473138419345</v>
      </c>
      <c r="T474" s="62">
        <f>SUMIF('FERC Form 1_2 Data'!$C$11:$C$179,$A466,'FERC Form 1_2 Data'!$BY$11:$BY$179)/SUMIF('FERC Form 1_2 Data'!$C$11:$C$179,$A466,'FERC Form 1_2 Data'!$EB$11:$EB$179)</f>
        <v>-6.6847313841934458E-2</v>
      </c>
      <c r="U474" s="34">
        <f>IF(OR(ISBLANK($R474),ISBLANK(S474)),"NA",$R474*S474)</f>
        <v>0</v>
      </c>
      <c r="V474" s="34">
        <f>IF(OR(ISBLANK($R474),ISBLANK(T474)),"NA",$R474*T474)</f>
        <v>0</v>
      </c>
      <c r="W474" s="34"/>
      <c r="X474" s="34"/>
      <c r="Y474" s="21"/>
      <c r="Z474" s="151">
        <v>-9700000</v>
      </c>
      <c r="AA474" s="151">
        <v>-9699000</v>
      </c>
      <c r="AB474" s="126"/>
    </row>
    <row r="475" spans="1:28" x14ac:dyDescent="0.2">
      <c r="A475" s="21"/>
      <c r="B475" s="19"/>
      <c r="C475" s="139">
        <v>2017</v>
      </c>
      <c r="D475" s="32">
        <f t="shared" si="258"/>
        <v>2956000</v>
      </c>
      <c r="E475" s="153">
        <v>0</v>
      </c>
      <c r="F475" s="153">
        <v>0</v>
      </c>
      <c r="G475" s="45">
        <f t="shared" si="259"/>
        <v>56000</v>
      </c>
      <c r="H475" s="22"/>
      <c r="I475" s="22"/>
      <c r="J475" s="22"/>
      <c r="K475" s="22"/>
      <c r="L475" s="22"/>
      <c r="M475" s="22"/>
      <c r="N475" s="21"/>
      <c r="O475" s="21"/>
      <c r="P475" s="21"/>
      <c r="Q475" s="21" t="str">
        <f t="shared" si="260"/>
        <v>PCG2017INC</v>
      </c>
      <c r="R475" s="61">
        <f t="shared" si="257"/>
        <v>0</v>
      </c>
      <c r="S475" s="62">
        <f>SUMIF('FERC Form 1_2 Data'!$C$11:$C$179,$A466,'FERC Form 1_2 Data'!$AY$11:$AY$179)/SUMIF('FERC Form 1_2 Data'!$C$11:$C$179,$A466,'FERC Form 1_2 Data'!$EC$11:$EC$179)</f>
        <v>0.82468034992220551</v>
      </c>
      <c r="T475" s="62">
        <f>SUMIF('FERC Form 1_2 Data'!$C$11:$C$179,$A466,'FERC Form 1_2 Data'!$CL$11:$CL$179)/SUMIF('FERC Form 1_2 Data'!$C$11:$C$179,$A466,'FERC Form 1_2 Data'!$EC$11:$EC$179)</f>
        <v>0.17531965007779446</v>
      </c>
      <c r="U475" s="34">
        <f t="shared" ref="U475:V475" si="261">IF(OR(ISBLANK($R475),ISBLANK(S475)),"NA",$R475*S475)</f>
        <v>0</v>
      </c>
      <c r="V475" s="34">
        <f t="shared" si="261"/>
        <v>0</v>
      </c>
      <c r="W475" s="34"/>
      <c r="X475" s="34"/>
      <c r="Y475" s="21"/>
      <c r="Z475" s="151">
        <v>2956000</v>
      </c>
      <c r="AA475" s="151">
        <v>2900000</v>
      </c>
      <c r="AB475" s="126"/>
    </row>
    <row r="476" spans="1:28" x14ac:dyDescent="0.2">
      <c r="A476" s="21"/>
      <c r="B476" s="19"/>
      <c r="C476" s="20"/>
      <c r="D476" s="57"/>
      <c r="E476" s="28"/>
      <c r="F476" s="28"/>
      <c r="G476" s="28"/>
      <c r="H476" s="22"/>
      <c r="I476" s="22"/>
      <c r="J476" s="22"/>
      <c r="K476" s="22"/>
      <c r="L476" s="22"/>
      <c r="M476" s="22"/>
      <c r="N476" s="21"/>
      <c r="O476" s="21"/>
      <c r="P476" s="21"/>
      <c r="Q476" s="21"/>
      <c r="R476" s="21"/>
      <c r="U476" s="21"/>
      <c r="V476" s="21"/>
      <c r="W476" s="21"/>
      <c r="X476" s="21"/>
      <c r="Y476" s="21"/>
      <c r="Z476" s="152"/>
      <c r="AA476" s="152"/>
      <c r="AB476" s="126"/>
    </row>
    <row r="477" spans="1:28" x14ac:dyDescent="0.2">
      <c r="A477" s="21"/>
      <c r="B477" s="19"/>
      <c r="C477" s="139">
        <v>2019</v>
      </c>
      <c r="D477" s="32">
        <f>Z477</f>
        <v>85169000</v>
      </c>
      <c r="E477" s="153"/>
      <c r="F477" s="153"/>
      <c r="G477" s="45">
        <f>D477-AA477</f>
        <v>555000</v>
      </c>
      <c r="H477" s="22"/>
      <c r="I477" s="22"/>
      <c r="J477" s="22"/>
      <c r="K477" s="22"/>
      <c r="L477" s="22"/>
      <c r="M477" s="22"/>
      <c r="N477" s="21"/>
      <c r="O477" s="21"/>
      <c r="P477" s="21"/>
      <c r="Q477" s="21" t="str">
        <f>$A$468&amp;C477&amp;"ASSETS"</f>
        <v>PCG2019ASSETS</v>
      </c>
      <c r="R477" s="61">
        <f t="shared" ref="R477:R479" si="262">IF(SUM(E477:F477)/D477&gt;1,1,SUM(E477:F477)/D477)</f>
        <v>0</v>
      </c>
      <c r="S477" s="62">
        <f>SUMIF('FERC Form 1_2 Data'!$C$11:$C$179,$A466,'FERC Form 1_2 Data'!$EJ$11:$EJ$179)/(SUMIF('FERC Form 1_2 Data'!$C$11:$C$179,$A466,'FERC Form 1_2 Data'!$EN$11:$EN$179))</f>
        <v>0.76752013239092776</v>
      </c>
      <c r="T477" s="62">
        <f>SUMIF('FERC Form 1_2 Data'!$C$11:$C$179,$A466,'FERC Form 1_2 Data'!$EK$11:$EK$179)/(SUMIF('FERC Form 1_2 Data'!$C$11:$C$179,$A466,'FERC Form 1_2 Data'!$EN$11:$EN$179))</f>
        <v>0.2324798676090723</v>
      </c>
      <c r="U477" s="34">
        <f>IF(OR(ISBLANK($R477),ISBLANK(S477)),"NA",$R477*S477)</f>
        <v>0</v>
      </c>
      <c r="V477" s="34">
        <f>IF(OR(ISBLANK($R477),ISBLANK(T477)),"NA",$R477*T477)</f>
        <v>0</v>
      </c>
      <c r="W477" s="34"/>
      <c r="X477" s="34"/>
      <c r="Y477" s="21"/>
      <c r="Z477" s="151">
        <v>85169000</v>
      </c>
      <c r="AA477" s="151">
        <v>84614000</v>
      </c>
      <c r="AB477" s="126"/>
    </row>
    <row r="478" spans="1:28" x14ac:dyDescent="0.2">
      <c r="A478" s="21"/>
      <c r="B478" s="154" t="s">
        <v>84</v>
      </c>
      <c r="C478" s="139">
        <v>2018</v>
      </c>
      <c r="D478" s="32">
        <f t="shared" ref="D478:D479" si="263">Z478</f>
        <v>76995000</v>
      </c>
      <c r="E478" s="153">
        <v>0</v>
      </c>
      <c r="F478" s="153">
        <v>0</v>
      </c>
      <c r="G478" s="45">
        <f t="shared" ref="G478:G479" si="264">D478-AA478</f>
        <v>524000</v>
      </c>
      <c r="H478" s="22"/>
      <c r="I478" s="22"/>
      <c r="J478" s="22"/>
      <c r="K478" s="22"/>
      <c r="L478" s="22"/>
      <c r="M478" s="22"/>
      <c r="N478" s="21"/>
      <c r="O478" s="21"/>
      <c r="P478" s="21"/>
      <c r="Q478" s="21" t="str">
        <f t="shared" ref="Q478:Q479" si="265">$A$468&amp;C478&amp;"ASSETS"</f>
        <v>PCG2018ASSETS</v>
      </c>
      <c r="R478" s="61">
        <f t="shared" si="262"/>
        <v>0</v>
      </c>
      <c r="S478" s="62">
        <f>SUMIF('FERC Form 1_2 Data'!$C$11:$C$179,$A466,'FERC Form 1_2 Data'!$EP$11:$EP$179)/(SUMIF('FERC Form 1_2 Data'!$C$11:$C$179,$A466,'FERC Form 1_2 Data'!$ET$11:$ET$179))</f>
        <v>0.75421974349787557</v>
      </c>
      <c r="T478" s="62">
        <f>SUMIF('FERC Form 1_2 Data'!$C$11:$C$179,$A466,'FERC Form 1_2 Data'!$EQ$11:$EQ$179)/(SUMIF('FERC Form 1_2 Data'!$C$11:$C$179,$A466,'FERC Form 1_2 Data'!$ET$11:$ET$179))</f>
        <v>0.24578025650212443</v>
      </c>
      <c r="U478" s="34">
        <f>IF(OR(ISBLANK($R478),ISBLANK(S478)),"NA",$R478*S478)</f>
        <v>0</v>
      </c>
      <c r="V478" s="34">
        <f>IF(OR(ISBLANK($R478),ISBLANK(T478)),"NA",$R478*T478)</f>
        <v>0</v>
      </c>
      <c r="W478" s="34"/>
      <c r="X478" s="34"/>
      <c r="Y478" s="21"/>
      <c r="Z478" s="151">
        <v>76995000</v>
      </c>
      <c r="AA478" s="151">
        <v>76471000</v>
      </c>
      <c r="AB478" s="126"/>
    </row>
    <row r="479" spans="1:28" x14ac:dyDescent="0.2">
      <c r="A479" s="21"/>
      <c r="B479" s="19"/>
      <c r="C479" s="139">
        <v>2017</v>
      </c>
      <c r="D479" s="32">
        <f t="shared" si="263"/>
        <v>68012000</v>
      </c>
      <c r="E479" s="153">
        <v>0</v>
      </c>
      <c r="F479" s="153">
        <v>0</v>
      </c>
      <c r="G479" s="45">
        <f t="shared" si="264"/>
        <v>128000</v>
      </c>
      <c r="H479" s="22"/>
      <c r="I479" s="22"/>
      <c r="J479" s="22"/>
      <c r="K479" s="22"/>
      <c r="L479" s="22"/>
      <c r="M479" s="22"/>
      <c r="N479" s="21"/>
      <c r="O479" s="21"/>
      <c r="P479" s="21"/>
      <c r="Q479" s="21" t="str">
        <f t="shared" si="265"/>
        <v>PCG2017ASSETS</v>
      </c>
      <c r="R479" s="61">
        <f t="shared" si="262"/>
        <v>0</v>
      </c>
      <c r="S479" s="62">
        <f>SUMIF('FERC Form 1_2 Data'!$C$11:$C$179,$A466,'FERC Form 1_2 Data'!$EV$11:$EV$179)/(SUMIF('FERC Form 1_2 Data'!$C$11:$C$179,$A466,'FERC Form 1_2 Data'!$EZ$11:$EZ$179))</f>
        <v>0.76461426535890786</v>
      </c>
      <c r="T479" s="62">
        <f>SUMIF('FERC Form 1_2 Data'!$C$11:$C$179,$A466,'FERC Form 1_2 Data'!$EW$11:$EW$179)/(SUMIF('FERC Form 1_2 Data'!$C$11:$C$179,$A466,'FERC Form 1_2 Data'!$EZ$11:$EZ$179))</f>
        <v>0.23538573464109216</v>
      </c>
      <c r="U479" s="34">
        <f t="shared" ref="U479:V479" si="266">IF(OR(ISBLANK($R479),ISBLANK(S479)),"NA",$R479*S479)</f>
        <v>0</v>
      </c>
      <c r="V479" s="34">
        <f t="shared" si="266"/>
        <v>0</v>
      </c>
      <c r="W479" s="34"/>
      <c r="X479" s="34"/>
      <c r="Y479" s="21"/>
      <c r="Z479" s="151">
        <v>68012000</v>
      </c>
      <c r="AA479" s="151">
        <v>67884000</v>
      </c>
      <c r="AB479" s="126"/>
    </row>
    <row r="483" spans="1:26" x14ac:dyDescent="0.2">
      <c r="A483" s="18" t="s">
        <v>51</v>
      </c>
      <c r="B483" s="19"/>
      <c r="C483" s="20"/>
      <c r="D483" s="21"/>
      <c r="E483" s="33"/>
      <c r="F483" s="22"/>
      <c r="G483" s="22"/>
      <c r="H483" s="22"/>
      <c r="I483" s="50"/>
      <c r="J483" s="22"/>
      <c r="K483" s="50"/>
      <c r="L483" s="22"/>
      <c r="M483" s="22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x14ac:dyDescent="0.2">
      <c r="A484" s="21" t="s">
        <v>264</v>
      </c>
      <c r="B484" s="19"/>
      <c r="C484" s="20"/>
      <c r="D484" s="21"/>
      <c r="E484" s="33"/>
      <c r="F484" s="22"/>
      <c r="G484" s="22"/>
      <c r="H484" s="22"/>
      <c r="I484" s="22"/>
      <c r="J484" s="22"/>
      <c r="K484" s="22"/>
      <c r="L484" s="22"/>
      <c r="M484" s="22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63.75" x14ac:dyDescent="0.2">
      <c r="A485" s="18" t="s">
        <v>52</v>
      </c>
      <c r="B485" s="19" t="s">
        <v>223</v>
      </c>
      <c r="C485" s="20"/>
      <c r="D485" s="20" t="s">
        <v>75</v>
      </c>
      <c r="E485" s="35" t="s">
        <v>265</v>
      </c>
      <c r="F485" s="22" t="s">
        <v>259</v>
      </c>
      <c r="G485" s="22"/>
      <c r="H485" s="22"/>
      <c r="I485" s="22"/>
      <c r="J485" s="22"/>
      <c r="K485" s="22"/>
      <c r="L485" s="22"/>
      <c r="M485" s="22"/>
      <c r="N485" s="21"/>
      <c r="O485" s="21"/>
      <c r="P485" s="21"/>
      <c r="Q485" s="29"/>
      <c r="R485" s="30" t="s">
        <v>77</v>
      </c>
      <c r="S485" s="30" t="s">
        <v>78</v>
      </c>
      <c r="T485" s="30" t="s">
        <v>79</v>
      </c>
      <c r="U485" s="30" t="s">
        <v>80</v>
      </c>
      <c r="V485" s="30" t="s">
        <v>81</v>
      </c>
      <c r="W485" s="31"/>
      <c r="X485" s="31"/>
      <c r="Y485" s="21"/>
      <c r="Z485" s="30" t="s">
        <v>266</v>
      </c>
    </row>
    <row r="486" spans="1:26" x14ac:dyDescent="0.2">
      <c r="A486" s="21"/>
      <c r="B486" s="19"/>
      <c r="C486" s="139">
        <v>2019</v>
      </c>
      <c r="D486" s="32">
        <f>SUM(E486:M486)</f>
        <v>3471209</v>
      </c>
      <c r="E486" s="35">
        <v>3471209</v>
      </c>
      <c r="F486" s="22">
        <f>Z486-E486</f>
        <v>0</v>
      </c>
      <c r="G486" s="22"/>
      <c r="H486" s="22"/>
      <c r="I486" s="22"/>
      <c r="J486" s="22"/>
      <c r="K486" s="22"/>
      <c r="L486" s="22"/>
      <c r="M486" s="22"/>
      <c r="N486" s="21"/>
      <c r="O486" s="21"/>
      <c r="P486" s="21"/>
      <c r="Q486" s="21" t="str">
        <f>$A$485&amp;C486&amp;"REV"</f>
        <v>PNW2019REV</v>
      </c>
      <c r="R486" s="61">
        <f>IF(E486/D486&gt;1,1,E486/D486)</f>
        <v>1</v>
      </c>
      <c r="S486" s="61">
        <f>E486/E486</f>
        <v>1</v>
      </c>
      <c r="T486" s="61">
        <v>0</v>
      </c>
      <c r="U486" s="34">
        <f>IF(OR(ISBLANK($R486),ISBLANK(S486)),"NA",$R486*S486)</f>
        <v>1</v>
      </c>
      <c r="V486" s="34">
        <f>IF(OR(ISBLANK($R486),ISBLANK(T486)),"NA",$R486*T486)</f>
        <v>0</v>
      </c>
      <c r="W486" s="34"/>
      <c r="X486" s="34"/>
      <c r="Y486" s="21"/>
      <c r="Z486" s="35">
        <v>3471209</v>
      </c>
    </row>
    <row r="487" spans="1:26" x14ac:dyDescent="0.2">
      <c r="A487" s="21"/>
      <c r="B487" s="19" t="s">
        <v>82</v>
      </c>
      <c r="C487" s="139">
        <v>2018</v>
      </c>
      <c r="D487" s="32">
        <f>SUM(E487:M487)</f>
        <v>3691247</v>
      </c>
      <c r="E487" s="35">
        <v>3688342</v>
      </c>
      <c r="F487" s="22">
        <f>Z487-E487</f>
        <v>2905</v>
      </c>
      <c r="G487" s="22"/>
      <c r="H487" s="22"/>
      <c r="I487" s="22"/>
      <c r="J487" s="22"/>
      <c r="K487" s="22"/>
      <c r="L487" s="22"/>
      <c r="M487" s="22"/>
      <c r="N487" s="21"/>
      <c r="O487" s="21"/>
      <c r="P487" s="21"/>
      <c r="Q487" s="21" t="str">
        <f t="shared" ref="Q487:Q488" si="267">$A$485&amp;C487&amp;"REV"</f>
        <v>PNW2018REV</v>
      </c>
      <c r="R487" s="61">
        <f t="shared" ref="R487:R488" si="268">IF(E487/D487&gt;1,1,E487/D487)</f>
        <v>0.99921300308540717</v>
      </c>
      <c r="S487" s="61">
        <f>E487/E487</f>
        <v>1</v>
      </c>
      <c r="T487" s="61">
        <v>0</v>
      </c>
      <c r="U487" s="34">
        <f>IF(OR(ISBLANK($R487),ISBLANK(S487)),"NA",$R487*S487)</f>
        <v>0.99921300308540717</v>
      </c>
      <c r="V487" s="34">
        <f>IF(OR(ISBLANK($R487),ISBLANK(T487)),"NA",$R487*T487)</f>
        <v>0</v>
      </c>
      <c r="W487" s="34"/>
      <c r="X487" s="34"/>
      <c r="Y487" s="21"/>
      <c r="Z487" s="35">
        <v>3691247</v>
      </c>
    </row>
    <row r="488" spans="1:26" x14ac:dyDescent="0.2">
      <c r="A488" s="21"/>
      <c r="B488" s="19"/>
      <c r="C488" s="139">
        <v>2017</v>
      </c>
      <c r="D488" s="32">
        <f t="shared" ref="D488" si="269">SUM(E488:M488)</f>
        <v>3565296</v>
      </c>
      <c r="E488" s="35">
        <v>3557652</v>
      </c>
      <c r="F488" s="22">
        <f>Z488-E488</f>
        <v>7644</v>
      </c>
      <c r="G488" s="22"/>
      <c r="H488" s="22"/>
      <c r="I488" s="22"/>
      <c r="J488" s="22"/>
      <c r="K488" s="22"/>
      <c r="L488" s="22"/>
      <c r="M488" s="22"/>
      <c r="N488" s="21"/>
      <c r="O488" s="21"/>
      <c r="P488" s="21"/>
      <c r="Q488" s="21" t="str">
        <f t="shared" si="267"/>
        <v>PNW2017REV</v>
      </c>
      <c r="R488" s="61">
        <f t="shared" si="268"/>
        <v>0.9978559984921308</v>
      </c>
      <c r="S488" s="61">
        <f>E488/E488</f>
        <v>1</v>
      </c>
      <c r="T488" s="61">
        <v>0</v>
      </c>
      <c r="U488" s="34">
        <f t="shared" ref="U488:V488" si="270">IF(OR(ISBLANK($R488),ISBLANK(S488)),"NA",$R488*S488)</f>
        <v>0.9978559984921308</v>
      </c>
      <c r="V488" s="34">
        <f t="shared" si="270"/>
        <v>0</v>
      </c>
      <c r="W488" s="34"/>
      <c r="X488" s="34"/>
      <c r="Y488" s="21"/>
      <c r="Z488" s="35">
        <v>3565296</v>
      </c>
    </row>
    <row r="489" spans="1:26" x14ac:dyDescent="0.2">
      <c r="A489" s="21"/>
      <c r="B489" s="19"/>
      <c r="C489" s="20"/>
      <c r="D489" s="21"/>
      <c r="E489" s="33"/>
      <c r="F489" s="22"/>
      <c r="G489" s="22"/>
      <c r="H489" s="22"/>
      <c r="I489" s="22"/>
      <c r="J489" s="22"/>
      <c r="K489" s="22"/>
      <c r="L489" s="22"/>
      <c r="M489" s="22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35"/>
    </row>
    <row r="490" spans="1:26" x14ac:dyDescent="0.2">
      <c r="A490" s="21"/>
      <c r="B490" s="19"/>
      <c r="C490" s="139">
        <v>2019</v>
      </c>
      <c r="D490" s="32">
        <f t="shared" ref="D490:D492" si="271">SUM(E490:M490)</f>
        <v>671960</v>
      </c>
      <c r="E490" s="33">
        <v>686984</v>
      </c>
      <c r="F490" s="22">
        <f>Z490-E490</f>
        <v>-15024</v>
      </c>
      <c r="G490" s="22"/>
      <c r="H490" s="22"/>
      <c r="I490" s="22"/>
      <c r="J490" s="22"/>
      <c r="K490" s="22"/>
      <c r="L490" s="22"/>
      <c r="M490" s="22"/>
      <c r="N490" s="21"/>
      <c r="O490" s="21"/>
      <c r="P490" s="21"/>
      <c r="Q490" s="21" t="str">
        <f>$A$485&amp;C490&amp;"INC"</f>
        <v>PNW2019INC</v>
      </c>
      <c r="R490" s="61">
        <f t="shared" ref="R490:R492" si="272">IF(E490/D490&gt;1,1,E490/D490)</f>
        <v>1</v>
      </c>
      <c r="S490" s="61">
        <f>E490/E490</f>
        <v>1</v>
      </c>
      <c r="T490" s="61">
        <v>0</v>
      </c>
      <c r="U490" s="34">
        <f>IF(OR(ISBLANK($R490),ISBLANK(S490)),"NA",$R490*S490)</f>
        <v>1</v>
      </c>
      <c r="V490" s="34">
        <f>IF(OR(ISBLANK($R490),ISBLANK(T490)),"NA",$R490*T490)</f>
        <v>0</v>
      </c>
      <c r="W490" s="34"/>
      <c r="X490" s="34"/>
      <c r="Y490" s="21"/>
      <c r="Z490" s="35">
        <v>671960</v>
      </c>
    </row>
    <row r="491" spans="1:26" x14ac:dyDescent="0.2">
      <c r="A491" s="21"/>
      <c r="B491" s="19" t="s">
        <v>83</v>
      </c>
      <c r="C491" s="139">
        <v>2018</v>
      </c>
      <c r="D491" s="32">
        <f t="shared" si="271"/>
        <v>773687</v>
      </c>
      <c r="E491" s="33">
        <v>829768</v>
      </c>
      <c r="F491" s="22">
        <f>Z491-E491</f>
        <v>-56081</v>
      </c>
      <c r="G491" s="22"/>
      <c r="H491" s="22"/>
      <c r="I491" s="22"/>
      <c r="J491" s="22"/>
      <c r="K491" s="22"/>
      <c r="L491" s="22"/>
      <c r="M491" s="22"/>
      <c r="N491" s="21"/>
      <c r="O491" s="21"/>
      <c r="P491" s="21"/>
      <c r="Q491" s="21" t="str">
        <f t="shared" ref="Q491:Q492" si="273">$A$485&amp;C491&amp;"INC"</f>
        <v>PNW2018INC</v>
      </c>
      <c r="R491" s="61">
        <f t="shared" si="272"/>
        <v>1</v>
      </c>
      <c r="S491" s="61">
        <f>E491/E491</f>
        <v>1</v>
      </c>
      <c r="T491" s="61">
        <v>0</v>
      </c>
      <c r="U491" s="34">
        <f>IF(OR(ISBLANK($R491),ISBLANK(S491)),"NA",$R491*S491)</f>
        <v>1</v>
      </c>
      <c r="V491" s="34">
        <f>IF(OR(ISBLANK($R491),ISBLANK(T491)),"NA",$R491*T491)</f>
        <v>0</v>
      </c>
      <c r="W491" s="34"/>
      <c r="X491" s="34"/>
      <c r="Y491" s="21"/>
      <c r="Z491" s="35">
        <v>773687</v>
      </c>
    </row>
    <row r="492" spans="1:26" x14ac:dyDescent="0.2">
      <c r="A492" s="21"/>
      <c r="B492" s="19"/>
      <c r="C492" s="139">
        <v>2017</v>
      </c>
      <c r="D492" s="32">
        <f t="shared" si="271"/>
        <v>909763</v>
      </c>
      <c r="E492" s="35">
        <v>924539</v>
      </c>
      <c r="F492" s="22">
        <f>Z492-E492</f>
        <v>-14776</v>
      </c>
      <c r="G492" s="22"/>
      <c r="H492" s="22"/>
      <c r="I492" s="22"/>
      <c r="J492" s="22"/>
      <c r="K492" s="22"/>
      <c r="L492" s="22"/>
      <c r="M492" s="22"/>
      <c r="N492" s="21"/>
      <c r="O492" s="21"/>
      <c r="P492" s="21"/>
      <c r="Q492" s="21" t="str">
        <f t="shared" si="273"/>
        <v>PNW2017INC</v>
      </c>
      <c r="R492" s="61">
        <f t="shared" si="272"/>
        <v>1</v>
      </c>
      <c r="S492" s="61">
        <f>E492/E492</f>
        <v>1</v>
      </c>
      <c r="T492" s="61">
        <v>0</v>
      </c>
      <c r="U492" s="34">
        <f t="shared" ref="U492:V492" si="274">IF(OR(ISBLANK($R492),ISBLANK(S492)),"NA",$R492*S492)</f>
        <v>1</v>
      </c>
      <c r="V492" s="34">
        <f t="shared" si="274"/>
        <v>0</v>
      </c>
      <c r="W492" s="34"/>
      <c r="X492" s="34"/>
      <c r="Y492" s="21"/>
      <c r="Z492" s="35">
        <v>909763</v>
      </c>
    </row>
    <row r="493" spans="1:26" x14ac:dyDescent="0.2">
      <c r="A493" s="21"/>
      <c r="B493" s="19"/>
      <c r="C493" s="20"/>
      <c r="D493" s="57"/>
      <c r="E493" s="33"/>
      <c r="F493" s="22"/>
      <c r="G493" s="22"/>
      <c r="H493" s="22"/>
      <c r="I493" s="22"/>
      <c r="J493" s="22"/>
      <c r="K493" s="22"/>
      <c r="L493" s="22"/>
      <c r="M493" s="22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35"/>
    </row>
    <row r="494" spans="1:26" x14ac:dyDescent="0.2">
      <c r="A494" s="21"/>
      <c r="B494" s="19"/>
      <c r="C494" s="139">
        <v>2019</v>
      </c>
      <c r="D494" s="32">
        <f t="shared" ref="D494:D496" si="275">SUM(E494:M494)</f>
        <v>18479247</v>
      </c>
      <c r="E494" s="33">
        <v>18370723</v>
      </c>
      <c r="F494" s="22">
        <f>Z494-E494</f>
        <v>108524</v>
      </c>
      <c r="G494" s="22"/>
      <c r="H494" s="22"/>
      <c r="I494" s="22"/>
      <c r="J494" s="22"/>
      <c r="K494" s="22"/>
      <c r="L494" s="22"/>
      <c r="M494" s="22"/>
      <c r="N494" s="21"/>
      <c r="O494" s="21"/>
      <c r="P494" s="21"/>
      <c r="Q494" s="21" t="str">
        <f>$A$485&amp;C494&amp;"ASSETS"</f>
        <v>PNW2019ASSETS</v>
      </c>
      <c r="R494" s="61">
        <f t="shared" ref="R494:R496" si="276">IF(E494/D494&gt;1,1,E494/D494)</f>
        <v>0.99412724988198919</v>
      </c>
      <c r="S494" s="61">
        <f>E494/E494</f>
        <v>1</v>
      </c>
      <c r="T494" s="61">
        <v>0</v>
      </c>
      <c r="U494" s="34">
        <f>IF(OR(ISBLANK($R494),ISBLANK(S494)),"NA",$R494*S494)</f>
        <v>0.99412724988198919</v>
      </c>
      <c r="V494" s="34">
        <f>IF(OR(ISBLANK($R494),ISBLANK(T494)),"NA",$R494*T494)</f>
        <v>0</v>
      </c>
      <c r="W494" s="34"/>
      <c r="X494" s="34"/>
      <c r="Y494" s="21"/>
      <c r="Z494" s="35">
        <v>18479247</v>
      </c>
    </row>
    <row r="495" spans="1:26" x14ac:dyDescent="0.2">
      <c r="A495" s="21"/>
      <c r="B495" s="19" t="s">
        <v>84</v>
      </c>
      <c r="C495" s="139">
        <v>2018</v>
      </c>
      <c r="D495" s="32">
        <f t="shared" si="275"/>
        <v>17664202</v>
      </c>
      <c r="E495" s="33">
        <v>17565323</v>
      </c>
      <c r="F495" s="22">
        <f>Z495-E495</f>
        <v>98879</v>
      </c>
      <c r="G495" s="22"/>
      <c r="H495" s="22"/>
      <c r="I495" s="22"/>
      <c r="J495" s="22"/>
      <c r="K495" s="22"/>
      <c r="L495" s="22"/>
      <c r="M495" s="22"/>
      <c r="N495" s="21"/>
      <c r="O495" s="21"/>
      <c r="P495" s="21"/>
      <c r="Q495" s="21" t="str">
        <f t="shared" ref="Q495:Q496" si="277">$A$485&amp;C495&amp;"ASSETS"</f>
        <v>PNW2018ASSETS</v>
      </c>
      <c r="R495" s="61">
        <f t="shared" si="276"/>
        <v>0.99440229453897777</v>
      </c>
      <c r="S495" s="61">
        <f>E495/E495</f>
        <v>1</v>
      </c>
      <c r="T495" s="61">
        <v>0</v>
      </c>
      <c r="U495" s="34">
        <f>IF(OR(ISBLANK($R495),ISBLANK(S495)),"NA",$R495*S495)</f>
        <v>0.99440229453897777</v>
      </c>
      <c r="V495" s="34">
        <f>IF(OR(ISBLANK($R495),ISBLANK(T495)),"NA",$R495*T495)</f>
        <v>0</v>
      </c>
      <c r="W495" s="34"/>
      <c r="X495" s="34"/>
      <c r="Y495" s="21"/>
      <c r="Z495" s="35">
        <v>17664202</v>
      </c>
    </row>
    <row r="496" spans="1:26" x14ac:dyDescent="0.2">
      <c r="A496" s="21"/>
      <c r="B496" s="19"/>
      <c r="C496" s="139">
        <v>2017</v>
      </c>
      <c r="D496" s="32">
        <f t="shared" si="275"/>
        <v>17019082</v>
      </c>
      <c r="E496" s="35">
        <v>16893751</v>
      </c>
      <c r="F496" s="22">
        <f>Z496-E496</f>
        <v>125331</v>
      </c>
      <c r="G496" s="22"/>
      <c r="H496" s="22"/>
      <c r="I496" s="22"/>
      <c r="J496" s="22"/>
      <c r="K496" s="22"/>
      <c r="L496" s="22"/>
      <c r="M496" s="22"/>
      <c r="N496" s="21"/>
      <c r="O496" s="21"/>
      <c r="P496" s="21"/>
      <c r="Q496" s="21" t="str">
        <f t="shared" si="277"/>
        <v>PNW2017ASSETS</v>
      </c>
      <c r="R496" s="61">
        <f t="shared" si="276"/>
        <v>0.99263585427228096</v>
      </c>
      <c r="S496" s="61">
        <f>E496/E496</f>
        <v>1</v>
      </c>
      <c r="T496" s="61">
        <v>0</v>
      </c>
      <c r="U496" s="34">
        <f t="shared" ref="U496:V496" si="278">IF(OR(ISBLANK($R496),ISBLANK(S496)),"NA",$R496*S496)</f>
        <v>0.99263585427228096</v>
      </c>
      <c r="V496" s="34">
        <f t="shared" si="278"/>
        <v>0</v>
      </c>
      <c r="W496" s="34"/>
      <c r="X496" s="34"/>
      <c r="Y496" s="21"/>
      <c r="Z496" s="35">
        <v>17019082</v>
      </c>
    </row>
    <row r="497" spans="1:26" x14ac:dyDescent="0.2">
      <c r="Z497" s="64">
        <f>AVERAGE(S494:S496)</f>
        <v>1</v>
      </c>
    </row>
    <row r="500" spans="1:26" x14ac:dyDescent="0.2">
      <c r="A500" s="18" t="s">
        <v>267</v>
      </c>
      <c r="B500" s="19"/>
      <c r="C500" s="20"/>
      <c r="D500" s="21"/>
      <c r="E500" s="33"/>
      <c r="F500" s="33"/>
      <c r="G500" s="22"/>
      <c r="H500" s="155"/>
      <c r="I500" s="156"/>
      <c r="J500" s="156"/>
      <c r="K500" s="22"/>
      <c r="L500" s="22"/>
      <c r="M500" s="22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6" x14ac:dyDescent="0.2">
      <c r="A501" s="21" t="s">
        <v>268</v>
      </c>
      <c r="B501" s="19"/>
      <c r="C501" s="20"/>
      <c r="D501" s="21"/>
      <c r="E501" s="33"/>
      <c r="F501" s="33"/>
      <c r="G501" s="33"/>
      <c r="H501" s="22"/>
      <c r="I501" s="22"/>
      <c r="J501" s="22"/>
      <c r="K501" s="22"/>
      <c r="L501" s="22"/>
      <c r="M501" s="22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6" ht="63.75" x14ac:dyDescent="0.2">
      <c r="A502" s="18" t="s">
        <v>269</v>
      </c>
      <c r="B502" s="19" t="s">
        <v>223</v>
      </c>
      <c r="C502" s="20"/>
      <c r="D502" s="31" t="s">
        <v>75</v>
      </c>
      <c r="E502" s="35" t="s">
        <v>270</v>
      </c>
      <c r="F502" s="35" t="s">
        <v>271</v>
      </c>
      <c r="G502" s="35" t="s">
        <v>90</v>
      </c>
      <c r="H502" s="52"/>
      <c r="I502" s="22"/>
      <c r="J502" s="22"/>
      <c r="K502" s="22"/>
      <c r="L502" s="22"/>
      <c r="M502" s="22"/>
      <c r="N502" s="21"/>
      <c r="O502" s="21"/>
      <c r="P502" s="21"/>
      <c r="Q502" s="29"/>
      <c r="R502" s="30" t="s">
        <v>77</v>
      </c>
      <c r="S502" s="30" t="s">
        <v>78</v>
      </c>
      <c r="T502" s="30" t="s">
        <v>79</v>
      </c>
      <c r="U502" s="30" t="s">
        <v>80</v>
      </c>
      <c r="V502" s="30" t="s">
        <v>81</v>
      </c>
      <c r="W502" s="31"/>
      <c r="X502" s="31"/>
      <c r="Z502" s="157" t="s">
        <v>272</v>
      </c>
    </row>
    <row r="503" spans="1:26" x14ac:dyDescent="0.2">
      <c r="A503" s="21"/>
      <c r="B503" s="19"/>
      <c r="C503" s="139">
        <v>2019</v>
      </c>
      <c r="D503" s="32">
        <f>SUM(E503:M503)</f>
        <v>1457603</v>
      </c>
      <c r="E503" s="35">
        <v>1093822</v>
      </c>
      <c r="F503" s="35">
        <v>363781</v>
      </c>
      <c r="G503" s="35">
        <f>Z503-F503-E503</f>
        <v>0</v>
      </c>
      <c r="H503" s="52"/>
      <c r="I503" s="22"/>
      <c r="J503" s="22"/>
      <c r="K503" s="22"/>
      <c r="L503" s="22"/>
      <c r="M503" s="22"/>
      <c r="N503" s="21"/>
      <c r="O503" s="21"/>
      <c r="P503" s="21"/>
      <c r="Q503" s="21" t="str">
        <f>$A$502&amp;C503&amp;"REV"</f>
        <v>PNM2019REV</v>
      </c>
      <c r="R503" s="61">
        <f>IF(SUM(E503:F503)/D503&gt;1,1,SUM(E503:F503)/D503)</f>
        <v>1</v>
      </c>
      <c r="S503" s="61">
        <f>SUM(E503:F503)/SUM(E503:F503)</f>
        <v>1</v>
      </c>
      <c r="T503" s="61">
        <v>0</v>
      </c>
      <c r="U503" s="34">
        <f>IF(OR(ISBLANK($R503),ISBLANK(S503)),"NA",$R503*S503)</f>
        <v>1</v>
      </c>
      <c r="V503" s="34">
        <f>IF(OR(ISBLANK($R503),ISBLANK(T503)),"NA",$R503*T503)</f>
        <v>0</v>
      </c>
      <c r="W503" s="34"/>
      <c r="X503" s="34"/>
      <c r="Z503" s="23">
        <v>1457603</v>
      </c>
    </row>
    <row r="504" spans="1:26" x14ac:dyDescent="0.2">
      <c r="A504" s="21"/>
      <c r="B504" s="19" t="s">
        <v>82</v>
      </c>
      <c r="C504" s="139">
        <v>2018</v>
      </c>
      <c r="D504" s="32">
        <f>SUM(E504:M504)</f>
        <v>1436613</v>
      </c>
      <c r="E504" s="35">
        <v>1091965</v>
      </c>
      <c r="F504" s="35">
        <v>344648</v>
      </c>
      <c r="G504" s="35">
        <f t="shared" ref="G504:G513" si="279">Z504-F504-E504</f>
        <v>0</v>
      </c>
      <c r="H504" s="22"/>
      <c r="I504" s="22"/>
      <c r="J504" s="22"/>
      <c r="K504" s="22"/>
      <c r="L504" s="22"/>
      <c r="M504" s="22"/>
      <c r="N504" s="21"/>
      <c r="O504" s="21"/>
      <c r="P504" s="21"/>
      <c r="Q504" s="21" t="str">
        <f t="shared" ref="Q504:Q505" si="280">$A$502&amp;C504&amp;"REV"</f>
        <v>PNM2018REV</v>
      </c>
      <c r="R504" s="61">
        <f t="shared" ref="R504:R505" si="281">IF(SUM(E504:F504)/D504&gt;1,1,SUM(E504:F504)/D504)</f>
        <v>1</v>
      </c>
      <c r="S504" s="61">
        <f>SUM(E504:F504)/SUM(E504:F504)</f>
        <v>1</v>
      </c>
      <c r="T504" s="61">
        <v>0</v>
      </c>
      <c r="U504" s="34">
        <f>IF(OR(ISBLANK($R504),ISBLANK(S504)),"NA",$R504*S504)</f>
        <v>1</v>
      </c>
      <c r="V504" s="34">
        <f>IF(OR(ISBLANK($R504),ISBLANK(T504)),"NA",$R504*T504)</f>
        <v>0</v>
      </c>
      <c r="W504" s="34"/>
      <c r="X504" s="34"/>
      <c r="Z504" s="23">
        <v>1436613</v>
      </c>
    </row>
    <row r="505" spans="1:26" x14ac:dyDescent="0.2">
      <c r="A505" s="21"/>
      <c r="B505" s="19"/>
      <c r="C505" s="139">
        <v>2017</v>
      </c>
      <c r="D505" s="32">
        <f t="shared" ref="D505" si="282">SUM(E505:M505)</f>
        <v>1445003</v>
      </c>
      <c r="E505" s="35">
        <v>1104230</v>
      </c>
      <c r="F505" s="35">
        <v>340773</v>
      </c>
      <c r="G505" s="35">
        <f t="shared" si="279"/>
        <v>0</v>
      </c>
      <c r="H505" s="22"/>
      <c r="I505" s="22"/>
      <c r="J505" s="22"/>
      <c r="K505" s="22"/>
      <c r="L505" s="22"/>
      <c r="M505" s="22"/>
      <c r="N505" s="21"/>
      <c r="O505" s="21"/>
      <c r="P505" s="21"/>
      <c r="Q505" s="21" t="str">
        <f t="shared" si="280"/>
        <v>PNM2017REV</v>
      </c>
      <c r="R505" s="61">
        <f t="shared" si="281"/>
        <v>1</v>
      </c>
      <c r="S505" s="61">
        <f>SUM(E505:F505)/SUM(E505:F505)</f>
        <v>1</v>
      </c>
      <c r="T505" s="61">
        <v>0</v>
      </c>
      <c r="U505" s="34">
        <f t="shared" ref="U505:V505" si="283">IF(OR(ISBLANK($R505),ISBLANK(S505)),"NA",$R505*S505)</f>
        <v>1</v>
      </c>
      <c r="V505" s="34">
        <f t="shared" si="283"/>
        <v>0</v>
      </c>
      <c r="W505" s="34"/>
      <c r="X505" s="34"/>
      <c r="Z505" s="23">
        <v>1445003</v>
      </c>
    </row>
    <row r="506" spans="1:26" x14ac:dyDescent="0.2">
      <c r="A506" s="21"/>
      <c r="B506" s="19"/>
      <c r="C506" s="20"/>
      <c r="D506" s="21"/>
      <c r="E506" s="33"/>
      <c r="F506" s="33"/>
      <c r="G506" s="33"/>
      <c r="H506" s="22"/>
      <c r="I506" s="22"/>
      <c r="J506" s="22"/>
      <c r="K506" s="22"/>
      <c r="L506" s="22"/>
      <c r="M506" s="22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Z506" s="64"/>
    </row>
    <row r="507" spans="1:26" x14ac:dyDescent="0.2">
      <c r="A507" s="21"/>
      <c r="B507" s="19"/>
      <c r="C507" s="139">
        <v>2019</v>
      </c>
      <c r="D507" s="32">
        <f t="shared" ref="D507:D509" si="284">SUM(E507:M507)</f>
        <v>144200</v>
      </c>
      <c r="E507" s="33">
        <v>61068</v>
      </c>
      <c r="F507" s="33">
        <v>85814</v>
      </c>
      <c r="G507" s="35">
        <f t="shared" si="279"/>
        <v>-2682</v>
      </c>
      <c r="H507" s="22"/>
      <c r="I507" s="22"/>
      <c r="J507" s="22"/>
      <c r="K507" s="22"/>
      <c r="L507" s="22"/>
      <c r="M507" s="22"/>
      <c r="N507" s="21"/>
      <c r="O507" s="21"/>
      <c r="P507" s="21"/>
      <c r="Q507" s="21" t="str">
        <f>$A$502&amp;C507&amp;"INC"</f>
        <v>PNM2019INC</v>
      </c>
      <c r="R507" s="61">
        <f t="shared" ref="R507:R509" si="285">IF(SUM(E507:F507)/D507&gt;1,1,SUM(E507:F507)/D507)</f>
        <v>1</v>
      </c>
      <c r="S507" s="61">
        <f>SUM(E507:F507)/SUM(E507:F507)</f>
        <v>1</v>
      </c>
      <c r="T507" s="61">
        <v>0</v>
      </c>
      <c r="U507" s="34">
        <f>IF(OR(ISBLANK($R507),ISBLANK(S507)),"NA",$R507*S507)</f>
        <v>1</v>
      </c>
      <c r="V507" s="34">
        <f>IF(OR(ISBLANK($R507),ISBLANK(T507)),"NA",$R507*T507)</f>
        <v>0</v>
      </c>
      <c r="W507" s="34"/>
      <c r="X507" s="34"/>
      <c r="Z507" s="23">
        <v>144200</v>
      </c>
    </row>
    <row r="508" spans="1:26" x14ac:dyDescent="0.2">
      <c r="A508" s="21"/>
      <c r="B508" s="19" t="s">
        <v>83</v>
      </c>
      <c r="C508" s="139">
        <v>2018</v>
      </c>
      <c r="D508" s="32">
        <f t="shared" si="284"/>
        <v>236047</v>
      </c>
      <c r="E508" s="33">
        <v>145033</v>
      </c>
      <c r="F508" s="33">
        <v>96497</v>
      </c>
      <c r="G508" s="35">
        <f t="shared" si="279"/>
        <v>-5483</v>
      </c>
      <c r="H508" s="22"/>
      <c r="I508" s="22"/>
      <c r="J508" s="22"/>
      <c r="K508" s="22"/>
      <c r="L508" s="22"/>
      <c r="M508" s="22"/>
      <c r="N508" s="21"/>
      <c r="O508" s="21"/>
      <c r="P508" s="21"/>
      <c r="Q508" s="21" t="str">
        <f t="shared" ref="Q508:Q509" si="286">$A$502&amp;C508&amp;"INC"</f>
        <v>PNM2018INC</v>
      </c>
      <c r="R508" s="61">
        <f t="shared" si="285"/>
        <v>1</v>
      </c>
      <c r="S508" s="61">
        <f>SUM(E508:F508)/SUM(E508:F508)</f>
        <v>1</v>
      </c>
      <c r="T508" s="61">
        <v>0</v>
      </c>
      <c r="U508" s="34">
        <f>IF(OR(ISBLANK($R508),ISBLANK(S508)),"NA",$R508*S508)</f>
        <v>1</v>
      </c>
      <c r="V508" s="34">
        <f>IF(OR(ISBLANK($R508),ISBLANK(T508)),"NA",$R508*T508)</f>
        <v>0</v>
      </c>
      <c r="W508" s="34"/>
      <c r="X508" s="34"/>
      <c r="Z508" s="23">
        <v>236047</v>
      </c>
    </row>
    <row r="509" spans="1:26" x14ac:dyDescent="0.2">
      <c r="A509" s="21"/>
      <c r="B509" s="19"/>
      <c r="C509" s="139">
        <v>2017</v>
      </c>
      <c r="D509" s="32">
        <f t="shared" si="284"/>
        <v>315039</v>
      </c>
      <c r="E509" s="35">
        <v>221079</v>
      </c>
      <c r="F509" s="35">
        <v>93604</v>
      </c>
      <c r="G509" s="35">
        <f t="shared" si="279"/>
        <v>356</v>
      </c>
      <c r="H509" s="22"/>
      <c r="I509" s="22"/>
      <c r="J509" s="22"/>
      <c r="K509" s="22"/>
      <c r="L509" s="22"/>
      <c r="M509" s="22"/>
      <c r="N509" s="21"/>
      <c r="O509" s="21"/>
      <c r="P509" s="21"/>
      <c r="Q509" s="21" t="str">
        <f t="shared" si="286"/>
        <v>PNM2017INC</v>
      </c>
      <c r="R509" s="61">
        <f t="shared" si="285"/>
        <v>0.9988699811769336</v>
      </c>
      <c r="S509" s="61">
        <f>SUM(E509:F509)/SUM(E509:F509)</f>
        <v>1</v>
      </c>
      <c r="T509" s="61">
        <v>0</v>
      </c>
      <c r="U509" s="34">
        <f t="shared" ref="U509:V509" si="287">IF(OR(ISBLANK($R509),ISBLANK(S509)),"NA",$R509*S509)</f>
        <v>0.9988699811769336</v>
      </c>
      <c r="V509" s="34">
        <f t="shared" si="287"/>
        <v>0</v>
      </c>
      <c r="W509" s="34"/>
      <c r="X509" s="34"/>
      <c r="Z509" s="23">
        <v>315039</v>
      </c>
    </row>
    <row r="510" spans="1:26" x14ac:dyDescent="0.2">
      <c r="A510" s="21"/>
      <c r="B510" s="19"/>
      <c r="C510" s="20"/>
      <c r="D510" s="57"/>
      <c r="E510" s="33"/>
      <c r="F510" s="33"/>
      <c r="G510" s="33"/>
      <c r="H510" s="22"/>
      <c r="I510" s="22"/>
      <c r="J510" s="22"/>
      <c r="K510" s="22"/>
      <c r="L510" s="22"/>
      <c r="M510" s="22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Z510" s="64"/>
    </row>
    <row r="511" spans="1:26" x14ac:dyDescent="0.2">
      <c r="A511" s="21"/>
      <c r="B511" s="19"/>
      <c r="C511" s="139">
        <v>2019</v>
      </c>
      <c r="D511" s="32">
        <f t="shared" ref="D511:D513" si="288">SUM(E511:M511)</f>
        <v>7298774</v>
      </c>
      <c r="E511" s="33">
        <v>5242991</v>
      </c>
      <c r="F511" s="33">
        <v>1860439</v>
      </c>
      <c r="G511" s="35">
        <f t="shared" si="279"/>
        <v>195344</v>
      </c>
      <c r="H511" s="22"/>
      <c r="I511" s="22"/>
      <c r="J511" s="22"/>
      <c r="K511" s="22"/>
      <c r="L511" s="22"/>
      <c r="M511" s="22"/>
      <c r="N511" s="21"/>
      <c r="O511" s="21"/>
      <c r="P511" s="21"/>
      <c r="Q511" s="21" t="str">
        <f>$A$502&amp;C511&amp;"ASSETS"</f>
        <v>PNM2019ASSETS</v>
      </c>
      <c r="R511" s="61">
        <f t="shared" ref="R511:R513" si="289">IF(SUM(E511:F511)/D511&gt;1,1,SUM(E511:F511)/D511)</f>
        <v>0.9732360530686387</v>
      </c>
      <c r="S511" s="61">
        <f>SUM(E511:F511)/SUM(E511:F511)</f>
        <v>1</v>
      </c>
      <c r="T511" s="61">
        <v>0</v>
      </c>
      <c r="U511" s="34">
        <f>IF(OR(ISBLANK($R511),ISBLANK(S511)),"NA",$R511*S511)</f>
        <v>0.9732360530686387</v>
      </c>
      <c r="V511" s="34">
        <f>IF(OR(ISBLANK($R511),ISBLANK(T511)),"NA",$R511*T511)</f>
        <v>0</v>
      </c>
      <c r="W511" s="34"/>
      <c r="X511" s="34"/>
      <c r="Z511" s="23">
        <v>7298774</v>
      </c>
    </row>
    <row r="512" spans="1:26" x14ac:dyDescent="0.2">
      <c r="A512" s="21"/>
      <c r="B512" s="19" t="s">
        <v>84</v>
      </c>
      <c r="C512" s="139">
        <v>2018</v>
      </c>
      <c r="D512" s="32">
        <f t="shared" si="288"/>
        <v>6865551</v>
      </c>
      <c r="E512" s="33">
        <v>5035883</v>
      </c>
      <c r="F512" s="33">
        <v>1665177</v>
      </c>
      <c r="G512" s="35">
        <f t="shared" si="279"/>
        <v>164491</v>
      </c>
      <c r="H512" s="22"/>
      <c r="I512" s="22"/>
      <c r="J512" s="22"/>
      <c r="K512" s="22"/>
      <c r="L512" s="22"/>
      <c r="M512" s="22"/>
      <c r="N512" s="21"/>
      <c r="O512" s="21"/>
      <c r="P512" s="21"/>
      <c r="Q512" s="21" t="str">
        <f t="shared" ref="Q512:Q513" si="290">$A$502&amp;C512&amp;"ASSETS"</f>
        <v>PNM2018ASSETS</v>
      </c>
      <c r="R512" s="61">
        <f t="shared" si="289"/>
        <v>0.97604110726145654</v>
      </c>
      <c r="S512" s="61">
        <f>SUM(E512:F512)/SUM(E512:F512)</f>
        <v>1</v>
      </c>
      <c r="T512" s="61">
        <v>0</v>
      </c>
      <c r="U512" s="34">
        <f>IF(OR(ISBLANK($R512),ISBLANK(S512)),"NA",$R512*S512)</f>
        <v>0.97604110726145654</v>
      </c>
      <c r="V512" s="34">
        <f>IF(OR(ISBLANK($R512),ISBLANK(T512)),"NA",$R512*T512)</f>
        <v>0</v>
      </c>
      <c r="W512" s="34"/>
      <c r="X512" s="34"/>
      <c r="Z512" s="23">
        <v>6865551</v>
      </c>
    </row>
    <row r="513" spans="1:26" x14ac:dyDescent="0.2">
      <c r="A513" s="21"/>
      <c r="B513" s="21"/>
      <c r="C513" s="139">
        <v>2017</v>
      </c>
      <c r="D513" s="32">
        <f t="shared" si="288"/>
        <v>6646103</v>
      </c>
      <c r="E513" s="35">
        <v>4921563</v>
      </c>
      <c r="F513" s="35">
        <v>1500770</v>
      </c>
      <c r="G513" s="35">
        <f t="shared" si="279"/>
        <v>223770</v>
      </c>
      <c r="H513" s="22"/>
      <c r="I513" s="22"/>
      <c r="J513" s="22"/>
      <c r="K513" s="22"/>
      <c r="L513" s="22"/>
      <c r="M513" s="22"/>
      <c r="N513" s="21"/>
      <c r="O513" s="21"/>
      <c r="P513" s="21"/>
      <c r="Q513" s="21" t="str">
        <f t="shared" si="290"/>
        <v>PNM2017ASSETS</v>
      </c>
      <c r="R513" s="61">
        <f t="shared" si="289"/>
        <v>0.96633064519162581</v>
      </c>
      <c r="S513" s="61">
        <f>SUM(E513:F513)/SUM(E513:F513)</f>
        <v>1</v>
      </c>
      <c r="T513" s="61">
        <v>0</v>
      </c>
      <c r="U513" s="34">
        <f t="shared" ref="U513:V513" si="291">IF(OR(ISBLANK($R513),ISBLANK(S513)),"NA",$R513*S513)</f>
        <v>0.96633064519162581</v>
      </c>
      <c r="V513" s="34">
        <f t="shared" si="291"/>
        <v>0</v>
      </c>
      <c r="W513" s="34"/>
      <c r="X513" s="34"/>
      <c r="Z513" s="23">
        <v>6646103</v>
      </c>
    </row>
    <row r="514" spans="1:26" x14ac:dyDescent="0.2">
      <c r="Z514" s="64"/>
    </row>
    <row r="517" spans="1:26" x14ac:dyDescent="0.2">
      <c r="A517" s="18" t="s">
        <v>53</v>
      </c>
      <c r="B517" s="19"/>
      <c r="C517" s="20"/>
      <c r="D517" s="21"/>
      <c r="E517" s="33"/>
      <c r="F517" s="22"/>
      <c r="G517" s="22"/>
      <c r="H517" s="22"/>
      <c r="I517" s="22"/>
      <c r="J517" s="22"/>
      <c r="K517" s="22"/>
      <c r="L517" s="22"/>
      <c r="M517" s="22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6" x14ac:dyDescent="0.2">
      <c r="A518" s="21" t="s">
        <v>273</v>
      </c>
      <c r="B518" s="19"/>
      <c r="C518" s="20"/>
      <c r="D518" s="21"/>
      <c r="E518" s="33"/>
      <c r="F518" s="22"/>
      <c r="G518" s="22"/>
      <c r="H518" s="22"/>
      <c r="I518" s="22"/>
      <c r="J518" s="22"/>
      <c r="K518" s="22"/>
      <c r="L518" s="22"/>
      <c r="M518" s="22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6" ht="63.75" x14ac:dyDescent="0.2">
      <c r="A519" s="18" t="s">
        <v>54</v>
      </c>
      <c r="B519" s="19" t="s">
        <v>223</v>
      </c>
      <c r="C519" s="20"/>
      <c r="D519" s="20" t="s">
        <v>75</v>
      </c>
      <c r="E519" s="35" t="s">
        <v>53</v>
      </c>
      <c r="F519" s="22"/>
      <c r="G519" s="22"/>
      <c r="H519" s="22"/>
      <c r="I519" s="22"/>
      <c r="J519" s="22"/>
      <c r="K519" s="22"/>
      <c r="L519" s="22"/>
      <c r="M519" s="22"/>
      <c r="N519" s="21"/>
      <c r="O519" s="21"/>
      <c r="P519" s="21"/>
      <c r="Q519" s="29"/>
      <c r="R519" s="30" t="s">
        <v>77</v>
      </c>
      <c r="S519" s="30" t="s">
        <v>78</v>
      </c>
      <c r="T519" s="30" t="s">
        <v>79</v>
      </c>
      <c r="U519" s="30" t="s">
        <v>80</v>
      </c>
      <c r="V519" s="30" t="s">
        <v>81</v>
      </c>
      <c r="W519" s="31"/>
      <c r="X519" s="31"/>
    </row>
    <row r="520" spans="1:26" x14ac:dyDescent="0.2">
      <c r="A520" s="21"/>
      <c r="B520" s="19"/>
      <c r="C520" s="139">
        <v>2019</v>
      </c>
      <c r="D520" s="32">
        <f>SUM(E520:M520)</f>
        <v>2123000</v>
      </c>
      <c r="E520" s="35">
        <v>2123000</v>
      </c>
      <c r="F520" s="22"/>
      <c r="G520" s="22"/>
      <c r="H520" s="22"/>
      <c r="I520" s="22"/>
      <c r="J520" s="22"/>
      <c r="K520" s="22"/>
      <c r="L520" s="22"/>
      <c r="M520" s="22"/>
      <c r="N520" s="21"/>
      <c r="O520" s="21"/>
      <c r="P520" s="21"/>
      <c r="Q520" s="21" t="str">
        <f>$A$519&amp;C520&amp;"REV"</f>
        <v>POR2019REV</v>
      </c>
      <c r="R520" s="61">
        <f>IF(E520/D520&gt;1,1,E520/D520)</f>
        <v>1</v>
      </c>
      <c r="S520" s="61">
        <f>E520/E520</f>
        <v>1</v>
      </c>
      <c r="T520" s="61">
        <v>0</v>
      </c>
      <c r="U520" s="34">
        <f>IF(OR(ISBLANK($R520),ISBLANK(S520)),"NA",$R520*S520)</f>
        <v>1</v>
      </c>
      <c r="V520" s="34">
        <f>IF(OR(ISBLANK($R520),ISBLANK(T520)),"NA",$R520*T520)</f>
        <v>0</v>
      </c>
      <c r="W520" s="34"/>
      <c r="X520" s="34"/>
    </row>
    <row r="521" spans="1:26" x14ac:dyDescent="0.2">
      <c r="A521" s="21"/>
      <c r="B521" s="19" t="s">
        <v>82</v>
      </c>
      <c r="C521" s="139">
        <v>2018</v>
      </c>
      <c r="D521" s="32">
        <f>SUM(E521:M521)</f>
        <v>1991000</v>
      </c>
      <c r="E521" s="35">
        <v>1991000</v>
      </c>
      <c r="F521" s="22"/>
      <c r="G521" s="22"/>
      <c r="H521" s="22"/>
      <c r="I521" s="22"/>
      <c r="J521" s="22"/>
      <c r="K521" s="22"/>
      <c r="L521" s="22"/>
      <c r="M521" s="22"/>
      <c r="N521" s="21"/>
      <c r="O521" s="21"/>
      <c r="P521" s="21"/>
      <c r="Q521" s="21" t="str">
        <f t="shared" ref="Q521:Q522" si="292">$A$519&amp;C521&amp;"REV"</f>
        <v>POR2018REV</v>
      </c>
      <c r="R521" s="61">
        <f t="shared" ref="R521:R522" si="293">IF(E521/D521&gt;1,1,E521/D521)</f>
        <v>1</v>
      </c>
      <c r="S521" s="61">
        <f>E521/E521</f>
        <v>1</v>
      </c>
      <c r="T521" s="61">
        <v>0</v>
      </c>
      <c r="U521" s="34">
        <f>IF(OR(ISBLANK($R521),ISBLANK(S521)),"NA",$R521*S521)</f>
        <v>1</v>
      </c>
      <c r="V521" s="34">
        <f>IF(OR(ISBLANK($R521),ISBLANK(T521)),"NA",$R521*T521)</f>
        <v>0</v>
      </c>
      <c r="W521" s="34"/>
      <c r="X521" s="34"/>
    </row>
    <row r="522" spans="1:26" x14ac:dyDescent="0.2">
      <c r="A522" s="21"/>
      <c r="B522" s="19"/>
      <c r="C522" s="139">
        <v>2017</v>
      </c>
      <c r="D522" s="32">
        <f t="shared" ref="D522" si="294">SUM(E522:M522)</f>
        <v>2009000</v>
      </c>
      <c r="E522" s="35">
        <v>2009000</v>
      </c>
      <c r="F522" s="22"/>
      <c r="G522" s="22"/>
      <c r="H522" s="22"/>
      <c r="I522" s="22"/>
      <c r="J522" s="22"/>
      <c r="K522" s="22"/>
      <c r="L522" s="22"/>
      <c r="M522" s="22"/>
      <c r="N522" s="21"/>
      <c r="O522" s="21"/>
      <c r="P522" s="21"/>
      <c r="Q522" s="21" t="str">
        <f t="shared" si="292"/>
        <v>POR2017REV</v>
      </c>
      <c r="R522" s="61">
        <f t="shared" si="293"/>
        <v>1</v>
      </c>
      <c r="S522" s="61">
        <f>E522/E522</f>
        <v>1</v>
      </c>
      <c r="T522" s="61">
        <v>0</v>
      </c>
      <c r="U522" s="34">
        <f t="shared" ref="U522:V522" si="295">IF(OR(ISBLANK($R522),ISBLANK(S522)),"NA",$R522*S522)</f>
        <v>1</v>
      </c>
      <c r="V522" s="34">
        <f t="shared" si="295"/>
        <v>0</v>
      </c>
      <c r="W522" s="34"/>
      <c r="X522" s="34"/>
    </row>
    <row r="523" spans="1:26" x14ac:dyDescent="0.2">
      <c r="A523" s="21"/>
      <c r="B523" s="19"/>
      <c r="C523" s="20"/>
      <c r="D523" s="21"/>
      <c r="E523" s="33"/>
      <c r="F523" s="22"/>
      <c r="G523" s="22"/>
      <c r="H523" s="22"/>
      <c r="I523" s="22"/>
      <c r="J523" s="22"/>
      <c r="K523" s="22"/>
      <c r="L523" s="22"/>
      <c r="M523" s="22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6" x14ac:dyDescent="0.2">
      <c r="A524" s="21"/>
      <c r="B524" s="19"/>
      <c r="C524" s="139">
        <v>2019</v>
      </c>
      <c r="D524" s="32">
        <f t="shared" ref="D524:D526" si="296">SUM(E524:M524)</f>
        <v>353000</v>
      </c>
      <c r="E524" s="35">
        <v>353000</v>
      </c>
      <c r="F524" s="22"/>
      <c r="G524" s="22"/>
      <c r="H524" s="22"/>
      <c r="I524" s="22"/>
      <c r="J524" s="22"/>
      <c r="K524" s="22"/>
      <c r="L524" s="22"/>
      <c r="M524" s="22"/>
      <c r="N524" s="21"/>
      <c r="O524" s="21"/>
      <c r="P524" s="21"/>
      <c r="Q524" s="21" t="str">
        <f>$A$519&amp;C524&amp;"INC"</f>
        <v>POR2019INC</v>
      </c>
      <c r="R524" s="61">
        <f t="shared" ref="R524:R526" si="297">IF(E524/D524&gt;1,1,E524/D524)</f>
        <v>1</v>
      </c>
      <c r="S524" s="61">
        <f>E524/E524</f>
        <v>1</v>
      </c>
      <c r="T524" s="61">
        <v>0</v>
      </c>
      <c r="U524" s="34">
        <f>IF(OR(ISBLANK($R524),ISBLANK(S524)),"NA",$R524*S524)</f>
        <v>1</v>
      </c>
      <c r="V524" s="34">
        <f>IF(OR(ISBLANK($R524),ISBLANK(T524)),"NA",$R524*T524)</f>
        <v>0</v>
      </c>
      <c r="W524" s="34"/>
      <c r="X524" s="34"/>
    </row>
    <row r="525" spans="1:26" x14ac:dyDescent="0.2">
      <c r="A525" s="21"/>
      <c r="B525" s="19" t="s">
        <v>83</v>
      </c>
      <c r="C525" s="139">
        <v>2018</v>
      </c>
      <c r="D525" s="32">
        <f t="shared" si="296"/>
        <v>346000</v>
      </c>
      <c r="E525" s="35">
        <v>346000</v>
      </c>
      <c r="F525" s="22"/>
      <c r="G525" s="22"/>
      <c r="H525" s="22"/>
      <c r="I525" s="22"/>
      <c r="J525" s="22"/>
      <c r="K525" s="22"/>
      <c r="L525" s="22"/>
      <c r="M525" s="22"/>
      <c r="N525" s="21"/>
      <c r="O525" s="21"/>
      <c r="P525" s="21"/>
      <c r="Q525" s="21" t="str">
        <f t="shared" ref="Q525:Q526" si="298">$A$519&amp;C525&amp;"INC"</f>
        <v>POR2018INC</v>
      </c>
      <c r="R525" s="61">
        <f t="shared" si="297"/>
        <v>1</v>
      </c>
      <c r="S525" s="61">
        <f>E525/E525</f>
        <v>1</v>
      </c>
      <c r="T525" s="61">
        <v>0</v>
      </c>
      <c r="U525" s="34">
        <f>IF(OR(ISBLANK($R525),ISBLANK(S525)),"NA",$R525*S525)</f>
        <v>1</v>
      </c>
      <c r="V525" s="34">
        <f>IF(OR(ISBLANK($R525),ISBLANK(T525)),"NA",$R525*T525)</f>
        <v>0</v>
      </c>
      <c r="W525" s="34"/>
      <c r="X525" s="34"/>
    </row>
    <row r="526" spans="1:26" x14ac:dyDescent="0.2">
      <c r="A526" s="21"/>
      <c r="B526" s="19"/>
      <c r="C526" s="139">
        <v>2017</v>
      </c>
      <c r="D526" s="32">
        <f t="shared" si="296"/>
        <v>380000</v>
      </c>
      <c r="E526" s="35">
        <v>380000</v>
      </c>
      <c r="F526" s="22"/>
      <c r="G526" s="22"/>
      <c r="H526" s="22"/>
      <c r="I526" s="22"/>
      <c r="J526" s="22"/>
      <c r="K526" s="22"/>
      <c r="L526" s="22"/>
      <c r="M526" s="22"/>
      <c r="N526" s="21"/>
      <c r="O526" s="21"/>
      <c r="P526" s="21"/>
      <c r="Q526" s="21" t="str">
        <f t="shared" si="298"/>
        <v>POR2017INC</v>
      </c>
      <c r="R526" s="61">
        <f t="shared" si="297"/>
        <v>1</v>
      </c>
      <c r="S526" s="61">
        <f>E526/E526</f>
        <v>1</v>
      </c>
      <c r="T526" s="61">
        <v>0</v>
      </c>
      <c r="U526" s="34">
        <f t="shared" ref="U526:V526" si="299">IF(OR(ISBLANK($R526),ISBLANK(S526)),"NA",$R526*S526)</f>
        <v>1</v>
      </c>
      <c r="V526" s="34">
        <f t="shared" si="299"/>
        <v>0</v>
      </c>
      <c r="W526" s="34"/>
      <c r="X526" s="34"/>
    </row>
    <row r="527" spans="1:26" x14ac:dyDescent="0.2">
      <c r="A527" s="21"/>
      <c r="B527" s="19"/>
      <c r="C527" s="20"/>
      <c r="D527" s="57"/>
      <c r="E527" s="33"/>
      <c r="F527" s="22"/>
      <c r="G527" s="22"/>
      <c r="H527" s="22"/>
      <c r="I527" s="22"/>
      <c r="J527" s="22"/>
      <c r="K527" s="22"/>
      <c r="L527" s="22"/>
      <c r="M527" s="22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6" x14ac:dyDescent="0.2">
      <c r="A528" s="21"/>
      <c r="B528" s="19"/>
      <c r="C528" s="139">
        <v>2019</v>
      </c>
      <c r="D528" s="32">
        <f t="shared" ref="D528:D530" si="300">SUM(E528:M528)</f>
        <v>8394000</v>
      </c>
      <c r="E528" s="35">
        <v>8394000</v>
      </c>
      <c r="F528" s="22"/>
      <c r="G528" s="22"/>
      <c r="H528" s="22"/>
      <c r="I528" s="22"/>
      <c r="J528" s="22"/>
      <c r="K528" s="22"/>
      <c r="L528" s="22"/>
      <c r="M528" s="22"/>
      <c r="N528" s="21"/>
      <c r="O528" s="21"/>
      <c r="P528" s="21"/>
      <c r="Q528" s="21" t="str">
        <f>$A$519&amp;C528&amp;"ASSETS"</f>
        <v>POR2019ASSETS</v>
      </c>
      <c r="R528" s="61">
        <f t="shared" ref="R528:R530" si="301">IF(E528/D528&gt;1,1,E528/D528)</f>
        <v>1</v>
      </c>
      <c r="S528" s="61">
        <f>E528/E528</f>
        <v>1</v>
      </c>
      <c r="T528" s="61">
        <v>0</v>
      </c>
      <c r="U528" s="34">
        <f>IF(OR(ISBLANK($R528),ISBLANK(S528)),"NA",$R528*S528)</f>
        <v>1</v>
      </c>
      <c r="V528" s="34">
        <f>IF(OR(ISBLANK($R528),ISBLANK(T528)),"NA",$R528*T528)</f>
        <v>0</v>
      </c>
      <c r="W528" s="34"/>
      <c r="X528" s="34"/>
    </row>
    <row r="529" spans="1:24" x14ac:dyDescent="0.2">
      <c r="A529" s="21"/>
      <c r="B529" s="19" t="s">
        <v>84</v>
      </c>
      <c r="C529" s="139">
        <v>2018</v>
      </c>
      <c r="D529" s="32">
        <f t="shared" si="300"/>
        <v>8110000</v>
      </c>
      <c r="E529" s="35">
        <v>8110000</v>
      </c>
      <c r="F529" s="22"/>
      <c r="G529" s="22"/>
      <c r="H529" s="22"/>
      <c r="I529" s="22"/>
      <c r="J529" s="22"/>
      <c r="K529" s="22"/>
      <c r="L529" s="22"/>
      <c r="M529" s="22"/>
      <c r="N529" s="21"/>
      <c r="O529" s="21"/>
      <c r="P529" s="21"/>
      <c r="Q529" s="21" t="str">
        <f t="shared" ref="Q529:Q530" si="302">$A$519&amp;C529&amp;"ASSETS"</f>
        <v>POR2018ASSETS</v>
      </c>
      <c r="R529" s="61">
        <f t="shared" si="301"/>
        <v>1</v>
      </c>
      <c r="S529" s="61">
        <f>E529/E529</f>
        <v>1</v>
      </c>
      <c r="T529" s="61">
        <v>0</v>
      </c>
      <c r="U529" s="34">
        <f>IF(OR(ISBLANK($R529),ISBLANK(S529)),"NA",$R529*S529)</f>
        <v>1</v>
      </c>
      <c r="V529" s="34">
        <f>IF(OR(ISBLANK($R529),ISBLANK(T529)),"NA",$R529*T529)</f>
        <v>0</v>
      </c>
      <c r="W529" s="34"/>
      <c r="X529" s="34"/>
    </row>
    <row r="530" spans="1:24" x14ac:dyDescent="0.2">
      <c r="A530" s="21"/>
      <c r="B530" s="21"/>
      <c r="C530" s="139">
        <v>2017</v>
      </c>
      <c r="D530" s="32">
        <f t="shared" si="300"/>
        <v>7838000</v>
      </c>
      <c r="E530" s="35">
        <v>7838000</v>
      </c>
      <c r="F530" s="22"/>
      <c r="G530" s="22"/>
      <c r="H530" s="22"/>
      <c r="I530" s="22"/>
      <c r="J530" s="22"/>
      <c r="K530" s="22"/>
      <c r="L530" s="22"/>
      <c r="M530" s="22"/>
      <c r="N530" s="21"/>
      <c r="O530" s="21"/>
      <c r="P530" s="21"/>
      <c r="Q530" s="21" t="str">
        <f t="shared" si="302"/>
        <v>POR2017ASSETS</v>
      </c>
      <c r="R530" s="61">
        <f t="shared" si="301"/>
        <v>1</v>
      </c>
      <c r="S530" s="61">
        <f>E530/E530</f>
        <v>1</v>
      </c>
      <c r="T530" s="61">
        <v>0</v>
      </c>
      <c r="U530" s="34">
        <f t="shared" ref="U530:V530" si="303">IF(OR(ISBLANK($R530),ISBLANK(S530)),"NA",$R530*S530)</f>
        <v>1</v>
      </c>
      <c r="V530" s="34">
        <f t="shared" si="303"/>
        <v>0</v>
      </c>
      <c r="W530" s="34"/>
      <c r="X530" s="34"/>
    </row>
    <row r="534" spans="1:24" x14ac:dyDescent="0.2">
      <c r="A534" s="18" t="s">
        <v>274</v>
      </c>
      <c r="B534" s="19"/>
      <c r="C534" s="20"/>
      <c r="D534" s="21"/>
      <c r="E534" s="33"/>
      <c r="F534" s="33"/>
      <c r="G534" s="33"/>
      <c r="H534" s="33"/>
      <c r="I534" s="33"/>
      <c r="J534" s="22"/>
      <c r="K534" s="22"/>
      <c r="L534" s="22"/>
      <c r="M534" s="22"/>
      <c r="N534" s="21"/>
      <c r="O534" s="21"/>
      <c r="P534" s="21"/>
      <c r="Q534" s="21"/>
      <c r="R534" s="21"/>
    </row>
    <row r="535" spans="1:24" x14ac:dyDescent="0.2">
      <c r="A535" s="21" t="s">
        <v>275</v>
      </c>
      <c r="B535" s="33"/>
      <c r="C535" s="51"/>
      <c r="D535" s="21"/>
      <c r="E535" s="33"/>
      <c r="F535" s="33"/>
      <c r="G535" s="33"/>
      <c r="H535" s="33"/>
      <c r="I535" s="33"/>
      <c r="J535" s="22"/>
      <c r="K535" s="22"/>
      <c r="L535" s="22"/>
      <c r="M535" s="22"/>
      <c r="N535" s="21"/>
      <c r="O535" s="21"/>
      <c r="P535" s="21"/>
      <c r="Q535" s="21"/>
      <c r="R535" s="21"/>
    </row>
    <row r="536" spans="1:24" ht="63.75" x14ac:dyDescent="0.2">
      <c r="A536" s="18" t="s">
        <v>276</v>
      </c>
      <c r="B536" s="19" t="s">
        <v>223</v>
      </c>
      <c r="C536" s="20"/>
      <c r="D536" s="20" t="s">
        <v>75</v>
      </c>
      <c r="E536" s="35" t="s">
        <v>277</v>
      </c>
      <c r="F536" s="35" t="s">
        <v>278</v>
      </c>
      <c r="G536" s="35" t="s">
        <v>279</v>
      </c>
      <c r="H536" s="35" t="s">
        <v>90</v>
      </c>
      <c r="I536" s="35" t="s">
        <v>93</v>
      </c>
      <c r="J536" s="22"/>
      <c r="K536" s="22"/>
      <c r="L536" s="22"/>
      <c r="M536" s="22"/>
      <c r="N536" s="21"/>
      <c r="O536" s="21"/>
      <c r="P536" s="21"/>
      <c r="Q536" s="29"/>
      <c r="R536" s="30" t="s">
        <v>77</v>
      </c>
      <c r="S536" s="59" t="s">
        <v>78</v>
      </c>
      <c r="T536" s="59" t="s">
        <v>79</v>
      </c>
      <c r="U536" s="59" t="s">
        <v>80</v>
      </c>
      <c r="V536" s="59" t="s">
        <v>81</v>
      </c>
      <c r="W536" s="60"/>
      <c r="X536" s="60"/>
    </row>
    <row r="537" spans="1:24" x14ac:dyDescent="0.2">
      <c r="A537" s="21"/>
      <c r="B537" s="19"/>
      <c r="C537" s="139">
        <v>2019</v>
      </c>
      <c r="D537" s="32">
        <f t="shared" ref="D537:D539" si="304">SUM(E537:I537)</f>
        <v>7731000</v>
      </c>
      <c r="E537" s="35">
        <v>2167000</v>
      </c>
      <c r="F537" s="35">
        <v>3206000</v>
      </c>
      <c r="G537" s="35">
        <v>2358000</v>
      </c>
      <c r="H537" s="35"/>
      <c r="I537" s="35"/>
      <c r="J537" s="22"/>
      <c r="K537" s="22"/>
      <c r="L537" s="22"/>
      <c r="M537" s="22"/>
      <c r="N537" s="21"/>
      <c r="O537" s="21"/>
      <c r="P537" s="21"/>
      <c r="Q537" s="21" t="str">
        <f>$A$536&amp;C537&amp;"REV"</f>
        <v>PPL2019REV</v>
      </c>
      <c r="R537" s="61">
        <f>IF(SUM(F537:G537)/D537&gt;1,1,SUM(F537:G537)/D537)</f>
        <v>0.71969990945543916</v>
      </c>
      <c r="S537" s="62">
        <f>SUMIF('FERC Form 1_2 Data'!$C$11:$C$179,$A534,'FERC Form 1_2 Data'!$D$11:$D$179)/SUM(SUMIF('FERC Form 1_2 Data'!$C$11:$C$179,$A534,'FERC Form 1_2 Data'!$D$11:$D$179),SUMIF('FERC Form 1_2 Data'!$C$11:$C$179,$A534,'FERC Form 1_2 Data'!$E$11:$E$179),SUMIF('FERC Form 1_2 Data'!$C$11:$C$179,$A534,'FERC Form 1_2 Data'!$F$11:$F$179))</f>
        <v>0.94287654349165773</v>
      </c>
      <c r="T537" s="62">
        <f>SUMIF('FERC Form 1_2 Data'!$C$11:$C$179,$A534,'FERC Form 1_2 Data'!$E$11:$E$179)/SUM(SUMIF('FERC Form 1_2 Data'!$C$11:$C$179,$A534,'FERC Form 1_2 Data'!$D$11:$D$179),SUMIF('FERC Form 1_2 Data'!$C$11:$C$179,$A534,'FERC Form 1_2 Data'!$E$11:$E$179),SUMIF('FERC Form 1_2 Data'!$C$11:$C$179,$A534,'FERC Form 1_2 Data'!$F$11:$F$179))</f>
        <v>5.7123456508342274E-2</v>
      </c>
      <c r="U537" s="63">
        <f>IF(OR(ISBLANK($R537),ISBLANK(S537)),"NA",$R537*S537)</f>
        <v>0.67858816297860347</v>
      </c>
      <c r="V537" s="63">
        <f>IF(OR(ISBLANK($R537),ISBLANK(T537)),"NA",$R537*T537)</f>
        <v>4.1111746476835652E-2</v>
      </c>
      <c r="W537" s="63"/>
      <c r="X537" s="63"/>
    </row>
    <row r="538" spans="1:24" x14ac:dyDescent="0.2">
      <c r="A538" s="21"/>
      <c r="B538" s="19" t="s">
        <v>82</v>
      </c>
      <c r="C538" s="139">
        <v>2018</v>
      </c>
      <c r="D538" s="32">
        <f t="shared" si="304"/>
        <v>7785000</v>
      </c>
      <c r="E538" s="35">
        <v>2268000</v>
      </c>
      <c r="F538" s="35">
        <v>3214000</v>
      </c>
      <c r="G538" s="35">
        <v>2277000</v>
      </c>
      <c r="H538" s="35">
        <v>26000</v>
      </c>
      <c r="I538" s="35">
        <v>0</v>
      </c>
      <c r="J538" s="22"/>
      <c r="K538" s="22"/>
      <c r="L538" s="22"/>
      <c r="M538" s="22"/>
      <c r="N538" s="21"/>
      <c r="O538" s="21"/>
      <c r="P538" s="21"/>
      <c r="Q538" s="21" t="str">
        <f t="shared" ref="Q538:Q539" si="305">$A$536&amp;C538&amp;"REV"</f>
        <v>PPL2018REV</v>
      </c>
      <c r="R538" s="61">
        <f t="shared" ref="R538:R539" si="306">IF(SUM(F538:G538)/D538&gt;1,1,SUM(F538:G538)/D538)</f>
        <v>0.70533076429030184</v>
      </c>
      <c r="S538" s="62">
        <f>SUMIF('FERC Form 1_2 Data'!$C$11:$C$179,$A534,'FERC Form 1_2 Data'!$G$11:$G$179)/SUM(SUMIF('FERC Form 1_2 Data'!$C$11:$C$179,$A534,'FERC Form 1_2 Data'!$G$11:$G$179),SUMIF('FERC Form 1_2 Data'!$C$11:$C$179,$A534,'FERC Form 1_2 Data'!$H$11:$H$179),SUMIF('FERC Form 1_2 Data'!$C$11:$C$179,$A534,'FERC Form 1_2 Data'!$I$11:$I$179))</f>
        <v>0.94325312879512435</v>
      </c>
      <c r="T538" s="62">
        <f>SUMIF('FERC Form 1_2 Data'!$C$11:$C$179,$A534,'FERC Form 1_2 Data'!$H$11:$H$179)/SUM(SUMIF('FERC Form 1_2 Data'!$C$11:$C$179,$A534,'FERC Form 1_2 Data'!$G$11:$G$179),SUMIF('FERC Form 1_2 Data'!$C$11:$C$179,$A534,'FERC Form 1_2 Data'!$H$11:$H$179),SUMIF('FERC Form 1_2 Data'!$C$11:$C$179,$A534,'FERC Form 1_2 Data'!$I$11:$I$179))</f>
        <v>5.6746871204875662E-2</v>
      </c>
      <c r="U538" s="63">
        <f t="shared" ref="U538:V539" si="307">IF(OR(ISBLANK($R538),ISBLANK(S538)),"NA",$R538*S538)</f>
        <v>0.6653054502522836</v>
      </c>
      <c r="V538" s="63">
        <f t="shared" si="307"/>
        <v>4.0025314038018275E-2</v>
      </c>
      <c r="W538" s="63"/>
      <c r="X538" s="63"/>
    </row>
    <row r="539" spans="1:24" x14ac:dyDescent="0.2">
      <c r="A539" s="21"/>
      <c r="B539" s="19"/>
      <c r="C539" s="139">
        <v>2017</v>
      </c>
      <c r="D539" s="32">
        <f t="shared" si="304"/>
        <v>7447000</v>
      </c>
      <c r="E539" s="35">
        <v>2091000</v>
      </c>
      <c r="F539" s="35">
        <v>3156000</v>
      </c>
      <c r="G539" s="35">
        <v>2195000</v>
      </c>
      <c r="H539" s="35">
        <v>5000</v>
      </c>
      <c r="I539" s="35">
        <v>0</v>
      </c>
      <c r="J539" s="22"/>
      <c r="K539" s="22"/>
      <c r="L539" s="22"/>
      <c r="M539" s="22"/>
      <c r="N539" s="21"/>
      <c r="O539" s="21"/>
      <c r="P539" s="21"/>
      <c r="Q539" s="21" t="str">
        <f t="shared" si="305"/>
        <v>PPL2017REV</v>
      </c>
      <c r="R539" s="61">
        <f t="shared" si="306"/>
        <v>0.718544380287364</v>
      </c>
      <c r="S539" s="62">
        <f>SUMIF('FERC Form 1_2 Data'!$C$11:$C$179,$A534,'FERC Form 1_2 Data'!$J$11:$J$179)/SUM(SUMIF('FERC Form 1_2 Data'!$C$11:$C$179,$A534,'FERC Form 1_2 Data'!$J$11:$J$179),SUMIF('FERC Form 1_2 Data'!$C$11:$C$179,$A534,'FERC Form 1_2 Data'!$K$11:$K$179),SUMIF('FERC Form 1_2 Data'!$C$11:$C$179,$A534,'FERC Form 1_2 Data'!$L$11:$L$179))</f>
        <v>0.94342316949524518</v>
      </c>
      <c r="T539" s="62">
        <f>SUMIF('FERC Form 1_2 Data'!$C$11:$C$179,$A534,'FERC Form 1_2 Data'!$K$11:$K$179)/SUM(SUMIF('FERC Form 1_2 Data'!$C$11:$C$179,$A534,'FERC Form 1_2 Data'!$J$11:$J$179),SUMIF('FERC Form 1_2 Data'!$C$11:$C$179,$A534,'FERC Form 1_2 Data'!$K$11:$K$179),SUMIF('FERC Form 1_2 Data'!$C$11:$C$179,$A534,'FERC Form 1_2 Data'!$L$11:$L$179))</f>
        <v>5.6576830504754802E-2</v>
      </c>
      <c r="U539" s="63">
        <f t="shared" si="307"/>
        <v>0.67789141667370167</v>
      </c>
      <c r="V539" s="63">
        <f t="shared" si="307"/>
        <v>4.0652963613662274E-2</v>
      </c>
      <c r="W539" s="63"/>
      <c r="X539" s="63"/>
    </row>
    <row r="540" spans="1:24" x14ac:dyDescent="0.2">
      <c r="A540" s="21"/>
      <c r="B540" s="19"/>
      <c r="C540" s="20"/>
      <c r="D540" s="21"/>
      <c r="E540" s="33"/>
      <c r="F540" s="33"/>
      <c r="G540" s="33"/>
      <c r="H540" s="33"/>
      <c r="I540" s="33"/>
      <c r="J540" s="22"/>
      <c r="K540" s="22"/>
      <c r="L540" s="22"/>
      <c r="M540" s="22"/>
      <c r="N540" s="21"/>
      <c r="O540" s="21"/>
      <c r="P540" s="21"/>
      <c r="Q540" s="21"/>
      <c r="R540" s="21"/>
    </row>
    <row r="541" spans="1:24" x14ac:dyDescent="0.2">
      <c r="A541" s="21"/>
      <c r="B541" s="19"/>
      <c r="C541" s="139">
        <v>2019</v>
      </c>
      <c r="D541" s="32">
        <f>SUM(E541:M541)</f>
        <v>2840000</v>
      </c>
      <c r="E541" s="33">
        <v>1998000</v>
      </c>
      <c r="F541" s="33">
        <v>2111000</v>
      </c>
      <c r="G541" s="33">
        <v>1527000</v>
      </c>
      <c r="H541" s="33">
        <v>-2796000</v>
      </c>
      <c r="I541" s="35"/>
      <c r="J541" s="22"/>
      <c r="K541" s="22"/>
      <c r="L541" s="22"/>
      <c r="M541" s="22"/>
      <c r="N541" s="21"/>
      <c r="O541" s="21"/>
      <c r="P541" s="21"/>
      <c r="Q541" s="21" t="str">
        <f>$A$536&amp;C541&amp;"INC"</f>
        <v>PPL2019INC</v>
      </c>
      <c r="R541" s="61">
        <f t="shared" ref="R541:R543" si="308">IF(SUM(F541:G541)/D541&gt;1,1,SUM(F541:G541)/D541)</f>
        <v>1</v>
      </c>
      <c r="S541" s="62">
        <f>SUMIF('FERC Form 1_2 Data'!$C$11:$C$179,$A534,'FERC Form 1_2 Data'!$Y$11:$Y$179)/SUMIF('FERC Form 1_2 Data'!$C$11:$C$179,$A534,'FERC Form 1_2 Data'!$EA$11:$EA$179)</f>
        <v>0.95869976465300599</v>
      </c>
      <c r="T541" s="62">
        <f>SUMIF('FERC Form 1_2 Data'!$C$11:$C$179,$A534,'FERC Form 1_2 Data'!$BL$11:$BL$179)/SUMIF('FERC Form 1_2 Data'!$C$11:$C$179,$A534,'FERC Form 1_2 Data'!$EA$11:$EA$179)</f>
        <v>4.1300235346994063E-2</v>
      </c>
      <c r="U541" s="63">
        <f>IF(OR(ISBLANK($R541),ISBLANK(S541)),"NA",$R541*S541)</f>
        <v>0.95869976465300599</v>
      </c>
      <c r="V541" s="63">
        <f>IF(OR(ISBLANK($R541),ISBLANK(T541)),"NA",$R541*T541)</f>
        <v>4.1300235346994063E-2</v>
      </c>
      <c r="W541" s="63"/>
      <c r="X541" s="63"/>
    </row>
    <row r="542" spans="1:24" x14ac:dyDescent="0.2">
      <c r="A542" s="21"/>
      <c r="B542" s="19" t="s">
        <v>83</v>
      </c>
      <c r="C542" s="139">
        <v>2018</v>
      </c>
      <c r="D542" s="32">
        <f>SUM(E542:M542)</f>
        <v>2852000</v>
      </c>
      <c r="E542" s="33">
        <v>2089000</v>
      </c>
      <c r="F542" s="33">
        <v>2041000</v>
      </c>
      <c r="G542" s="33">
        <v>1473000</v>
      </c>
      <c r="H542" s="33">
        <v>-2751000</v>
      </c>
      <c r="I542" s="35">
        <v>0</v>
      </c>
      <c r="J542" s="22"/>
      <c r="K542" s="22"/>
      <c r="L542" s="22"/>
      <c r="M542" s="22"/>
      <c r="N542" s="21"/>
      <c r="O542" s="21"/>
      <c r="P542" s="21"/>
      <c r="Q542" s="21" t="str">
        <f t="shared" ref="Q542:Q543" si="309">$A$536&amp;C542&amp;"INC"</f>
        <v>PPL2018INC</v>
      </c>
      <c r="R542" s="61">
        <f t="shared" si="308"/>
        <v>1</v>
      </c>
      <c r="S542" s="62">
        <f>SUMIF('FERC Form 1_2 Data'!$C$11:$C$179,$A534,'FERC Form 1_2 Data'!$AL$11:$AL$179)/SUMIF('FERC Form 1_2 Data'!$C$11:$C$179,$A534,'FERC Form 1_2 Data'!$EB$11:$EB$179)</f>
        <v>0.96136467423662908</v>
      </c>
      <c r="T542" s="62">
        <f>SUMIF('FERC Form 1_2 Data'!$C$11:$C$179,$A534,'FERC Form 1_2 Data'!$BY$11:$BY$179)/SUMIF('FERC Form 1_2 Data'!$C$11:$C$179,$A534,'FERC Form 1_2 Data'!$EB$11:$EB$179)</f>
        <v>3.8635325763370913E-2</v>
      </c>
      <c r="U542" s="63">
        <f t="shared" ref="U542:V543" si="310">IF(OR(ISBLANK($R542),ISBLANK(S542)),"NA",$R542*S542)</f>
        <v>0.96136467423662908</v>
      </c>
      <c r="V542" s="63">
        <f t="shared" si="310"/>
        <v>3.8635325763370913E-2</v>
      </c>
      <c r="W542" s="63"/>
      <c r="X542" s="63"/>
    </row>
    <row r="543" spans="1:24" x14ac:dyDescent="0.2">
      <c r="A543" s="21"/>
      <c r="B543" s="19"/>
      <c r="C543" s="139">
        <v>2017</v>
      </c>
      <c r="D543" s="32">
        <f t="shared" ref="D543" si="311">SUM(E543:M543)</f>
        <v>2901000</v>
      </c>
      <c r="E543" s="35">
        <v>1952000</v>
      </c>
      <c r="F543" s="35">
        <v>2038000</v>
      </c>
      <c r="G543" s="35">
        <v>1445000</v>
      </c>
      <c r="H543" s="35">
        <v>-2534000</v>
      </c>
      <c r="I543" s="35">
        <v>0</v>
      </c>
      <c r="J543" s="22"/>
      <c r="K543" s="22"/>
      <c r="L543" s="22"/>
      <c r="M543" s="22"/>
      <c r="N543" s="21"/>
      <c r="O543" s="21"/>
      <c r="P543" s="21"/>
      <c r="Q543" s="21" t="str">
        <f t="shared" si="309"/>
        <v>PPL2017INC</v>
      </c>
      <c r="R543" s="61">
        <f t="shared" si="308"/>
        <v>1</v>
      </c>
      <c r="S543" s="62">
        <f>SUMIF('FERC Form 1_2 Data'!$C$11:$C$179,$A534,'FERC Form 1_2 Data'!$AY$11:$AY$179)/SUMIF('FERC Form 1_2 Data'!$C$11:$C$179,$A534,'FERC Form 1_2 Data'!$EC$11:$EC$179)</f>
        <v>0.9559362382147476</v>
      </c>
      <c r="T543" s="62">
        <f>SUMIF('FERC Form 1_2 Data'!$C$11:$C$179,$A534,'FERC Form 1_2 Data'!$CL$11:$CL$179)/SUMIF('FERC Form 1_2 Data'!$C$11:$C$179,$A534,'FERC Form 1_2 Data'!$EC$11:$EC$179)</f>
        <v>4.4063761785252377E-2</v>
      </c>
      <c r="U543" s="63">
        <f t="shared" si="310"/>
        <v>0.9559362382147476</v>
      </c>
      <c r="V543" s="63">
        <f t="shared" si="310"/>
        <v>4.4063761785252377E-2</v>
      </c>
      <c r="W543" s="63"/>
      <c r="X543" s="63"/>
    </row>
    <row r="544" spans="1:24" x14ac:dyDescent="0.2">
      <c r="A544" s="21"/>
      <c r="B544" s="19"/>
      <c r="C544" s="20"/>
      <c r="D544" s="57"/>
      <c r="E544" s="33"/>
      <c r="F544" s="33"/>
      <c r="G544" s="33"/>
      <c r="H544" s="33"/>
      <c r="I544" s="33"/>
      <c r="J544" s="22"/>
      <c r="K544" s="22"/>
      <c r="L544" s="22"/>
      <c r="M544" s="22"/>
      <c r="N544" s="21"/>
      <c r="O544" s="21"/>
      <c r="P544" s="21"/>
      <c r="Q544" s="21"/>
      <c r="R544" s="21"/>
    </row>
    <row r="545" spans="1:24" x14ac:dyDescent="0.2">
      <c r="A545" s="21"/>
      <c r="B545" s="19"/>
      <c r="C545" s="139">
        <v>2019</v>
      </c>
      <c r="D545" s="32">
        <f t="shared" ref="D545:D547" si="312">SUM(E545:M545)</f>
        <v>45680000</v>
      </c>
      <c r="E545" s="33">
        <v>17622000</v>
      </c>
      <c r="F545" s="33">
        <v>15597000</v>
      </c>
      <c r="G545" s="33">
        <v>11918000</v>
      </c>
      <c r="H545" s="33">
        <v>543000</v>
      </c>
      <c r="I545" s="33"/>
      <c r="J545" s="22"/>
      <c r="K545" s="22"/>
      <c r="L545" s="22"/>
      <c r="M545" s="22"/>
      <c r="N545" s="21"/>
      <c r="O545" s="21"/>
      <c r="P545" s="21"/>
      <c r="Q545" s="21" t="str">
        <f>$A$536&amp;C545&amp;"ASSETS"</f>
        <v>PPL2019ASSETS</v>
      </c>
      <c r="R545" s="61">
        <f t="shared" ref="R545:R547" si="313">IF(SUM(F545:G545)/D545&gt;1,1,SUM(F545:G545)/D545)</f>
        <v>0.60234238178633981</v>
      </c>
      <c r="S545" s="62">
        <f>SUMIF('FERC Form 1_2 Data'!$C$11:$C$179,$A534,'FERC Form 1_2 Data'!$EJ$11:$EJ$179)/(SUMIF('FERC Form 1_2 Data'!$C$11:$C$179,$A534,'FERC Form 1_2 Data'!$EN$11:$EN$179))</f>
        <v>0.95562435036547577</v>
      </c>
      <c r="T545" s="62">
        <f>SUMIF('FERC Form 1_2 Data'!$C$11:$C$179,$A534,'FERC Form 1_2 Data'!$EK$11:$EK$179)/(SUMIF('FERC Form 1_2 Data'!$C$11:$C$179,$A534,'FERC Form 1_2 Data'!$EN$11:$EN$179))</f>
        <v>4.4375649634524179E-2</v>
      </c>
      <c r="U545" s="63">
        <f>IF(OR(ISBLANK($R545),ISBLANK(S545)),"NA",$R545*S545)</f>
        <v>0.57561304729216434</v>
      </c>
      <c r="V545" s="63">
        <f>IF(OR(ISBLANK($R545),ISBLANK(T545)),"NA",$R545*T545)</f>
        <v>2.6729334494175413E-2</v>
      </c>
      <c r="W545" s="63"/>
      <c r="X545" s="63"/>
    </row>
    <row r="546" spans="1:24" x14ac:dyDescent="0.2">
      <c r="A546" s="21"/>
      <c r="B546" s="19" t="s">
        <v>84</v>
      </c>
      <c r="C546" s="139">
        <v>2018</v>
      </c>
      <c r="D546" s="32">
        <f t="shared" si="312"/>
        <v>43396000</v>
      </c>
      <c r="E546" s="33">
        <v>16700000</v>
      </c>
      <c r="F546" s="33">
        <v>15078000</v>
      </c>
      <c r="G546" s="33">
        <v>11257000</v>
      </c>
      <c r="H546" s="33">
        <v>361000</v>
      </c>
      <c r="I546" s="35">
        <v>0</v>
      </c>
      <c r="J546" s="22"/>
      <c r="K546" s="22"/>
      <c r="L546" s="22"/>
      <c r="M546" s="22"/>
      <c r="N546" s="21"/>
      <c r="O546" s="21"/>
      <c r="P546" s="21"/>
      <c r="Q546" s="21" t="str">
        <f t="shared" ref="Q546:Q547" si="314">$A$536&amp;C546&amp;"ASSETS"</f>
        <v>PPL2018ASSETS</v>
      </c>
      <c r="R546" s="61">
        <f t="shared" si="313"/>
        <v>0.60685316619043228</v>
      </c>
      <c r="S546" s="62">
        <f>SUMIF('FERC Form 1_2 Data'!$C$11:$C$179,$A534,'FERC Form 1_2 Data'!$EP$11:$EP$179)/(SUMIF('FERC Form 1_2 Data'!$C$11:$C$179,$A534,'FERC Form 1_2 Data'!$ET$11:$ET$179))</f>
        <v>0.95682555553208126</v>
      </c>
      <c r="T546" s="62">
        <f>SUMIF('FERC Form 1_2 Data'!$C$11:$C$179,$A534,'FERC Form 1_2 Data'!$EQ$11:$EQ$179)/(SUMIF('FERC Form 1_2 Data'!$C$11:$C$179,$A534,'FERC Form 1_2 Data'!$ET$11:$ET$179))</f>
        <v>4.3174444467918766E-2</v>
      </c>
      <c r="U546" s="63">
        <f t="shared" ref="U546:V547" si="315">IF(OR(ISBLANK($R546),ISBLANK(S546)),"NA",$R546*S546)</f>
        <v>0.58065261786656275</v>
      </c>
      <c r="V546" s="63">
        <f t="shared" si="315"/>
        <v>2.6200548323869498E-2</v>
      </c>
      <c r="W546" s="63"/>
      <c r="X546" s="63"/>
    </row>
    <row r="547" spans="1:24" x14ac:dyDescent="0.2">
      <c r="A547" s="21"/>
      <c r="B547" s="19"/>
      <c r="C547" s="139">
        <v>2017</v>
      </c>
      <c r="D547" s="32">
        <f t="shared" si="312"/>
        <v>41479000</v>
      </c>
      <c r="E547" s="35">
        <v>16813000</v>
      </c>
      <c r="F547" s="35">
        <v>14468000</v>
      </c>
      <c r="G547" s="35">
        <v>10082000</v>
      </c>
      <c r="H547" s="35">
        <v>116000</v>
      </c>
      <c r="I547" s="35">
        <v>0</v>
      </c>
      <c r="J547" s="22"/>
      <c r="K547" s="22"/>
      <c r="L547" s="22"/>
      <c r="M547" s="22"/>
      <c r="N547" s="21"/>
      <c r="O547" s="21"/>
      <c r="P547" s="21"/>
      <c r="Q547" s="21" t="str">
        <f t="shared" si="314"/>
        <v>PPL2017ASSETS</v>
      </c>
      <c r="R547" s="61">
        <f t="shared" si="313"/>
        <v>0.59186576339834618</v>
      </c>
      <c r="S547" s="62">
        <f>SUMIF('FERC Form 1_2 Data'!$C$11:$C$179,$A534,'FERC Form 1_2 Data'!$EV$11:$EV$179)/(SUMIF('FERC Form 1_2 Data'!$C$11:$C$179,$A534,'FERC Form 1_2 Data'!$EZ$11:$EZ$179))</f>
        <v>0.95661950071824575</v>
      </c>
      <c r="T547" s="62">
        <f>SUMIF('FERC Form 1_2 Data'!$C$11:$C$179,$A534,'FERC Form 1_2 Data'!$EW$11:$EW$179)/(SUMIF('FERC Form 1_2 Data'!$C$11:$C$179,$A534,'FERC Form 1_2 Data'!$EZ$11:$EZ$179))</f>
        <v>4.3380499281754199E-2</v>
      </c>
      <c r="U547" s="63">
        <f t="shared" si="315"/>
        <v>0.56619033107434924</v>
      </c>
      <c r="V547" s="63">
        <f t="shared" si="315"/>
        <v>2.5675432323996859E-2</v>
      </c>
      <c r="W547" s="63"/>
      <c r="X547" s="63"/>
    </row>
    <row r="551" spans="1:24" x14ac:dyDescent="0.2">
      <c r="A551" s="18" t="s">
        <v>280</v>
      </c>
      <c r="B551" s="19"/>
      <c r="C551" s="20"/>
      <c r="D551" s="21"/>
      <c r="E551" s="33"/>
      <c r="F551" s="33"/>
      <c r="G551" s="33"/>
      <c r="H551" s="33"/>
      <c r="I551" s="22"/>
      <c r="J551" s="22"/>
      <c r="K551" s="22"/>
      <c r="L551" s="22"/>
      <c r="M551" s="22"/>
      <c r="N551" s="21"/>
      <c r="O551" s="21"/>
      <c r="P551" s="21"/>
      <c r="Q551" s="21"/>
      <c r="R551" s="21"/>
    </row>
    <row r="552" spans="1:24" x14ac:dyDescent="0.2">
      <c r="A552" s="21" t="s">
        <v>281</v>
      </c>
      <c r="B552" s="19"/>
      <c r="C552" s="20"/>
      <c r="D552" s="21"/>
      <c r="E552" s="33"/>
      <c r="F552" s="33"/>
      <c r="G552" s="33"/>
      <c r="H552" s="33"/>
      <c r="I552" s="22"/>
      <c r="J552" s="22"/>
      <c r="K552" s="22"/>
      <c r="L552" s="22"/>
      <c r="M552" s="22"/>
      <c r="N552" s="21"/>
      <c r="O552" s="21"/>
      <c r="P552" s="21"/>
      <c r="Q552" s="21"/>
      <c r="R552" s="21"/>
    </row>
    <row r="553" spans="1:24" ht="63.75" x14ac:dyDescent="0.2">
      <c r="A553" s="18" t="s">
        <v>282</v>
      </c>
      <c r="B553" s="19" t="s">
        <v>223</v>
      </c>
      <c r="C553" s="20"/>
      <c r="D553" s="20" t="s">
        <v>75</v>
      </c>
      <c r="E553" s="51" t="s">
        <v>283</v>
      </c>
      <c r="F553" s="51" t="s">
        <v>284</v>
      </c>
      <c r="G553" s="51" t="s">
        <v>88</v>
      </c>
      <c r="H553" s="51" t="s">
        <v>76</v>
      </c>
      <c r="I553" s="22"/>
      <c r="J553" s="22"/>
      <c r="K553" s="22"/>
      <c r="L553" s="22"/>
      <c r="M553" s="22"/>
      <c r="N553" s="21"/>
      <c r="O553" s="21"/>
      <c r="P553" s="21"/>
      <c r="Q553" s="29"/>
      <c r="R553" s="30" t="s">
        <v>77</v>
      </c>
      <c r="S553" s="59" t="s">
        <v>78</v>
      </c>
      <c r="T553" s="59" t="s">
        <v>79</v>
      </c>
      <c r="U553" s="59" t="s">
        <v>80</v>
      </c>
      <c r="V553" s="59" t="s">
        <v>81</v>
      </c>
      <c r="W553" s="60"/>
      <c r="X553" s="60"/>
    </row>
    <row r="554" spans="1:24" x14ac:dyDescent="0.2">
      <c r="A554" s="21"/>
      <c r="B554" s="19"/>
      <c r="C554" s="139">
        <v>2019</v>
      </c>
      <c r="D554" s="32">
        <f>SUM(E554:M554)</f>
        <v>10076000</v>
      </c>
      <c r="E554" s="51">
        <v>4385000</v>
      </c>
      <c r="F554" s="51">
        <v>6625000</v>
      </c>
      <c r="G554" s="51">
        <v>549000</v>
      </c>
      <c r="H554" s="51">
        <v>-1483000</v>
      </c>
      <c r="I554" s="22"/>
      <c r="J554" s="22"/>
      <c r="K554" s="22"/>
      <c r="L554" s="22"/>
      <c r="M554" s="22"/>
      <c r="N554" s="21"/>
      <c r="O554" s="21"/>
      <c r="P554" s="21"/>
      <c r="Q554" s="21" t="str">
        <f>$A$553&amp;C554&amp;"REV"</f>
        <v>PEG2019REV</v>
      </c>
      <c r="R554" s="61">
        <f>IF(F554/D554&gt;1,1,F554/D554)</f>
        <v>0.65750297737197305</v>
      </c>
      <c r="S554" s="62">
        <f>SUMIF('FERC Form 1_2 Data'!$C$11:$C$179,$A551,'FERC Form 1_2 Data'!$D$11:$D$179)/SUM(SUMIF('FERC Form 1_2 Data'!$C$11:$C$179,$A551,'FERC Form 1_2 Data'!$D$11:$D$179),SUMIF('FERC Form 1_2 Data'!$C$11:$C$179,$A551,'FERC Form 1_2 Data'!$E$11:$E$179),SUMIF('FERC Form 1_2 Data'!$C$11:$C$179,$A551,'FERC Form 1_2 Data'!$F$11:$F$179))</f>
        <v>0.70536496986124109</v>
      </c>
      <c r="T554" s="62">
        <f>SUMIF('FERC Form 1_2 Data'!$C$11:$C$179,$A551,'FERC Form 1_2 Data'!$E$11:$E$179)/SUM(SUMIF('FERC Form 1_2 Data'!$C$11:$C$179,$A551,'FERC Form 1_2 Data'!$D$11:$D$179),SUMIF('FERC Form 1_2 Data'!$C$11:$C$179,$A551,'FERC Form 1_2 Data'!$E$11:$E$179),SUMIF('FERC Form 1_2 Data'!$C$11:$C$179,$A551,'FERC Form 1_2 Data'!$F$11:$F$179))</f>
        <v>0.29463503013875897</v>
      </c>
      <c r="U554" s="63">
        <f>IF(OR(ISBLANK($R554),ISBLANK(S554)),"NA",$R554*S554)</f>
        <v>0.46377956781765806</v>
      </c>
      <c r="V554" s="63">
        <f>IF(OR(ISBLANK($R554),ISBLANK(T554)),"NA",$R554*T554)</f>
        <v>0.19372340955431502</v>
      </c>
      <c r="W554" s="63"/>
      <c r="X554" s="63"/>
    </row>
    <row r="555" spans="1:24" x14ac:dyDescent="0.2">
      <c r="A555" s="21"/>
      <c r="B555" s="19" t="s">
        <v>82</v>
      </c>
      <c r="C555" s="139">
        <v>2018</v>
      </c>
      <c r="D555" s="32">
        <f>SUM(E555:M555)</f>
        <v>9696000</v>
      </c>
      <c r="E555" s="51">
        <v>4146000</v>
      </c>
      <c r="F555" s="51">
        <v>6471000</v>
      </c>
      <c r="G555" s="51">
        <v>571000</v>
      </c>
      <c r="H555" s="51">
        <v>-1492000</v>
      </c>
      <c r="I555" s="22"/>
      <c r="J555" s="22"/>
      <c r="K555" s="22"/>
      <c r="L555" s="22"/>
      <c r="M555" s="22"/>
      <c r="N555" s="21"/>
      <c r="O555" s="21"/>
      <c r="P555" s="21"/>
      <c r="Q555" s="21" t="str">
        <f t="shared" ref="Q555:Q556" si="316">$A$553&amp;C555&amp;"REV"</f>
        <v>PEG2018REV</v>
      </c>
      <c r="R555" s="61">
        <f t="shared" ref="R555:R556" si="317">IF(F555/D555&gt;1,1,F555/D555)</f>
        <v>0.66738861386138615</v>
      </c>
      <c r="S555" s="62">
        <f>SUMIF('FERC Form 1_2 Data'!$C$11:$C$179,$A551,'FERC Form 1_2 Data'!$G$11:$G$179)/SUM(SUMIF('FERC Form 1_2 Data'!$C$11:$C$179,$A551,'FERC Form 1_2 Data'!$G$11:$G$179),SUMIF('FERC Form 1_2 Data'!$C$11:$C$179,$A551,'FERC Form 1_2 Data'!$H$11:$H$179),SUMIF('FERC Form 1_2 Data'!$C$11:$C$179,$A551,'FERC Form 1_2 Data'!$I$11:$I$179))</f>
        <v>0.71348348040878229</v>
      </c>
      <c r="T555" s="62">
        <f>SUMIF('FERC Form 1_2 Data'!$C$11:$C$179,$A551,'FERC Form 1_2 Data'!$H$11:$H$179)/SUM(SUMIF('FERC Form 1_2 Data'!$C$11:$C$179,$A551,'FERC Form 1_2 Data'!$G$11:$G$179),SUMIF('FERC Form 1_2 Data'!$C$11:$C$179,$A551,'FERC Form 1_2 Data'!$H$11:$H$179),SUMIF('FERC Form 1_2 Data'!$C$11:$C$179,$A551,'FERC Form 1_2 Data'!$I$11:$I$179))</f>
        <v>0.28651651959121771</v>
      </c>
      <c r="U555" s="63">
        <f t="shared" ref="U555:V556" si="318">IF(OR(ISBLANK($R555),ISBLANK(S555)),"NA",$R555*S555)</f>
        <v>0.47617075100301465</v>
      </c>
      <c r="V555" s="63">
        <f t="shared" si="318"/>
        <v>0.19121786285837147</v>
      </c>
      <c r="W555" s="63"/>
      <c r="X555" s="63"/>
    </row>
    <row r="556" spans="1:24" x14ac:dyDescent="0.2">
      <c r="A556" s="21"/>
      <c r="B556" s="21"/>
      <c r="C556" s="139">
        <v>2017</v>
      </c>
      <c r="D556" s="32">
        <f t="shared" ref="D556" si="319">SUM(E556:M556)</f>
        <v>9094000</v>
      </c>
      <c r="E556" s="35">
        <v>3860000</v>
      </c>
      <c r="F556" s="35">
        <v>6324000</v>
      </c>
      <c r="G556" s="35">
        <v>466000</v>
      </c>
      <c r="H556" s="35">
        <v>-1556000</v>
      </c>
      <c r="I556" s="22"/>
      <c r="J556" s="22"/>
      <c r="K556" s="22"/>
      <c r="L556" s="22"/>
      <c r="M556" s="22"/>
      <c r="N556" s="21"/>
      <c r="O556" s="21"/>
      <c r="P556" s="21"/>
      <c r="Q556" s="21" t="str">
        <f t="shared" si="316"/>
        <v>PEG2017REV</v>
      </c>
      <c r="R556" s="61">
        <f t="shared" si="317"/>
        <v>0.6954035627886519</v>
      </c>
      <c r="S556" s="62">
        <f>SUMIF('FERC Form 1_2 Data'!$C$11:$C$179,$A551,'FERC Form 1_2 Data'!$J$11:$J$179)/SUM(SUMIF('FERC Form 1_2 Data'!$C$11:$C$179,$A551,'FERC Form 1_2 Data'!$J$11:$J$179),SUMIF('FERC Form 1_2 Data'!$C$11:$C$179,$A551,'FERC Form 1_2 Data'!$K$11:$K$179),SUMIF('FERC Form 1_2 Data'!$C$11:$C$179,$A551,'FERC Form 1_2 Data'!$L$11:$L$179))</f>
        <v>0.71403033163351703</v>
      </c>
      <c r="T556" s="62">
        <f>SUMIF('FERC Form 1_2 Data'!$C$11:$C$179,$A551,'FERC Form 1_2 Data'!$K$11:$K$179)/SUM(SUMIF('FERC Form 1_2 Data'!$C$11:$C$179,$A551,'FERC Form 1_2 Data'!$J$11:$J$179),SUMIF('FERC Form 1_2 Data'!$C$11:$C$179,$A551,'FERC Form 1_2 Data'!$K$11:$K$179),SUMIF('FERC Form 1_2 Data'!$C$11:$C$179,$A551,'FERC Form 1_2 Data'!$L$11:$L$179))</f>
        <v>0.28596966836648297</v>
      </c>
      <c r="U556" s="63">
        <f t="shared" si="318"/>
        <v>0.49653923655711041</v>
      </c>
      <c r="V556" s="63">
        <f t="shared" si="318"/>
        <v>0.19886432623154149</v>
      </c>
      <c r="W556" s="63"/>
      <c r="X556" s="63"/>
    </row>
    <row r="557" spans="1:24" x14ac:dyDescent="0.2">
      <c r="A557" s="21"/>
      <c r="B557" s="19"/>
      <c r="C557" s="20"/>
      <c r="D557" s="21"/>
      <c r="E557" s="33"/>
      <c r="F557" s="33"/>
      <c r="G557" s="33"/>
      <c r="H557" s="33"/>
      <c r="I557" s="22"/>
      <c r="J557" s="22"/>
      <c r="K557" s="22"/>
      <c r="L557" s="22"/>
      <c r="M557" s="22"/>
      <c r="N557" s="21"/>
      <c r="O557" s="21"/>
      <c r="P557" s="21"/>
      <c r="Q557" s="21"/>
      <c r="R557" s="21"/>
    </row>
    <row r="558" spans="1:24" x14ac:dyDescent="0.2">
      <c r="A558" s="21"/>
      <c r="B558" s="19"/>
      <c r="C558" s="139">
        <v>2019</v>
      </c>
      <c r="D558" s="32">
        <f t="shared" ref="D558:D560" si="320">SUM(E558:M558)</f>
        <v>1943000</v>
      </c>
      <c r="E558" s="33">
        <v>448000</v>
      </c>
      <c r="F558" s="33">
        <v>1469000</v>
      </c>
      <c r="G558" s="33">
        <v>26000</v>
      </c>
      <c r="H558" s="35">
        <v>0</v>
      </c>
      <c r="I558" s="22"/>
      <c r="J558" s="22"/>
      <c r="K558" s="22"/>
      <c r="L558" s="22"/>
      <c r="M558" s="22"/>
      <c r="N558" s="21"/>
      <c r="O558" s="21"/>
      <c r="P558" s="21"/>
      <c r="Q558" s="21" t="str">
        <f>$A$553&amp;C558&amp;"INC"</f>
        <v>PEG2019INC</v>
      </c>
      <c r="R558" s="61">
        <f t="shared" ref="R558:R560" si="321">IF(F558/D558&gt;1,1,F558/D558)</f>
        <v>0.75604734945959851</v>
      </c>
      <c r="S558" s="62">
        <f>SUMIF('FERC Form 1_2 Data'!$C$11:$C$179,$A551,'FERC Form 1_2 Data'!$Y$11:$Y$179)/SUMIF('FERC Form 1_2 Data'!$C$11:$C$179,$A551,'FERC Form 1_2 Data'!$EA$11:$EA$179)</f>
        <v>0.79545505580131592</v>
      </c>
      <c r="T558" s="62">
        <f>SUMIF('FERC Form 1_2 Data'!$C$11:$C$179,$A551,'FERC Form 1_2 Data'!$BL$11:$BL$179)/SUMIF('FERC Form 1_2 Data'!$C$11:$C$179,$A551,'FERC Form 1_2 Data'!$EA$11:$EA$179)</f>
        <v>0.20454494419868413</v>
      </c>
      <c r="U558" s="63">
        <f>IF(OR(ISBLANK($R558),ISBLANK(S558)),"NA",$R558*S558)</f>
        <v>0.60140168655282189</v>
      </c>
      <c r="V558" s="63">
        <f>IF(OR(ISBLANK($R558),ISBLANK(T558)),"NA",$R558*T558)</f>
        <v>0.15464566290677662</v>
      </c>
      <c r="W558" s="63"/>
      <c r="X558" s="63"/>
    </row>
    <row r="559" spans="1:24" x14ac:dyDescent="0.2">
      <c r="A559" s="21"/>
      <c r="B559" s="19" t="s">
        <v>83</v>
      </c>
      <c r="C559" s="139">
        <v>2018</v>
      </c>
      <c r="D559" s="32">
        <f t="shared" si="320"/>
        <v>2298000</v>
      </c>
      <c r="E559" s="33">
        <v>596000</v>
      </c>
      <c r="F559" s="33">
        <v>1606000</v>
      </c>
      <c r="G559" s="33">
        <v>96000</v>
      </c>
      <c r="H559" s="35">
        <v>0</v>
      </c>
      <c r="I559" s="71"/>
      <c r="J559" s="22"/>
      <c r="K559" s="22"/>
      <c r="L559" s="22"/>
      <c r="M559" s="22"/>
      <c r="N559" s="21"/>
      <c r="O559" s="21"/>
      <c r="P559" s="21"/>
      <c r="Q559" s="21" t="str">
        <f t="shared" ref="Q559:Q560" si="322">$A$553&amp;C559&amp;"INC"</f>
        <v>PEG2018INC</v>
      </c>
      <c r="R559" s="61">
        <f t="shared" si="321"/>
        <v>0.69886858137510877</v>
      </c>
      <c r="S559" s="62">
        <f>SUMIF('FERC Form 1_2 Data'!$C$11:$C$179,$A551,'FERC Form 1_2 Data'!$AL$11:$AL$179)/SUMIF('FERC Form 1_2 Data'!$C$11:$C$179,$A551,'FERC Form 1_2 Data'!$EB$11:$EB$179)</f>
        <v>0.80614549755900311</v>
      </c>
      <c r="T559" s="62">
        <f>SUMIF('FERC Form 1_2 Data'!$C$11:$C$179,$A551,'FERC Form 1_2 Data'!$BY$11:$BY$179)/SUMIF('FERC Form 1_2 Data'!$C$11:$C$179,$A551,'FERC Form 1_2 Data'!$EB$11:$EB$179)</f>
        <v>0.19385450244099689</v>
      </c>
      <c r="U559" s="63">
        <f t="shared" ref="U559:V560" si="323">IF(OR(ISBLANK($R559),ISBLANK(S559)),"NA",$R559*S559)</f>
        <v>0.56338976026099175</v>
      </c>
      <c r="V559" s="63">
        <f t="shared" si="323"/>
        <v>0.13547882111411705</v>
      </c>
      <c r="W559" s="63"/>
      <c r="X559" s="63"/>
    </row>
    <row r="560" spans="1:24" x14ac:dyDescent="0.2">
      <c r="A560" s="21"/>
      <c r="B560" s="21"/>
      <c r="C560" s="139">
        <v>2017</v>
      </c>
      <c r="D560" s="32">
        <f t="shared" si="320"/>
        <v>1429000</v>
      </c>
      <c r="E560" s="35">
        <v>-367000</v>
      </c>
      <c r="F560" s="35">
        <v>1760000</v>
      </c>
      <c r="G560" s="35">
        <v>36000</v>
      </c>
      <c r="H560" s="35">
        <v>0</v>
      </c>
      <c r="I560" s="22"/>
      <c r="J560" s="22"/>
      <c r="K560" s="22"/>
      <c r="L560" s="22"/>
      <c r="M560" s="22"/>
      <c r="N560" s="21"/>
      <c r="O560" s="21"/>
      <c r="P560" s="21"/>
      <c r="Q560" s="21" t="str">
        <f t="shared" si="322"/>
        <v>PEG2017INC</v>
      </c>
      <c r="R560" s="61">
        <f t="shared" si="321"/>
        <v>1</v>
      </c>
      <c r="S560" s="62">
        <f>SUMIF('FERC Form 1_2 Data'!$C$11:$C$179,$A551,'FERC Form 1_2 Data'!$AY$11:$AY$179)/SUMIF('FERC Form 1_2 Data'!$C$11:$C$179,$A551,'FERC Form 1_2 Data'!$EC$11:$EC$179)</f>
        <v>0.79649622351370875</v>
      </c>
      <c r="T560" s="62">
        <f>SUMIF('FERC Form 1_2 Data'!$C$11:$C$179,$A551,'FERC Form 1_2 Data'!$CL$11:$CL$179)/SUMIF('FERC Form 1_2 Data'!$C$11:$C$179,$A551,'FERC Form 1_2 Data'!$EC$11:$EC$179)</f>
        <v>0.20350377648629125</v>
      </c>
      <c r="U560" s="63">
        <f t="shared" si="323"/>
        <v>0.79649622351370875</v>
      </c>
      <c r="V560" s="63">
        <f t="shared" si="323"/>
        <v>0.20350377648629125</v>
      </c>
      <c r="W560" s="63"/>
      <c r="X560" s="63"/>
    </row>
    <row r="561" spans="1:40" x14ac:dyDescent="0.2">
      <c r="A561" s="21"/>
      <c r="B561" s="19"/>
      <c r="C561" s="20"/>
      <c r="D561" s="57"/>
      <c r="E561" s="33"/>
      <c r="F561" s="33"/>
      <c r="G561" s="33"/>
      <c r="H561" s="33"/>
      <c r="I561" s="22"/>
      <c r="J561" s="22"/>
      <c r="K561" s="22"/>
      <c r="L561" s="22"/>
      <c r="M561" s="22"/>
      <c r="N561" s="21"/>
      <c r="O561" s="21"/>
      <c r="P561" s="21"/>
      <c r="Q561" s="21"/>
      <c r="R561" s="21"/>
    </row>
    <row r="562" spans="1:40" x14ac:dyDescent="0.2">
      <c r="A562" s="21"/>
      <c r="B562" s="19"/>
      <c r="C562" s="139">
        <v>2019</v>
      </c>
      <c r="D562" s="32">
        <f t="shared" ref="D562:D564" si="324">SUM(E562:M562)</f>
        <v>47730000</v>
      </c>
      <c r="E562" s="33">
        <v>12805000</v>
      </c>
      <c r="F562" s="33">
        <v>33266000</v>
      </c>
      <c r="G562" s="33">
        <v>2715000</v>
      </c>
      <c r="H562" s="33">
        <v>-1056000</v>
      </c>
      <c r="I562" s="22"/>
      <c r="J562" s="22"/>
      <c r="K562" s="22"/>
      <c r="L562" s="22"/>
      <c r="M562" s="22"/>
      <c r="N562" s="21"/>
      <c r="O562" s="21"/>
      <c r="P562" s="21"/>
      <c r="Q562" s="21" t="str">
        <f>$A$553&amp;C562&amp;"ASSETS"</f>
        <v>PEG2019ASSETS</v>
      </c>
      <c r="R562" s="61">
        <f t="shared" ref="R562:R564" si="325">IF(F562/D562&gt;1,1,F562/D562)</f>
        <v>0.69696207835742718</v>
      </c>
      <c r="S562" s="62">
        <f>SUMIF('FERC Form 1_2 Data'!$C$11:$C$179,$A551,'FERC Form 1_2 Data'!$EJ$11:$EJ$179)/(SUMIF('FERC Form 1_2 Data'!$C$11:$C$179,$A551,'FERC Form 1_2 Data'!$EN$11:$EN$179))</f>
        <v>0.76275044488393529</v>
      </c>
      <c r="T562" s="62">
        <f>SUMIF('FERC Form 1_2 Data'!$C$11:$C$179,$A551,'FERC Form 1_2 Data'!$EK$11:$EK$179)/(SUMIF('FERC Form 1_2 Data'!$C$11:$C$179,$A551,'FERC Form 1_2 Data'!$EN$11:$EN$179))</f>
        <v>0.23368445068945584</v>
      </c>
      <c r="U562" s="63">
        <f>IF(OR(ISBLANK($R562),ISBLANK(S562)),"NA",$R562*S562)</f>
        <v>0.5316081353343598</v>
      </c>
      <c r="V562" s="63">
        <f>IF(OR(ISBLANK($R562),ISBLANK(T562)),"NA",$R562*T562)</f>
        <v>0.16286920043233685</v>
      </c>
      <c r="W562" s="63"/>
      <c r="X562" s="63"/>
    </row>
    <row r="563" spans="1:40" x14ac:dyDescent="0.2">
      <c r="A563" s="21"/>
      <c r="B563" s="19" t="s">
        <v>84</v>
      </c>
      <c r="C563" s="139">
        <v>2018</v>
      </c>
      <c r="D563" s="32">
        <f t="shared" si="324"/>
        <v>45326000</v>
      </c>
      <c r="E563" s="33">
        <v>12594000</v>
      </c>
      <c r="F563" s="33">
        <v>31109000</v>
      </c>
      <c r="G563" s="33">
        <v>2604000</v>
      </c>
      <c r="H563" s="33">
        <v>-981000</v>
      </c>
      <c r="I563" s="22"/>
      <c r="J563" s="22"/>
      <c r="K563" s="22"/>
      <c r="L563" s="22"/>
      <c r="M563" s="22"/>
      <c r="N563" s="21"/>
      <c r="O563" s="21"/>
      <c r="P563" s="21"/>
      <c r="Q563" s="21" t="str">
        <f t="shared" ref="Q563:Q564" si="326">$A$553&amp;C563&amp;"ASSETS"</f>
        <v>PEG2018ASSETS</v>
      </c>
      <c r="R563" s="61">
        <f t="shared" si="325"/>
        <v>0.68633896659753779</v>
      </c>
      <c r="S563" s="62">
        <f>SUMIF('FERC Form 1_2 Data'!$C$11:$C$179,$A551,'FERC Form 1_2 Data'!$EP$11:$EP$179)/(SUMIF('FERC Form 1_2 Data'!$C$11:$C$179,$A551,'FERC Form 1_2 Data'!$ET$11:$ET$179))</f>
        <v>0.76916019818843784</v>
      </c>
      <c r="T563" s="62">
        <f>SUMIF('FERC Form 1_2 Data'!$C$11:$C$179,$A551,'FERC Form 1_2 Data'!$EQ$11:$EQ$179)/(SUMIF('FERC Form 1_2 Data'!$C$11:$C$179,$A551,'FERC Form 1_2 Data'!$ET$11:$ET$179))</f>
        <v>0.23083980181156211</v>
      </c>
      <c r="U563" s="63">
        <f t="shared" ref="U563:V564" si="327">IF(OR(ISBLANK($R563),ISBLANK(S563)),"NA",$R563*S563)</f>
        <v>0.52790461557260981</v>
      </c>
      <c r="V563" s="63">
        <f t="shared" si="327"/>
        <v>0.15843435102492798</v>
      </c>
      <c r="W563" s="63"/>
      <c r="X563" s="63"/>
    </row>
    <row r="564" spans="1:40" x14ac:dyDescent="0.2">
      <c r="A564" s="21"/>
      <c r="B564" s="21"/>
      <c r="C564" s="139">
        <v>2017</v>
      </c>
      <c r="D564" s="32">
        <f t="shared" si="324"/>
        <v>42716000</v>
      </c>
      <c r="E564" s="35">
        <v>12418000</v>
      </c>
      <c r="F564" s="35">
        <v>28554000</v>
      </c>
      <c r="G564" s="35">
        <v>2666000</v>
      </c>
      <c r="H564" s="35">
        <v>-922000</v>
      </c>
      <c r="I564" s="22"/>
      <c r="J564" s="22"/>
      <c r="K564" s="22"/>
      <c r="L564" s="22"/>
      <c r="M564" s="22"/>
      <c r="N564" s="21"/>
      <c r="O564" s="21"/>
      <c r="P564" s="21"/>
      <c r="Q564" s="21" t="str">
        <f t="shared" si="326"/>
        <v>PEG2017ASSETS</v>
      </c>
      <c r="R564" s="61">
        <f t="shared" si="325"/>
        <v>0.66846146642944093</v>
      </c>
      <c r="S564" s="62">
        <f>SUMIF('FERC Form 1_2 Data'!$C$11:$C$179,$A551,'FERC Form 1_2 Data'!$EV$11:$EV$179)/(SUMIF('FERC Form 1_2 Data'!$C$11:$C$179,$A551,'FERC Form 1_2 Data'!$EZ$11:$EZ$179))</f>
        <v>0.77715996985283575</v>
      </c>
      <c r="T564" s="62">
        <f>SUMIF('FERC Form 1_2 Data'!$C$11:$C$179,$A551,'FERC Form 1_2 Data'!$EW$11:$EW$179)/(SUMIF('FERC Form 1_2 Data'!$C$11:$C$179,$A551,'FERC Form 1_2 Data'!$EZ$11:$EZ$179))</f>
        <v>0.2228400301471643</v>
      </c>
      <c r="U564" s="63">
        <f t="shared" si="327"/>
        <v>0.51950149309808669</v>
      </c>
      <c r="V564" s="63">
        <f t="shared" si="327"/>
        <v>0.14895997333135427</v>
      </c>
      <c r="W564" s="63"/>
      <c r="X564" s="63"/>
    </row>
    <row r="568" spans="1:40" x14ac:dyDescent="0.2">
      <c r="A568" s="18" t="s">
        <v>285</v>
      </c>
      <c r="B568" s="19"/>
      <c r="C568" s="20"/>
      <c r="D568" s="21"/>
      <c r="E568" s="33"/>
      <c r="F568" s="33"/>
      <c r="G568" s="33"/>
      <c r="H568" s="33"/>
      <c r="I568" s="33"/>
      <c r="J568" s="33"/>
      <c r="K568" s="33"/>
      <c r="L568" s="33"/>
      <c r="M568" s="22"/>
      <c r="N568" s="21"/>
      <c r="O568" s="21"/>
      <c r="P568" s="21"/>
      <c r="Q568" s="21"/>
      <c r="R568" s="21"/>
    </row>
    <row r="569" spans="1:40" x14ac:dyDescent="0.2">
      <c r="A569" s="21" t="s">
        <v>286</v>
      </c>
      <c r="B569" s="19"/>
      <c r="C569" s="20"/>
      <c r="D569" s="20"/>
      <c r="E569" s="51"/>
      <c r="F569" s="51"/>
      <c r="G569" s="51"/>
      <c r="H569" s="51"/>
      <c r="I569" s="51"/>
      <c r="J569" s="51"/>
      <c r="K569" s="51"/>
      <c r="L569" s="51"/>
      <c r="M569" s="22"/>
      <c r="N569" s="21"/>
      <c r="O569" s="21"/>
      <c r="P569" s="21"/>
      <c r="Q569" s="21"/>
      <c r="R569" s="21"/>
    </row>
    <row r="570" spans="1:40" ht="63.75" x14ac:dyDescent="0.2">
      <c r="A570" s="18" t="s">
        <v>287</v>
      </c>
      <c r="B570" s="19" t="s">
        <v>223</v>
      </c>
      <c r="C570" s="20"/>
      <c r="D570" s="20" t="s">
        <v>75</v>
      </c>
      <c r="E570" s="35" t="s">
        <v>288</v>
      </c>
      <c r="F570" s="35" t="s">
        <v>289</v>
      </c>
      <c r="G570" s="27" t="s">
        <v>290</v>
      </c>
      <c r="H570" s="102" t="s">
        <v>291</v>
      </c>
      <c r="I570" s="35" t="s">
        <v>292</v>
      </c>
      <c r="J570" s="35" t="s">
        <v>293</v>
      </c>
      <c r="K570" s="35" t="s">
        <v>225</v>
      </c>
      <c r="L570" s="35" t="s">
        <v>294</v>
      </c>
      <c r="M570" s="35" t="s">
        <v>295</v>
      </c>
      <c r="N570" s="81" t="s">
        <v>93</v>
      </c>
      <c r="O570" s="21"/>
      <c r="P570" s="21"/>
      <c r="Q570" s="29"/>
      <c r="R570" s="30" t="s">
        <v>77</v>
      </c>
      <c r="S570" s="59" t="s">
        <v>78</v>
      </c>
      <c r="T570" s="59" t="s">
        <v>79</v>
      </c>
      <c r="U570" s="59" t="s">
        <v>80</v>
      </c>
      <c r="V570" s="59" t="s">
        <v>81</v>
      </c>
      <c r="W570" s="60"/>
      <c r="X570" s="60"/>
      <c r="Z570" s="30" t="s">
        <v>296</v>
      </c>
      <c r="AA570" s="30" t="s">
        <v>297</v>
      </c>
      <c r="AB570" s="30" t="s">
        <v>298</v>
      </c>
      <c r="AC570" s="30" t="s">
        <v>299</v>
      </c>
      <c r="AD570" s="30" t="s">
        <v>300</v>
      </c>
      <c r="AE570" s="30" t="s">
        <v>301</v>
      </c>
      <c r="AF570" s="30" t="s">
        <v>302</v>
      </c>
      <c r="AG570" s="30" t="s">
        <v>299</v>
      </c>
      <c r="AH570" s="30" t="s">
        <v>300</v>
      </c>
      <c r="AI570" s="30" t="s">
        <v>303</v>
      </c>
      <c r="AJ570" s="30" t="s">
        <v>304</v>
      </c>
      <c r="AK570" s="30" t="s">
        <v>299</v>
      </c>
      <c r="AL570" s="30" t="s">
        <v>300</v>
      </c>
      <c r="AM570" s="30" t="s">
        <v>303</v>
      </c>
      <c r="AN570" s="30" t="s">
        <v>304</v>
      </c>
    </row>
    <row r="571" spans="1:40" x14ac:dyDescent="0.2">
      <c r="A571" s="21"/>
      <c r="B571" s="19"/>
      <c r="C571" s="139">
        <v>2019</v>
      </c>
      <c r="D571" s="32">
        <f>SUM(E571:M571)</f>
        <v>14317467.5</v>
      </c>
      <c r="E571" s="35">
        <v>4925000</v>
      </c>
      <c r="F571" s="35">
        <v>4525000</v>
      </c>
      <c r="G571" s="40">
        <f>0.8025*4347000</f>
        <v>3488467.5</v>
      </c>
      <c r="H571" s="35">
        <v>1375000</v>
      </c>
      <c r="I571" s="35">
        <v>10000</v>
      </c>
      <c r="J571" s="35">
        <v>410000</v>
      </c>
      <c r="K571" s="35">
        <v>3000</v>
      </c>
      <c r="L571" s="35">
        <v>-3000</v>
      </c>
      <c r="M571" s="35">
        <v>-416000</v>
      </c>
      <c r="N571" s="158"/>
      <c r="O571" s="21"/>
      <c r="P571" s="21"/>
      <c r="Q571" s="21" t="str">
        <f>$A$570&amp;C571&amp;"REV"</f>
        <v>SRE2019REV</v>
      </c>
      <c r="R571" s="61">
        <f>IF(SUM(E571:F571)/D571&gt;1,1,SUM(E571:F571)/D571)</f>
        <v>0.66003292830942339</v>
      </c>
      <c r="S571" s="62">
        <f>E571*AC571/SUM($E571:$F571)</f>
        <v>0.45153439153439151</v>
      </c>
      <c r="T571" s="62">
        <f>(E571*AD571+F571)/SUM($E571:$F571)</f>
        <v>0.54846560846560843</v>
      </c>
      <c r="U571" s="63">
        <f>IF(OR(ISBLANK($R571),ISBLANK(S571)),"NA",$R571*S571)</f>
        <v>0.29802756667685815</v>
      </c>
      <c r="V571" s="63">
        <f>IF(OR(ISBLANK($R571),ISBLANK(T571)),"NA",$R571*T571)</f>
        <v>0.36200536163256519</v>
      </c>
      <c r="W571" s="63"/>
      <c r="X571" s="63"/>
      <c r="Z571" s="139">
        <v>2019</v>
      </c>
      <c r="AA571" s="21">
        <v>4267</v>
      </c>
      <c r="AB571" s="21">
        <v>658</v>
      </c>
      <c r="AC571" s="159">
        <f t="shared" ref="AC571:AD573" si="328">AA571/($AA571+$AB571)</f>
        <v>0.86639593908629442</v>
      </c>
      <c r="AD571" s="159">
        <f t="shared" si="328"/>
        <v>0.13360406091370558</v>
      </c>
      <c r="AE571" s="21">
        <v>1194</v>
      </c>
      <c r="AF571" s="21">
        <v>176</v>
      </c>
      <c r="AG571" s="159">
        <f t="shared" ref="AG571:AH573" si="329">AE571/($AE571+$AF571)</f>
        <v>0.87153284671532849</v>
      </c>
      <c r="AH571" s="159">
        <f t="shared" si="329"/>
        <v>0.12846715328467154</v>
      </c>
      <c r="AI571" s="160">
        <f t="shared" ref="AI571:AJ573" si="330">(AA571-AE571)/($AA571-$AE571+$AB571-$AF571)</f>
        <v>0.86441631504922645</v>
      </c>
      <c r="AJ571" s="160">
        <f t="shared" si="330"/>
        <v>0.13558368495077355</v>
      </c>
      <c r="AK571" s="159">
        <f>AI571/($AI571+$AJ571)</f>
        <v>0.86441631504922645</v>
      </c>
      <c r="AL571" s="159">
        <f>AJ571/($AI571+$AJ571)</f>
        <v>0.13558368495077355</v>
      </c>
      <c r="AM571" s="160">
        <f>(AE571-AI571)/($AE571-$AI571+$AF571-$AJ571)</f>
        <v>0.87153804505840082</v>
      </c>
      <c r="AN571" s="160">
        <f>(AF571-AJ571)/($AE571-$AI571+$AF571-$AJ571)</f>
        <v>0.12846195494159915</v>
      </c>
    </row>
    <row r="572" spans="1:40" x14ac:dyDescent="0.2">
      <c r="A572" s="21"/>
      <c r="B572" s="19" t="s">
        <v>82</v>
      </c>
      <c r="C572" s="139">
        <v>2018</v>
      </c>
      <c r="D572" s="32">
        <f t="shared" ref="D572:D581" si="331">SUM(E572:M572)</f>
        <v>13393052.5</v>
      </c>
      <c r="E572" s="35">
        <v>4568000</v>
      </c>
      <c r="F572" s="35">
        <v>3962000</v>
      </c>
      <c r="G572" s="40">
        <f>0.8025*4101000</f>
        <v>3291052.5</v>
      </c>
      <c r="H572" s="35">
        <v>1376000</v>
      </c>
      <c r="I572" s="35">
        <v>124000</v>
      </c>
      <c r="J572" s="35">
        <v>472000</v>
      </c>
      <c r="K572" s="35">
        <v>0</v>
      </c>
      <c r="L572" s="35">
        <v>-3000</v>
      </c>
      <c r="M572" s="35">
        <v>-397000</v>
      </c>
      <c r="N572" s="161"/>
      <c r="O572" s="21"/>
      <c r="P572" s="21"/>
      <c r="Q572" s="21" t="str">
        <f t="shared" ref="Q572:Q573" si="332">$A$570&amp;C572&amp;"REV"</f>
        <v>SRE2018REV</v>
      </c>
      <c r="R572" s="61">
        <f>IF(SUM(E572:F572)/D572&gt;1,1,SUM(E572:F572)/D572)</f>
        <v>0.63689737645693545</v>
      </c>
      <c r="S572" s="62">
        <f>E572*AC572/SUM($E572:$F572)</f>
        <v>0.469284876905041</v>
      </c>
      <c r="T572" s="62">
        <f>(E572*AD572+F572)/SUM($E572:$F572)</f>
        <v>0.53071512309495894</v>
      </c>
      <c r="U572" s="63">
        <f t="shared" ref="U572:V573" si="333">IF(OR(ISBLANK($R572),ISBLANK(S572)),"NA",$R572*S572)</f>
        <v>0.29888630691173651</v>
      </c>
      <c r="V572" s="63">
        <f t="shared" si="333"/>
        <v>0.33801106954519888</v>
      </c>
      <c r="W572" s="63"/>
      <c r="X572" s="63"/>
      <c r="Z572" s="139">
        <v>2018</v>
      </c>
      <c r="AA572" s="21">
        <v>4003</v>
      </c>
      <c r="AB572" s="21">
        <v>565</v>
      </c>
      <c r="AC572" s="159">
        <f t="shared" si="328"/>
        <v>0.87631348511383533</v>
      </c>
      <c r="AD572" s="159">
        <f t="shared" si="328"/>
        <v>0.12368651488616463</v>
      </c>
      <c r="AE572" s="21">
        <v>1370</v>
      </c>
      <c r="AF572" s="21">
        <v>152</v>
      </c>
      <c r="AG572" s="159">
        <f t="shared" si="329"/>
        <v>0.90013140604467801</v>
      </c>
      <c r="AH572" s="159">
        <f t="shared" si="329"/>
        <v>9.9868593955321938E-2</v>
      </c>
      <c r="AI572" s="160">
        <f t="shared" si="330"/>
        <v>0.86441234405778067</v>
      </c>
      <c r="AJ572" s="160">
        <f t="shared" si="330"/>
        <v>0.1355876559422193</v>
      </c>
      <c r="AK572" s="159">
        <f>AI572/($AI572+$AJ572)</f>
        <v>0.86441234405778067</v>
      </c>
      <c r="AL572" s="159">
        <f>AJ572/($AI572+$AJ572)</f>
        <v>0.1355876559422193</v>
      </c>
      <c r="AM572" s="160">
        <f>(AE572-AI572)/($AE572-$AI572+$AF572-$AJ572)</f>
        <v>0.90015488997760817</v>
      </c>
      <c r="AN572" s="160">
        <f>(AF572-AJ572)/($AE572-$AI572+$AF572-$AJ572)</f>
        <v>9.98451100223917E-2</v>
      </c>
    </row>
    <row r="573" spans="1:40" x14ac:dyDescent="0.2">
      <c r="A573" s="21"/>
      <c r="B573" s="19"/>
      <c r="C573" s="139">
        <v>2017</v>
      </c>
      <c r="D573" s="32">
        <f t="shared" si="331"/>
        <v>12816295</v>
      </c>
      <c r="E573" s="35">
        <v>4476000</v>
      </c>
      <c r="F573" s="35">
        <v>3785000</v>
      </c>
      <c r="G573" s="40">
        <f>0.8025*3958000</f>
        <v>3176295</v>
      </c>
      <c r="H573" s="35">
        <v>1196000</v>
      </c>
      <c r="I573" s="35">
        <v>94000</v>
      </c>
      <c r="J573" s="35">
        <v>540000</v>
      </c>
      <c r="K573" s="35">
        <v>0</v>
      </c>
      <c r="L573" s="35">
        <v>-1000</v>
      </c>
      <c r="M573" s="35">
        <v>-450000</v>
      </c>
      <c r="N573" s="158"/>
      <c r="O573" s="21"/>
      <c r="P573" s="21"/>
      <c r="Q573" s="21" t="str">
        <f t="shared" si="332"/>
        <v>SRE2017REV</v>
      </c>
      <c r="R573" s="61">
        <f>IF(SUM(E573:F573)/D573&gt;1,1,SUM(E573:F573)/D573)</f>
        <v>0.64457005710308635</v>
      </c>
      <c r="S573" s="62">
        <f>E573*AC573/SUM($E573:$F573)</f>
        <v>0.47720083339257774</v>
      </c>
      <c r="T573" s="62">
        <f>(E573*AD573+F573)/SUM($E573:$F573)</f>
        <v>0.52279916660742221</v>
      </c>
      <c r="U573" s="63">
        <f t="shared" si="333"/>
        <v>0.30758936842949425</v>
      </c>
      <c r="V573" s="63">
        <f t="shared" si="333"/>
        <v>0.3369806886735921</v>
      </c>
      <c r="W573" s="63">
        <f>AVERAGE(T571:T573)</f>
        <v>0.53399329938932982</v>
      </c>
      <c r="X573" s="63"/>
      <c r="Z573" s="139">
        <v>2017</v>
      </c>
      <c r="AA573" s="23">
        <v>3995</v>
      </c>
      <c r="AB573" s="23">
        <v>541</v>
      </c>
      <c r="AC573" s="159">
        <f t="shared" si="328"/>
        <v>0.88073192239858911</v>
      </c>
      <c r="AD573" s="159">
        <f t="shared" si="328"/>
        <v>0.11926807760141094</v>
      </c>
      <c r="AE573" s="23">
        <v>1293</v>
      </c>
      <c r="AF573" s="23">
        <v>164</v>
      </c>
      <c r="AG573" s="159">
        <f t="shared" si="329"/>
        <v>0.88743994509265611</v>
      </c>
      <c r="AH573" s="159">
        <f t="shared" si="329"/>
        <v>0.11256005490734386</v>
      </c>
      <c r="AI573" s="160">
        <f t="shared" si="330"/>
        <v>0.87755764858720364</v>
      </c>
      <c r="AJ573" s="160">
        <f t="shared" si="330"/>
        <v>0.12244235141279636</v>
      </c>
      <c r="AK573" s="159">
        <f t="shared" ref="AK573:AL573" si="334">AI573/($AI573+$AJ573)</f>
        <v>0.87755764858720364</v>
      </c>
      <c r="AL573" s="159">
        <f t="shared" si="334"/>
        <v>0.12244235141279636</v>
      </c>
      <c r="AM573" s="160">
        <f t="shared" ref="AM573:AN573" si="335">(AE573-AI573)/($AE573-$AI573+$AF573-$AJ573)</f>
        <v>0.88744673238421201</v>
      </c>
      <c r="AN573" s="160">
        <f t="shared" si="335"/>
        <v>0.11255326761578792</v>
      </c>
    </row>
    <row r="574" spans="1:40" x14ac:dyDescent="0.2">
      <c r="A574" s="21"/>
      <c r="B574" s="19"/>
      <c r="C574" s="20"/>
      <c r="D574" s="32"/>
      <c r="E574" s="33"/>
      <c r="F574" s="33"/>
      <c r="G574" s="38"/>
      <c r="H574" s="33"/>
      <c r="I574" s="33"/>
      <c r="J574" s="33"/>
      <c r="K574" s="33"/>
      <c r="L574" s="33"/>
      <c r="M574" s="33"/>
      <c r="N574" s="158"/>
      <c r="O574" s="21"/>
      <c r="P574" s="21"/>
      <c r="Q574" s="21"/>
      <c r="R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</row>
    <row r="575" spans="1:40" x14ac:dyDescent="0.2">
      <c r="A575" s="21"/>
      <c r="B575" s="19"/>
      <c r="C575" s="139">
        <v>2019</v>
      </c>
      <c r="D575" s="32">
        <f t="shared" si="331"/>
        <v>3365885</v>
      </c>
      <c r="E575" s="33">
        <f>(767+171+411-4)*1000</f>
        <v>1345000</v>
      </c>
      <c r="F575" s="33">
        <f>(641+120+141-2)*1000</f>
        <v>900000</v>
      </c>
      <c r="G575" s="38">
        <f>0.8025*1074000</f>
        <v>861885</v>
      </c>
      <c r="H575" s="33">
        <f>(253+227+119-78)*1000</f>
        <v>521000</v>
      </c>
      <c r="I575" s="33">
        <f>(59+4+3-11)*1000</f>
        <v>55000</v>
      </c>
      <c r="J575" s="33">
        <f>(-6+-5+35-61)*1000</f>
        <v>-37000</v>
      </c>
      <c r="K575" s="33">
        <f>(-515+-202+450-4)*1000</f>
        <v>-271000</v>
      </c>
      <c r="L575" s="33">
        <v>0</v>
      </c>
      <c r="M575" s="33">
        <f>(-82-(-73))*1000</f>
        <v>-9000</v>
      </c>
      <c r="N575" s="158">
        <v>328000</v>
      </c>
      <c r="O575" s="21"/>
      <c r="P575" s="21"/>
      <c r="Q575" s="21" t="str">
        <f>$A$570&amp;C575&amp;"INC"</f>
        <v>SRE2019INC</v>
      </c>
      <c r="R575" s="61">
        <f>IF(SUM(E575:F575)/D575&gt;1,1,SUM(E575:F575)/D575)</f>
        <v>0.66698654291516202</v>
      </c>
      <c r="S575" s="62">
        <f>E575*AI571/SUM($E575:$F575)</f>
        <v>0.51787970767982605</v>
      </c>
      <c r="T575" s="62">
        <f>(E575*AJ571+F575)/SUM($E575:$F575)</f>
        <v>0.48212029232017389</v>
      </c>
      <c r="U575" s="63">
        <f>IF(OR(ISBLANK($R575),ISBLANK(S575)),"NA",$R575*S575)</f>
        <v>0.34541879587128188</v>
      </c>
      <c r="V575" s="63">
        <f>IF(OR(ISBLANK($R575),ISBLANK(T575)),"NA",$R575*T575)</f>
        <v>0.32156774704388014</v>
      </c>
      <c r="W575" s="63"/>
      <c r="X575" s="63"/>
      <c r="Z575" s="126" t="s">
        <v>305</v>
      </c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</row>
    <row r="576" spans="1:40" x14ac:dyDescent="0.2">
      <c r="A576" s="21"/>
      <c r="B576" s="19" t="s">
        <v>83</v>
      </c>
      <c r="C576" s="139">
        <v>2018</v>
      </c>
      <c r="D576" s="32">
        <f t="shared" si="331"/>
        <v>1907362.5</v>
      </c>
      <c r="E576" s="33">
        <f>(669+173+221-4)*1000</f>
        <v>1059000</v>
      </c>
      <c r="F576" s="33">
        <f>(400+92+115-2)*1000</f>
        <v>605000</v>
      </c>
      <c r="G576" s="38">
        <f>0.8025*945000</f>
        <v>758362.5</v>
      </c>
      <c r="H576" s="33">
        <f>(237+185+120-65)*1000</f>
        <v>477000</v>
      </c>
      <c r="I576" s="33">
        <f>(328+71+19-12)*1000</f>
        <v>406000</v>
      </c>
      <c r="J576" s="33">
        <f>(-617+-435+21-49)*1000</f>
        <v>-1080000</v>
      </c>
      <c r="K576" s="33">
        <f>(-620+-135+496-14)*1000</f>
        <v>-273000</v>
      </c>
      <c r="L576" s="33">
        <v>0</v>
      </c>
      <c r="M576" s="33">
        <f>(-106-(-61))*1000</f>
        <v>-45000</v>
      </c>
      <c r="N576" s="158">
        <v>156000</v>
      </c>
      <c r="O576" s="21"/>
      <c r="P576" s="21"/>
      <c r="Q576" s="21" t="str">
        <f>$A$570&amp;C576&amp;"INC"</f>
        <v>SRE2018INC</v>
      </c>
      <c r="R576" s="61">
        <f>IF(SUM(E576:F576)/D576&gt;1,1,SUM(E576:F576)/D576)</f>
        <v>0.87240888923841164</v>
      </c>
      <c r="S576" s="62">
        <f>E576*AI572/SUM($E576:$F576)</f>
        <v>0.55012780790696492</v>
      </c>
      <c r="T576" s="62">
        <f>(E576*AJ572+F576)/SUM($E576:$F576)</f>
        <v>0.44987219209303503</v>
      </c>
      <c r="U576" s="63">
        <f t="shared" ref="U576:V577" si="336">IF(OR(ISBLANK($R576),ISBLANK(S576)),"NA",$R576*S576)</f>
        <v>0.47993638983527753</v>
      </c>
      <c r="V576" s="63">
        <f t="shared" si="336"/>
        <v>0.39247249940313406</v>
      </c>
      <c r="W576" s="63"/>
      <c r="X576" s="63"/>
    </row>
    <row r="577" spans="1:26" x14ac:dyDescent="0.2">
      <c r="A577" s="21"/>
      <c r="B577" s="19"/>
      <c r="C577" s="139">
        <v>2017</v>
      </c>
      <c r="D577" s="32">
        <f t="shared" si="331"/>
        <v>2498420</v>
      </c>
      <c r="E577" s="35">
        <f>(407+155+203-0)*1000</f>
        <v>765000</v>
      </c>
      <c r="F577" s="35">
        <f>(396+160+102-1)*1000</f>
        <v>657000</v>
      </c>
      <c r="G577" s="36">
        <f>0.8025*808000</f>
        <v>648420</v>
      </c>
      <c r="H577" s="35">
        <f>(169+227+97-23)*1000</f>
        <v>470000</v>
      </c>
      <c r="I577" s="35">
        <f>(252+(-226)+15-7)*1000</f>
        <v>34000</v>
      </c>
      <c r="J577" s="35">
        <f>(150+-119+39-56)*1000</f>
        <v>14000</v>
      </c>
      <c r="K577" s="35">
        <f>(-1060+741+284-0)*1000</f>
        <v>-35000</v>
      </c>
      <c r="L577" s="35">
        <v>0</v>
      </c>
      <c r="M577" s="35">
        <f>(-118-(-63))*1000</f>
        <v>-55000</v>
      </c>
      <c r="N577" s="162">
        <v>-58000</v>
      </c>
      <c r="O577" s="21"/>
      <c r="P577" s="21"/>
      <c r="Q577" s="21" t="str">
        <f>$A$570&amp;C577&amp;"INC"</f>
        <v>SRE2017INC</v>
      </c>
      <c r="R577" s="61">
        <f>IF(SUM(E577:F577)/D577&gt;1,1,SUM(E577:F577)/D577)</f>
        <v>0.56915970893604761</v>
      </c>
      <c r="S577" s="62">
        <f>E577*AI573/SUM($E577:$F577)</f>
        <v>0.47210379829058419</v>
      </c>
      <c r="T577" s="62">
        <f>(E577*AJ573+F577)/SUM($E577:$F577)</f>
        <v>0.52789620170941576</v>
      </c>
      <c r="U577" s="63">
        <f t="shared" si="336"/>
        <v>0.26870246042267143</v>
      </c>
      <c r="V577" s="63">
        <f t="shared" si="336"/>
        <v>0.30045724851337613</v>
      </c>
      <c r="W577" s="63">
        <f>AVERAGE(T575:T577)</f>
        <v>0.48662956204087493</v>
      </c>
      <c r="X577" s="63"/>
    </row>
    <row r="578" spans="1:26" x14ac:dyDescent="0.2">
      <c r="A578" s="21"/>
      <c r="B578" s="19"/>
      <c r="C578" s="20"/>
      <c r="D578" s="32"/>
      <c r="E578" s="33"/>
      <c r="F578" s="33"/>
      <c r="G578" s="38"/>
      <c r="H578" s="33"/>
      <c r="I578" s="33"/>
      <c r="J578" s="33"/>
      <c r="K578" s="33"/>
      <c r="L578" s="33"/>
      <c r="M578" s="33"/>
      <c r="N578" s="162"/>
      <c r="O578" s="163"/>
      <c r="P578" s="21"/>
      <c r="Q578" s="21"/>
      <c r="R578" s="21"/>
    </row>
    <row r="579" spans="1:26" x14ac:dyDescent="0.2">
      <c r="A579" s="21"/>
      <c r="B579" s="19"/>
      <c r="C579" s="139">
        <v>2019</v>
      </c>
      <c r="D579" s="32">
        <f t="shared" si="331"/>
        <v>71695312.5</v>
      </c>
      <c r="E579" s="33">
        <v>20560000</v>
      </c>
      <c r="F579" s="33">
        <v>17077000</v>
      </c>
      <c r="G579" s="38">
        <f>0.8025*26925000</f>
        <v>21607312.5</v>
      </c>
      <c r="H579" s="33">
        <v>9938000</v>
      </c>
      <c r="I579" s="33">
        <v>0</v>
      </c>
      <c r="J579" s="33">
        <v>3901000</v>
      </c>
      <c r="K579" s="33">
        <v>749000</v>
      </c>
      <c r="L579" s="33">
        <v>0</v>
      </c>
      <c r="M579" s="33">
        <v>-2137000</v>
      </c>
      <c r="N579" s="158">
        <v>3958000</v>
      </c>
      <c r="O579" s="163"/>
      <c r="P579" s="21"/>
      <c r="Q579" s="21" t="str">
        <f>$A$570&amp;C579&amp;"ASSETS"</f>
        <v>SRE2019ASSETS</v>
      </c>
      <c r="R579" s="61">
        <f>IF(SUM(E579:G579)/D579&gt;1,1,SUM(E579:G579)/D579)</f>
        <v>0.82633453198212925</v>
      </c>
      <c r="S579" s="62">
        <f>SUM(E579,G579)*AC571/SUM($E579:$G579)</f>
        <v>0.6166598407599504</v>
      </c>
      <c r="T579" s="62">
        <f>(E579*AD571+F579)/SUM($E579:$F579)</f>
        <v>0.52671306141259366</v>
      </c>
      <c r="U579" s="63">
        <f>IF(OR(ISBLANK($R579),ISBLANK(S579)),"NA",$R579*S579)</f>
        <v>0.50956732090654799</v>
      </c>
      <c r="V579" s="63">
        <f>IF(OR(ISBLANK($R579),ISBLANK(T579)),"NA",$R579*T579)</f>
        <v>0.43524119109125009</v>
      </c>
      <c r="W579" s="63"/>
      <c r="X579" s="63"/>
    </row>
    <row r="580" spans="1:26" x14ac:dyDescent="0.2">
      <c r="A580" s="21"/>
      <c r="B580" s="19" t="s">
        <v>84</v>
      </c>
      <c r="C580" s="139">
        <v>2018</v>
      </c>
      <c r="D580" s="32">
        <f t="shared" si="331"/>
        <v>65526480</v>
      </c>
      <c r="E580" s="33">
        <v>19225000</v>
      </c>
      <c r="F580" s="33">
        <v>15389000</v>
      </c>
      <c r="G580" s="38">
        <f>0.8025*22752000</f>
        <v>18258480</v>
      </c>
      <c r="H580" s="33">
        <v>9165000</v>
      </c>
      <c r="I580" s="33">
        <v>2549000</v>
      </c>
      <c r="J580" s="33">
        <v>4060000</v>
      </c>
      <c r="K580" s="33">
        <v>1070000</v>
      </c>
      <c r="L580" s="27">
        <v>0</v>
      </c>
      <c r="M580" s="33">
        <v>-4190000</v>
      </c>
      <c r="N580" s="158">
        <v>3718000</v>
      </c>
      <c r="O580" s="21"/>
      <c r="P580" s="21"/>
      <c r="Q580" s="21" t="str">
        <f t="shared" ref="Q580:Q581" si="337">$A$570&amp;C580&amp;"ASSETS"</f>
        <v>SRE2018ASSETS</v>
      </c>
      <c r="R580" s="61">
        <f>IF(SUM(E580:F580)/D580&gt;1,1,SUM(E580:F580)/D580)</f>
        <v>0.52824445933918629</v>
      </c>
      <c r="S580" s="62">
        <f>E580*AC572/SUM($E580:$F580)</f>
        <v>0.48671424138537833</v>
      </c>
      <c r="T580" s="62">
        <f>(E580*AD572+F580)/SUM($E580:$F580)</f>
        <v>0.51328575861462167</v>
      </c>
      <c r="U580" s="63">
        <f t="shared" ref="U580:V581" si="338">IF(OR(ISBLANK($R580),ISBLANK(S580)),"NA",$R580*S580)</f>
        <v>0.25710410129330141</v>
      </c>
      <c r="V580" s="63">
        <f t="shared" si="338"/>
        <v>0.27114035804588488</v>
      </c>
      <c r="W580" s="63"/>
      <c r="X580" s="63"/>
    </row>
    <row r="581" spans="1:26" x14ac:dyDescent="0.2">
      <c r="A581" s="21"/>
      <c r="B581" s="21"/>
      <c r="C581" s="139">
        <v>2017</v>
      </c>
      <c r="D581" s="32">
        <f t="shared" si="331"/>
        <v>46893000</v>
      </c>
      <c r="E581" s="35">
        <v>17844000</v>
      </c>
      <c r="F581" s="35">
        <v>14159000</v>
      </c>
      <c r="G581" s="36">
        <v>0</v>
      </c>
      <c r="H581" s="35">
        <v>8554000</v>
      </c>
      <c r="I581" s="35">
        <v>2898000</v>
      </c>
      <c r="J581" s="35">
        <v>4872000</v>
      </c>
      <c r="K581" s="35">
        <v>1351000</v>
      </c>
      <c r="L581" s="35">
        <v>0</v>
      </c>
      <c r="M581" s="35">
        <v>-2785000</v>
      </c>
      <c r="N581" s="164">
        <v>3561000</v>
      </c>
      <c r="O581" s="21"/>
      <c r="P581" s="21"/>
      <c r="Q581" s="21" t="str">
        <f t="shared" si="337"/>
        <v>SRE2017ASSETS</v>
      </c>
      <c r="R581" s="61">
        <f>IF(SUM(E581:F581)/D581&gt;1,1,SUM(E581:F581)/D581)</f>
        <v>0.6824685987247564</v>
      </c>
      <c r="S581" s="62">
        <f>E581*AC573/SUM($E581:$F581)</f>
        <v>0.49107210021811781</v>
      </c>
      <c r="T581" s="62">
        <f>(E581*AD573+F581)/SUM($E581:$F581)</f>
        <v>0.50892789978188224</v>
      </c>
      <c r="U581" s="63">
        <f t="shared" si="338"/>
        <v>0.33514128810868199</v>
      </c>
      <c r="V581" s="63">
        <f t="shared" si="338"/>
        <v>0.34732731061607441</v>
      </c>
      <c r="W581" s="63"/>
      <c r="X581" s="63"/>
    </row>
    <row r="582" spans="1:26" x14ac:dyDescent="0.2">
      <c r="D582" s="76"/>
      <c r="E582" s="165"/>
      <c r="F582" s="165"/>
    </row>
    <row r="585" spans="1:26" x14ac:dyDescent="0.2">
      <c r="A585" s="18" t="s">
        <v>306</v>
      </c>
      <c r="B585" s="19"/>
      <c r="C585" s="20"/>
      <c r="D585" s="21"/>
      <c r="E585" s="33"/>
      <c r="F585" s="33"/>
      <c r="G585" s="33"/>
      <c r="H585" s="33"/>
      <c r="I585" s="33"/>
      <c r="J585" s="33"/>
      <c r="K585" s="22"/>
      <c r="L585" s="22"/>
      <c r="M585" s="22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6" x14ac:dyDescent="0.2">
      <c r="A586" s="21" t="s">
        <v>307</v>
      </c>
      <c r="B586" s="19"/>
      <c r="C586" s="20"/>
      <c r="D586" s="21"/>
      <c r="E586" s="33"/>
      <c r="F586" s="33"/>
      <c r="G586" s="33"/>
      <c r="H586" s="33"/>
      <c r="I586" s="33"/>
      <c r="J586" s="33"/>
      <c r="K586" s="22"/>
      <c r="L586" s="22"/>
      <c r="M586" s="22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6" ht="63.75" x14ac:dyDescent="0.2">
      <c r="A587" s="18" t="s">
        <v>308</v>
      </c>
      <c r="B587" s="19" t="s">
        <v>223</v>
      </c>
      <c r="C587" s="20"/>
      <c r="D587" s="31" t="s">
        <v>75</v>
      </c>
      <c r="E587" s="35" t="s">
        <v>309</v>
      </c>
      <c r="F587" s="35" t="s">
        <v>310</v>
      </c>
      <c r="G587" s="35" t="s">
        <v>76</v>
      </c>
      <c r="H587" s="35" t="s">
        <v>311</v>
      </c>
      <c r="I587" s="35" t="s">
        <v>225</v>
      </c>
      <c r="J587" s="35" t="s">
        <v>76</v>
      </c>
      <c r="K587" s="22"/>
      <c r="L587" s="22"/>
      <c r="M587" s="22"/>
      <c r="N587" s="21"/>
      <c r="O587" s="21"/>
      <c r="P587" s="21"/>
      <c r="Q587" s="29"/>
      <c r="R587" s="30" t="s">
        <v>77</v>
      </c>
      <c r="S587" s="30" t="s">
        <v>78</v>
      </c>
      <c r="T587" s="30" t="s">
        <v>79</v>
      </c>
      <c r="U587" s="30" t="s">
        <v>80</v>
      </c>
      <c r="V587" s="30" t="s">
        <v>81</v>
      </c>
      <c r="W587" s="31"/>
      <c r="X587" s="31"/>
    </row>
    <row r="588" spans="1:26" x14ac:dyDescent="0.2">
      <c r="A588" s="21"/>
      <c r="B588" s="19"/>
      <c r="C588" s="139">
        <v>2019</v>
      </c>
      <c r="D588" s="32">
        <f>SUM(E588:J588)</f>
        <v>21419000</v>
      </c>
      <c r="E588" s="35">
        <v>15569000</v>
      </c>
      <c r="F588" s="35">
        <v>1938000</v>
      </c>
      <c r="G588" s="35">
        <v>-412000</v>
      </c>
      <c r="H588" s="35">
        <v>3792000</v>
      </c>
      <c r="I588" s="35">
        <v>690000</v>
      </c>
      <c r="J588" s="35">
        <v>-158000</v>
      </c>
      <c r="K588" s="22"/>
      <c r="L588" s="22"/>
      <c r="M588" s="22"/>
      <c r="N588" s="21"/>
      <c r="O588" s="21"/>
      <c r="P588" s="21"/>
      <c r="Q588" s="21" t="str">
        <f>$A$587&amp;C588&amp;"REV"</f>
        <v>SO2019REV</v>
      </c>
      <c r="R588" s="61">
        <f>IF((E588+H588)/D588&gt;1,1,(E588+H588)/D588)</f>
        <v>0.90391708296372375</v>
      </c>
      <c r="S588" s="61">
        <f>E588/(E588+H588)</f>
        <v>0.80414234801921392</v>
      </c>
      <c r="T588" s="61">
        <f>H588/(E588+H588)</f>
        <v>0.19585765198078611</v>
      </c>
      <c r="U588" s="34">
        <f>IF(OR(ISBLANK($R588),ISBLANK(S588)),"NA",$R588*S588)</f>
        <v>0.7268780055091274</v>
      </c>
      <c r="V588" s="34">
        <f>IF(OR(ISBLANK($R588),ISBLANK(T588)),"NA",$R588*T588)</f>
        <v>0.17703907745459638</v>
      </c>
      <c r="W588" s="34"/>
      <c r="X588" s="34"/>
    </row>
    <row r="589" spans="1:26" x14ac:dyDescent="0.2">
      <c r="A589" s="21"/>
      <c r="B589" s="19" t="s">
        <v>82</v>
      </c>
      <c r="C589" s="139">
        <v>2018</v>
      </c>
      <c r="D589" s="32">
        <f>SUM(E589:J589)</f>
        <v>23495000</v>
      </c>
      <c r="E589" s="35">
        <v>16843000</v>
      </c>
      <c r="F589" s="35">
        <v>2205000</v>
      </c>
      <c r="G589" s="35">
        <v>-477000</v>
      </c>
      <c r="H589" s="35">
        <v>3909000</v>
      </c>
      <c r="I589" s="35">
        <v>1213000</v>
      </c>
      <c r="J589" s="35">
        <v>-198000</v>
      </c>
      <c r="K589" s="22"/>
      <c r="L589" s="22"/>
      <c r="M589" s="22"/>
      <c r="N589" s="21"/>
      <c r="O589" s="21"/>
      <c r="P589" s="21"/>
      <c r="Q589" s="21" t="str">
        <f t="shared" ref="Q589:Q590" si="339">$A$587&amp;C589&amp;"REV"</f>
        <v>SO2018REV</v>
      </c>
      <c r="R589" s="61">
        <f t="shared" ref="R589:R590" si="340">IF((E589+H589)/D589&gt;1,1,(E589+H589)/D589)</f>
        <v>0.88325175569270054</v>
      </c>
      <c r="S589" s="61">
        <f>E589/(E589+H589)</f>
        <v>0.81163261372397844</v>
      </c>
      <c r="T589" s="61">
        <f>H589/(E589+H589)</f>
        <v>0.18836738627602159</v>
      </c>
      <c r="U589" s="34">
        <f>IF(OR(ISBLANK($R589),ISBLANK(S589)),"NA",$R589*S589)</f>
        <v>0.71687593104915937</v>
      </c>
      <c r="V589" s="34">
        <f>IF(OR(ISBLANK($R589),ISBLANK(T589)),"NA",$R589*T589)</f>
        <v>0.16637582464354117</v>
      </c>
      <c r="W589" s="34"/>
      <c r="X589" s="34"/>
    </row>
    <row r="590" spans="1:26" x14ac:dyDescent="0.2">
      <c r="A590" s="21"/>
      <c r="B590" s="21"/>
      <c r="C590" s="139">
        <v>2017</v>
      </c>
      <c r="D590" s="32">
        <f t="shared" ref="D590" si="341">SUM(E590:J590)</f>
        <v>23031000</v>
      </c>
      <c r="E590" s="35">
        <v>16884000</v>
      </c>
      <c r="F590" s="35">
        <v>2075000</v>
      </c>
      <c r="G590" s="35">
        <v>-419000</v>
      </c>
      <c r="H590" s="35">
        <v>3920000</v>
      </c>
      <c r="I590" s="35">
        <v>741000</v>
      </c>
      <c r="J590" s="35">
        <v>-170000</v>
      </c>
      <c r="K590" s="22"/>
      <c r="L590" s="22"/>
      <c r="M590" s="22"/>
      <c r="N590" s="21"/>
      <c r="O590" s="21"/>
      <c r="P590" s="21"/>
      <c r="Q590" s="21" t="str">
        <f t="shared" si="339"/>
        <v>SO2017REV</v>
      </c>
      <c r="R590" s="61">
        <f t="shared" si="340"/>
        <v>0.9033042421084625</v>
      </c>
      <c r="S590" s="61">
        <f t="shared" ref="S590:S598" si="342">E590/(E590+H590)</f>
        <v>0.81157469717362041</v>
      </c>
      <c r="T590" s="61">
        <f t="shared" ref="T590" si="343">H590/(E590+H590)</f>
        <v>0.18842530282637954</v>
      </c>
      <c r="U590" s="34">
        <f t="shared" ref="U590:V590" si="344">IF(OR(ISBLANK($R590),ISBLANK(S590)),"NA",$R590*S590)</f>
        <v>0.73309886674482216</v>
      </c>
      <c r="V590" s="34">
        <f t="shared" si="344"/>
        <v>0.1702053753636403</v>
      </c>
      <c r="W590" s="63">
        <f>AVERAGE(T588:T590)</f>
        <v>0.19088344702772908</v>
      </c>
      <c r="X590" s="34"/>
    </row>
    <row r="591" spans="1:26" x14ac:dyDescent="0.2">
      <c r="A591" s="21"/>
      <c r="B591" s="19"/>
      <c r="C591" s="20"/>
      <c r="D591" s="21"/>
      <c r="E591" s="33"/>
      <c r="F591" s="33"/>
      <c r="G591" s="33"/>
      <c r="H591" s="33"/>
      <c r="I591" s="33"/>
      <c r="J591" s="33"/>
      <c r="K591" s="22"/>
      <c r="L591" s="22"/>
      <c r="M591" s="22"/>
      <c r="N591" s="21"/>
      <c r="O591" s="21"/>
      <c r="P591" s="21"/>
      <c r="Q591" s="21"/>
      <c r="R591" s="21"/>
      <c r="S591" s="21"/>
      <c r="T591" s="21"/>
      <c r="U591" s="21"/>
      <c r="V591" s="21"/>
      <c r="X591" s="21"/>
      <c r="Z591" s="64"/>
    </row>
    <row r="592" spans="1:26" x14ac:dyDescent="0.2">
      <c r="A592" s="21"/>
      <c r="B592" s="19"/>
      <c r="C592" s="139">
        <v>2019</v>
      </c>
      <c r="D592" s="32">
        <f>SUM(E592:J592)</f>
        <v>8051000</v>
      </c>
      <c r="E592" s="33">
        <f>(2929+764+818-(2)-38)*1000</f>
        <v>4471000</v>
      </c>
      <c r="F592" s="33">
        <f>(339+(-56)+169-3-9)*1000</f>
        <v>440000</v>
      </c>
      <c r="G592" s="35">
        <v>0</v>
      </c>
      <c r="H592" s="33">
        <f>(585+130+232-157-3)*1000</f>
        <v>787000</v>
      </c>
      <c r="I592" s="33">
        <f>(908+960+517-0-16)*1000</f>
        <v>2369000</v>
      </c>
      <c r="J592" s="33">
        <f>(-22+0+0-0-(-6))*1000</f>
        <v>-16000</v>
      </c>
      <c r="K592" s="22"/>
      <c r="L592" s="22"/>
      <c r="M592" s="22"/>
      <c r="N592" s="21"/>
      <c r="O592" s="21"/>
      <c r="P592" s="21"/>
      <c r="Q592" s="21" t="str">
        <f>$A$587&amp;C592&amp;"INC"</f>
        <v>SO2019INC</v>
      </c>
      <c r="R592" s="61">
        <f t="shared" ref="R592:R594" si="345">IF((E592+H592)/D592&gt;1,1,(E592+H592)/D592)</f>
        <v>0.65308657309650975</v>
      </c>
      <c r="S592" s="61">
        <f t="shared" si="342"/>
        <v>0.85032331685051354</v>
      </c>
      <c r="T592" s="61">
        <f>H592/(E592+H592)</f>
        <v>0.14967668314948648</v>
      </c>
      <c r="U592" s="34">
        <f>IF(OR(ISBLANK($R592),ISBLANK(S592)),"NA",$R592*S592)</f>
        <v>0.55533474102595959</v>
      </c>
      <c r="V592" s="34">
        <f>IF(OR(ISBLANK($R592),ISBLANK(T592)),"NA",$R592*T592)</f>
        <v>9.7751832070550229E-2</v>
      </c>
      <c r="W592" s="63"/>
      <c r="X592" s="34"/>
    </row>
    <row r="593" spans="1:26" x14ac:dyDescent="0.2">
      <c r="A593" s="21"/>
      <c r="B593" s="19" t="s">
        <v>83</v>
      </c>
      <c r="C593" s="139">
        <v>2018</v>
      </c>
      <c r="D593" s="32">
        <f>SUM(E593:J593)</f>
        <v>4331000</v>
      </c>
      <c r="E593" s="33">
        <f>(2117+371+852-(-1)-23)*1000</f>
        <v>3318000</v>
      </c>
      <c r="F593" s="33">
        <f>(187+(-164)+183-0-8)*1000</f>
        <v>198000</v>
      </c>
      <c r="G593" s="35">
        <v>0</v>
      </c>
      <c r="H593" s="33">
        <f>(372+464+228-148-4)*1000</f>
        <v>912000</v>
      </c>
      <c r="I593" s="33">
        <f>(-453+-222+580-2-8)*1000</f>
        <v>-105000</v>
      </c>
      <c r="J593" s="33">
        <f>(0+3+-1--1--5)*1000</f>
        <v>8000</v>
      </c>
      <c r="K593" s="22"/>
      <c r="L593" s="22"/>
      <c r="M593" s="22"/>
      <c r="N593" s="21"/>
      <c r="O593" s="21"/>
      <c r="P593" s="21"/>
      <c r="Q593" s="21" t="str">
        <f t="shared" ref="Q593:Q594" si="346">$A$587&amp;C593&amp;"INC"</f>
        <v>SO2018INC</v>
      </c>
      <c r="R593" s="61">
        <f t="shared" si="345"/>
        <v>0.97667975063495727</v>
      </c>
      <c r="S593" s="61">
        <f t="shared" si="342"/>
        <v>0.7843971631205674</v>
      </c>
      <c r="T593" s="61">
        <f>H593/(E593+H593)</f>
        <v>0.21560283687943263</v>
      </c>
      <c r="U593" s="34">
        <f>IF(OR(ISBLANK($R593),ISBLANK(S593)),"NA",$R593*S593)</f>
        <v>0.76610482567536364</v>
      </c>
      <c r="V593" s="34">
        <f>IF(OR(ISBLANK($R593),ISBLANK(T593)),"NA",$R593*T593)</f>
        <v>0.21057492495959362</v>
      </c>
      <c r="W593" s="63"/>
      <c r="X593" s="34"/>
    </row>
    <row r="594" spans="1:26" x14ac:dyDescent="0.2">
      <c r="A594" s="21"/>
      <c r="B594" s="21"/>
      <c r="C594" s="139">
        <v>2017</v>
      </c>
      <c r="D594" s="32">
        <f t="shared" ref="D594" si="347">SUM(E594:J594)</f>
        <v>2546000</v>
      </c>
      <c r="E594" s="35">
        <v>1633000</v>
      </c>
      <c r="F594" s="35">
        <v>316000</v>
      </c>
      <c r="G594" s="35">
        <v>0</v>
      </c>
      <c r="H594" s="35">
        <v>701000</v>
      </c>
      <c r="I594" s="35">
        <v>-106000</v>
      </c>
      <c r="J594" s="35">
        <v>2000</v>
      </c>
      <c r="K594" s="22"/>
      <c r="L594" s="22"/>
      <c r="M594" s="22"/>
      <c r="N594" s="21"/>
      <c r="O594" s="21"/>
      <c r="P594" s="21"/>
      <c r="Q594" s="21" t="str">
        <f t="shared" si="346"/>
        <v>SO2017INC</v>
      </c>
      <c r="R594" s="61">
        <f t="shared" si="345"/>
        <v>0.91673212882953647</v>
      </c>
      <c r="S594" s="61">
        <f t="shared" si="342"/>
        <v>0.69965724078834624</v>
      </c>
      <c r="T594" s="61">
        <f t="shared" ref="T594" si="348">H594/(E594+H594)</f>
        <v>0.30034275921165382</v>
      </c>
      <c r="U594" s="34">
        <f t="shared" ref="U594:V594" si="349">IF(OR(ISBLANK($R594),ISBLANK(S594)),"NA",$R594*S594)</f>
        <v>0.64139827179890019</v>
      </c>
      <c r="V594" s="34">
        <f t="shared" si="349"/>
        <v>0.27533385703063629</v>
      </c>
      <c r="W594" s="63">
        <f>AVERAGE(T592:T594)</f>
        <v>0.22187409308019099</v>
      </c>
      <c r="X594" s="34"/>
    </row>
    <row r="595" spans="1:26" x14ac:dyDescent="0.2">
      <c r="A595" s="21"/>
      <c r="B595" s="19"/>
      <c r="C595" s="20"/>
      <c r="D595" s="57"/>
      <c r="E595" s="33"/>
      <c r="F595" s="33"/>
      <c r="G595" s="33"/>
      <c r="H595" s="33"/>
      <c r="I595" s="33"/>
      <c r="J595" s="33"/>
      <c r="K595" s="22"/>
      <c r="L595" s="22"/>
      <c r="M595" s="22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Z595" s="64"/>
    </row>
    <row r="596" spans="1:26" x14ac:dyDescent="0.2">
      <c r="A596" s="21"/>
      <c r="B596" s="19"/>
      <c r="C596" s="139">
        <v>2019</v>
      </c>
      <c r="D596" s="32">
        <f t="shared" ref="D596:D598" si="350">SUM(E596:M596)</f>
        <v>118700000</v>
      </c>
      <c r="E596" s="33">
        <v>81063000</v>
      </c>
      <c r="F596" s="33">
        <v>14300000</v>
      </c>
      <c r="G596" s="33">
        <v>-713000</v>
      </c>
      <c r="H596" s="33">
        <v>21687000</v>
      </c>
      <c r="I596" s="33">
        <v>3511000</v>
      </c>
      <c r="J596" s="33">
        <v>-1148000</v>
      </c>
      <c r="K596" s="22"/>
      <c r="L596" s="22"/>
      <c r="M596" s="22"/>
      <c r="N596" s="21"/>
      <c r="O596" s="21"/>
      <c r="P596" s="21"/>
      <c r="Q596" s="21" t="str">
        <f>$A$587&amp;C596&amp;"ASSETS"</f>
        <v>SO2019ASSETS</v>
      </c>
      <c r="R596" s="61">
        <f t="shared" ref="R596:R598" si="351">IF((E596+H596)/D596&gt;1,1,(E596+H596)/D596)</f>
        <v>0.86562763268744736</v>
      </c>
      <c r="S596" s="61">
        <f t="shared" ref="S596" si="352">E596/(E596+H596)</f>
        <v>0.78893430656934305</v>
      </c>
      <c r="T596" s="61">
        <f>H596/(E596+H596)</f>
        <v>0.21106569343065693</v>
      </c>
      <c r="U596" s="34">
        <f>IF(OR(ISBLANK($R596),ISBLANK(S596)),"NA",$R596*S596)</f>
        <v>0.68292333614153322</v>
      </c>
      <c r="V596" s="34">
        <f>IF(OR(ISBLANK($R596),ISBLANK(T596)),"NA",$R596*T596)</f>
        <v>0.18270429654591405</v>
      </c>
      <c r="W596" s="34"/>
      <c r="X596" s="34"/>
    </row>
    <row r="597" spans="1:26" x14ac:dyDescent="0.2">
      <c r="A597" s="21"/>
      <c r="B597" s="19" t="s">
        <v>84</v>
      </c>
      <c r="C597" s="139">
        <v>2018</v>
      </c>
      <c r="D597" s="32">
        <f t="shared" si="350"/>
        <v>116914000</v>
      </c>
      <c r="E597" s="33">
        <v>79382000</v>
      </c>
      <c r="F597" s="33">
        <v>14883000</v>
      </c>
      <c r="G597" s="33">
        <v>-306000</v>
      </c>
      <c r="H597" s="33">
        <v>21448000</v>
      </c>
      <c r="I597" s="33">
        <v>3285000</v>
      </c>
      <c r="J597" s="33">
        <v>-1778000</v>
      </c>
      <c r="K597" s="22"/>
      <c r="L597" s="22"/>
      <c r="M597" s="22"/>
      <c r="N597" s="21"/>
      <c r="O597" s="21"/>
      <c r="P597" s="21"/>
      <c r="Q597" s="21" t="str">
        <f t="shared" ref="Q597:Q598" si="353">$A$587&amp;C597&amp;"ASSETS"</f>
        <v>SO2018ASSETS</v>
      </c>
      <c r="R597" s="61">
        <f t="shared" si="351"/>
        <v>0.86242879381425663</v>
      </c>
      <c r="S597" s="61">
        <f t="shared" si="342"/>
        <v>0.78728553010016855</v>
      </c>
      <c r="T597" s="61">
        <f>H597/(E597+H597)</f>
        <v>0.21271446989983139</v>
      </c>
      <c r="U597" s="34">
        <f>IF(OR(ISBLANK($R597),ISBLANK(S597)),"NA",$R597*S597)</f>
        <v>0.67897771011170605</v>
      </c>
      <c r="V597" s="34">
        <f>IF(OR(ISBLANK($R597),ISBLANK(T597)),"NA",$R597*T597)</f>
        <v>0.18345108370255059</v>
      </c>
      <c r="W597" s="34"/>
      <c r="X597" s="34"/>
    </row>
    <row r="598" spans="1:26" x14ac:dyDescent="0.2">
      <c r="A598" s="21"/>
      <c r="B598" s="21"/>
      <c r="C598" s="139">
        <v>2017</v>
      </c>
      <c r="D598" s="32">
        <f t="shared" si="350"/>
        <v>111005000</v>
      </c>
      <c r="E598" s="35">
        <v>72204000</v>
      </c>
      <c r="F598" s="35">
        <v>15206000</v>
      </c>
      <c r="G598" s="35">
        <v>-325000</v>
      </c>
      <c r="H598" s="35">
        <v>22987000</v>
      </c>
      <c r="I598" s="35">
        <v>2552000</v>
      </c>
      <c r="J598" s="35">
        <v>-1619000</v>
      </c>
      <c r="K598" s="22"/>
      <c r="L598" s="22"/>
      <c r="M598" s="22"/>
      <c r="N598" s="21"/>
      <c r="O598" s="21"/>
      <c r="P598" s="21"/>
      <c r="Q598" s="21" t="str">
        <f t="shared" si="353"/>
        <v>SO2017ASSETS</v>
      </c>
      <c r="R598" s="61">
        <f t="shared" si="351"/>
        <v>0.85753794874104772</v>
      </c>
      <c r="S598" s="61">
        <f t="shared" si="342"/>
        <v>0.75851708669937279</v>
      </c>
      <c r="T598" s="61">
        <f t="shared" ref="T598" si="354">H598/(E598+H598)</f>
        <v>0.24148291330062716</v>
      </c>
      <c r="U598" s="34">
        <f t="shared" ref="U598:V598" si="355">IF(OR(ISBLANK($R598),ISBLANK(S598)),"NA",$R598*S598)</f>
        <v>0.65045718661321561</v>
      </c>
      <c r="V598" s="34">
        <f t="shared" si="355"/>
        <v>0.20708076212783208</v>
      </c>
      <c r="W598" s="34"/>
      <c r="X598" s="34"/>
    </row>
    <row r="599" spans="1:26" x14ac:dyDescent="0.2">
      <c r="D599" s="65"/>
      <c r="Z599" s="64"/>
    </row>
    <row r="602" spans="1:26" x14ac:dyDescent="0.2">
      <c r="A602" s="166" t="s">
        <v>312</v>
      </c>
      <c r="B602" s="167"/>
      <c r="C602" s="20"/>
      <c r="D602" s="21"/>
      <c r="E602" s="33"/>
      <c r="F602" s="33"/>
      <c r="G602" s="33"/>
      <c r="H602" s="33"/>
      <c r="I602" s="33"/>
      <c r="J602" s="33"/>
      <c r="K602" s="22"/>
      <c r="L602" s="22"/>
      <c r="M602" s="22"/>
      <c r="N602" s="21"/>
      <c r="O602" s="21"/>
      <c r="P602" s="21"/>
      <c r="Q602" s="21"/>
      <c r="R602" s="21"/>
    </row>
    <row r="603" spans="1:26" x14ac:dyDescent="0.2">
      <c r="A603" s="24" t="s">
        <v>313</v>
      </c>
      <c r="B603" s="167"/>
      <c r="C603" s="20"/>
      <c r="D603" s="21"/>
      <c r="E603" s="33"/>
      <c r="F603" s="33"/>
      <c r="G603" s="33"/>
      <c r="H603" s="33"/>
      <c r="I603" s="33"/>
      <c r="J603" s="33"/>
      <c r="K603" s="22"/>
      <c r="L603" s="22"/>
      <c r="M603" s="22"/>
      <c r="N603" s="21"/>
      <c r="O603" s="21"/>
      <c r="P603" s="21"/>
      <c r="Q603" s="21"/>
      <c r="R603" s="21"/>
    </row>
    <row r="604" spans="1:26" ht="63.75" x14ac:dyDescent="0.2">
      <c r="A604" s="18" t="s">
        <v>314</v>
      </c>
      <c r="B604" s="19" t="s">
        <v>223</v>
      </c>
      <c r="C604" s="20"/>
      <c r="D604" s="31" t="s">
        <v>75</v>
      </c>
      <c r="E604" s="44" t="s">
        <v>315</v>
      </c>
      <c r="F604" s="44" t="s">
        <v>316</v>
      </c>
      <c r="G604" s="44" t="s">
        <v>317</v>
      </c>
      <c r="H604" s="44" t="s">
        <v>318</v>
      </c>
      <c r="I604" s="44" t="s">
        <v>202</v>
      </c>
      <c r="J604" s="44" t="s">
        <v>319</v>
      </c>
      <c r="K604" s="44" t="s">
        <v>320</v>
      </c>
      <c r="L604" s="44" t="s">
        <v>321</v>
      </c>
      <c r="M604" s="22"/>
      <c r="N604" s="21"/>
      <c r="O604" s="21"/>
      <c r="P604" s="21"/>
      <c r="Q604" s="29"/>
      <c r="R604" s="30" t="s">
        <v>77</v>
      </c>
      <c r="S604" s="30" t="s">
        <v>78</v>
      </c>
      <c r="T604" s="30" t="s">
        <v>79</v>
      </c>
      <c r="U604" s="30" t="s">
        <v>80</v>
      </c>
      <c r="V604" s="30" t="s">
        <v>81</v>
      </c>
      <c r="W604" s="31"/>
      <c r="X604" s="31"/>
      <c r="Y604" s="21"/>
      <c r="Z604" s="168" t="s">
        <v>322</v>
      </c>
    </row>
    <row r="605" spans="1:26" x14ac:dyDescent="0.2">
      <c r="A605" s="21"/>
      <c r="B605" s="19"/>
      <c r="C605" s="139">
        <v>2019</v>
      </c>
      <c r="D605" s="32">
        <f>SUM(E605:M605)</f>
        <v>7523100</v>
      </c>
      <c r="E605" s="44">
        <v>4317600</v>
      </c>
      <c r="F605" s="44">
        <v>1329500</v>
      </c>
      <c r="G605" s="44">
        <v>1357100</v>
      </c>
      <c r="H605" s="44">
        <v>426000</v>
      </c>
      <c r="I605" s="44">
        <v>0</v>
      </c>
      <c r="J605" s="44">
        <v>88500</v>
      </c>
      <c r="K605" s="44">
        <v>4400</v>
      </c>
      <c r="L605" s="44">
        <v>0</v>
      </c>
      <c r="M605" s="22"/>
      <c r="N605" s="21"/>
      <c r="O605" s="21"/>
      <c r="P605" s="21"/>
      <c r="Q605" s="21" t="str">
        <f>$A$604&amp;C605&amp;"REV"</f>
        <v>WEC2019REV</v>
      </c>
      <c r="R605" s="61">
        <f>IF(SUM(E605:I605)/D605&gt;1,1,SUM(E605:I605)/D605)</f>
        <v>0.98765136712259571</v>
      </c>
      <c r="S605" s="61">
        <f>(E605+I605)/SUM(E605:I605)</f>
        <v>0.58108799224785335</v>
      </c>
      <c r="T605" s="61">
        <f>SUM(F605:H605)/SUM(E605:I605)</f>
        <v>0.41891200775214665</v>
      </c>
      <c r="U605" s="34">
        <f>IF(OR(ISBLANK($R605),ISBLANK(S605)),"NA",$R605*S605)</f>
        <v>0.57391234996211671</v>
      </c>
      <c r="V605" s="34">
        <f>IF(OR(ISBLANK($R605),ISBLANK(T605)),"NA",$R605*T605)</f>
        <v>0.41373901716047906</v>
      </c>
      <c r="W605" s="34"/>
      <c r="X605" s="34"/>
      <c r="Y605" s="21"/>
      <c r="Z605" s="126"/>
    </row>
    <row r="606" spans="1:26" x14ac:dyDescent="0.2">
      <c r="A606" s="21"/>
      <c r="B606" s="19" t="s">
        <v>82</v>
      </c>
      <c r="C606" s="139">
        <v>2018</v>
      </c>
      <c r="D606" s="32">
        <f>SUM(E606:M606)</f>
        <v>7679500</v>
      </c>
      <c r="E606" s="44">
        <v>4438900</v>
      </c>
      <c r="F606" s="44">
        <v>1355800</v>
      </c>
      <c r="G606" s="44">
        <v>1400000</v>
      </c>
      <c r="H606" s="44">
        <v>438200</v>
      </c>
      <c r="I606" s="44">
        <v>0</v>
      </c>
      <c r="J606" s="44">
        <v>37900</v>
      </c>
      <c r="K606" s="44">
        <v>8700</v>
      </c>
      <c r="L606" s="44">
        <v>0</v>
      </c>
      <c r="M606" s="22"/>
      <c r="N606" s="21"/>
      <c r="O606" s="21"/>
      <c r="P606" s="21"/>
      <c r="Q606" s="21" t="str">
        <f t="shared" ref="Q606:Q607" si="356">$A$604&amp;C606&amp;"REV"</f>
        <v>WEC2018REV</v>
      </c>
      <c r="R606" s="61">
        <f t="shared" ref="R606:R607" si="357">IF(SUM(E606:I606)/D606&gt;1,1,SUM(E606:I606)/D606)</f>
        <v>0.99393189660785208</v>
      </c>
      <c r="S606" s="61">
        <f>(E606+I606)/SUM(E606:I606)</f>
        <v>0.58154829750160486</v>
      </c>
      <c r="T606" s="61">
        <f>SUM(F606:H606)/SUM(E606:I606)</f>
        <v>0.41845170249839508</v>
      </c>
      <c r="U606" s="34">
        <f>IF(OR(ISBLANK($R606),ISBLANK(S606)),"NA",$R606*S606)</f>
        <v>0.5780194023048375</v>
      </c>
      <c r="V606" s="34">
        <f>IF(OR(ISBLANK($R606),ISBLANK(T606)),"NA",$R606*T606)</f>
        <v>0.41591249430301452</v>
      </c>
      <c r="W606" s="34"/>
      <c r="X606" s="34"/>
      <c r="Y606" s="21"/>
      <c r="Z606" s="126"/>
    </row>
    <row r="607" spans="1:26" x14ac:dyDescent="0.2">
      <c r="A607" s="21"/>
      <c r="B607" s="21"/>
      <c r="C607" s="139">
        <v>2017</v>
      </c>
      <c r="D607" s="32">
        <f t="shared" ref="D607" si="358">SUM(E607:M607)</f>
        <v>7648500</v>
      </c>
      <c r="E607" s="35">
        <v>4559000</v>
      </c>
      <c r="F607" s="35">
        <v>1270200</v>
      </c>
      <c r="G607" s="35">
        <v>1355500</v>
      </c>
      <c r="H607" s="35">
        <v>411200</v>
      </c>
      <c r="I607" s="35">
        <v>0</v>
      </c>
      <c r="J607" s="35">
        <v>38900</v>
      </c>
      <c r="K607" s="22">
        <v>13700</v>
      </c>
      <c r="L607" s="22">
        <v>0</v>
      </c>
      <c r="M607" s="22"/>
      <c r="N607" s="21"/>
      <c r="O607" s="21"/>
      <c r="P607" s="21"/>
      <c r="Q607" s="21" t="str">
        <f t="shared" si="356"/>
        <v>WEC2017REV</v>
      </c>
      <c r="R607" s="61">
        <f t="shared" si="357"/>
        <v>0.99312283454272077</v>
      </c>
      <c r="S607" s="61">
        <f t="shared" ref="S607" si="359">(E607+I607)/SUM(E607:I607)</f>
        <v>0.60019220895483094</v>
      </c>
      <c r="T607" s="61">
        <f t="shared" ref="T607" si="360">SUM(F607:H607)/SUM(E607:I607)</f>
        <v>0.39980779104516911</v>
      </c>
      <c r="U607" s="34">
        <f t="shared" ref="U607:V607" si="361">IF(OR(ISBLANK($R607),ISBLANK(S607)),"NA",$R607*S607)</f>
        <v>0.59606458782767868</v>
      </c>
      <c r="V607" s="34">
        <f t="shared" si="361"/>
        <v>0.39705824671504214</v>
      </c>
      <c r="W607" s="63">
        <f>AVERAGE(T605:T607)</f>
        <v>0.41239050043190367</v>
      </c>
      <c r="X607" s="34"/>
      <c r="Y607" s="21"/>
      <c r="Z607" s="126"/>
    </row>
    <row r="608" spans="1:26" x14ac:dyDescent="0.2">
      <c r="A608" s="21"/>
      <c r="B608" s="19"/>
      <c r="C608" s="20"/>
      <c r="D608" s="21"/>
      <c r="E608" s="33"/>
      <c r="F608" s="33"/>
      <c r="G608" s="33"/>
      <c r="H608" s="33"/>
      <c r="I608" s="33"/>
      <c r="J608" s="33"/>
      <c r="K608" s="22"/>
      <c r="L608" s="22"/>
      <c r="M608" s="22"/>
      <c r="N608" s="21"/>
      <c r="O608" s="21"/>
      <c r="P608" s="21"/>
      <c r="Q608" s="21"/>
      <c r="R608" s="21"/>
    </row>
    <row r="609" spans="1:31" x14ac:dyDescent="0.2">
      <c r="A609" s="21"/>
      <c r="B609" s="19"/>
      <c r="C609" s="139">
        <v>2019</v>
      </c>
      <c r="D609" s="32">
        <f t="shared" ref="D609:D611" si="362">SUM(E609:M609)</f>
        <v>1531400</v>
      </c>
      <c r="E609" s="45">
        <f>$Z609*E605/($E605+$F605)</f>
        <v>909531.7879973792</v>
      </c>
      <c r="F609" s="45">
        <f>$Z609*F605/($E605+$F605)</f>
        <v>280068.2120026208</v>
      </c>
      <c r="G609" s="33">
        <v>291900</v>
      </c>
      <c r="H609" s="33">
        <v>65300</v>
      </c>
      <c r="I609" s="33">
        <v>0</v>
      </c>
      <c r="J609" s="33">
        <v>366600</v>
      </c>
      <c r="K609" s="22">
        <v>-34400</v>
      </c>
      <c r="L609" s="22">
        <v>-347600</v>
      </c>
      <c r="M609" s="22"/>
      <c r="N609" s="21"/>
      <c r="O609" s="21"/>
      <c r="P609" s="21"/>
      <c r="Q609" s="21" t="str">
        <f>$A$604&amp;C609&amp;"INC"</f>
        <v>WEC2019INC</v>
      </c>
      <c r="R609" s="61">
        <f t="shared" ref="R609:R611" si="363">IF(SUM(E609:I609)/D609&gt;1,1,SUM(E609:I609)/D609)</f>
        <v>1</v>
      </c>
      <c r="S609" s="62">
        <f>SUMIF('FERC Form 1_2 Data'!$C$11:$C$179,$A602,'FERC Form 1_2 Data'!$Y$11:$Y$179)/SUMIF('FERC Form 1_2 Data'!$C$11:$C$179,$A602,'FERC Form 1_2 Data'!$EA$11:$EA$179)</f>
        <v>0.53501804106372541</v>
      </c>
      <c r="T609" s="62">
        <f>SUMIF('FERC Form 1_2 Data'!$C$11:$C$179,$A602,'FERC Form 1_2 Data'!$BL$11:$BL$179)/SUMIF('FERC Form 1_2 Data'!$C$11:$C$179,$A602,'FERC Form 1_2 Data'!$EA$11:$EA$179)</f>
        <v>0.46308514496023417</v>
      </c>
      <c r="U609" s="63">
        <f>IF(OR(ISBLANK($R609),ISBLANK(S609)),"NA",$R609*S609)</f>
        <v>0.53501804106372541</v>
      </c>
      <c r="V609" s="63">
        <f>IF(OR(ISBLANK($R609),ISBLANK(T609)),"NA",$R609*T609)</f>
        <v>0.46308514496023417</v>
      </c>
      <c r="W609" s="63"/>
      <c r="X609" s="63"/>
      <c r="Z609" s="45">
        <v>1189600</v>
      </c>
    </row>
    <row r="610" spans="1:31" x14ac:dyDescent="0.2">
      <c r="A610" s="21"/>
      <c r="B610" s="19" t="s">
        <v>83</v>
      </c>
      <c r="C610" s="139">
        <v>2018</v>
      </c>
      <c r="D610" s="32">
        <f t="shared" si="362"/>
        <v>1468400</v>
      </c>
      <c r="E610" s="45">
        <f>$Z610*E606/($E606+$F606)</f>
        <v>612975.26705437724</v>
      </c>
      <c r="F610" s="45">
        <f>$Z610*F606/($E606+$F606)</f>
        <v>187224.73294562273</v>
      </c>
      <c r="G610" s="33">
        <v>255800</v>
      </c>
      <c r="H610" s="33">
        <v>68800</v>
      </c>
      <c r="I610" s="33">
        <v>0</v>
      </c>
      <c r="J610" s="33">
        <v>365800</v>
      </c>
      <c r="K610" s="22">
        <v>-22200</v>
      </c>
      <c r="L610" s="22">
        <v>0</v>
      </c>
      <c r="M610" s="22"/>
      <c r="N610" s="21"/>
      <c r="O610" s="21"/>
      <c r="P610" s="21"/>
      <c r="Q610" s="21" t="str">
        <f t="shared" ref="Q610:Q611" si="364">$A$604&amp;C610&amp;"INC"</f>
        <v>WEC2018INC</v>
      </c>
      <c r="R610" s="61">
        <f t="shared" si="363"/>
        <v>0.76600381367474801</v>
      </c>
      <c r="S610" s="62">
        <f>SUMIF('FERC Form 1_2 Data'!$C$11:$C$179,$A602,'FERC Form 1_2 Data'!$AL$11:$AL$179)/SUMIF('FERC Form 1_2 Data'!$C$11:$C$179,$A602,'FERC Form 1_2 Data'!$EB$11:$EB$179)</f>
        <v>0.52900029318402075</v>
      </c>
      <c r="T610" s="62">
        <f>SUMIF('FERC Form 1_2 Data'!$C$11:$C$179,$A602,'FERC Form 1_2 Data'!$BY$11:$BY$179)/SUMIF('FERC Form 1_2 Data'!$C$11:$C$179,$A602,'FERC Form 1_2 Data'!$EB$11:$EB$179)</f>
        <v>0.47103181342343459</v>
      </c>
      <c r="U610" s="63">
        <f t="shared" ref="U610:V611" si="365">IF(OR(ISBLANK($R610),ISBLANK(S610)),"NA",$R610*S610)</f>
        <v>0.40521624201401968</v>
      </c>
      <c r="V610" s="63">
        <f t="shared" si="365"/>
        <v>0.36081216544448325</v>
      </c>
      <c r="W610" s="63"/>
      <c r="X610" s="63"/>
      <c r="Z610" s="45">
        <v>800200</v>
      </c>
    </row>
    <row r="611" spans="1:31" x14ac:dyDescent="0.2">
      <c r="A611" s="21"/>
      <c r="B611" s="21"/>
      <c r="C611" s="139">
        <v>2017</v>
      </c>
      <c r="D611" s="32">
        <f t="shared" si="362"/>
        <v>1786800</v>
      </c>
      <c r="E611" s="33">
        <v>833637.22294654499</v>
      </c>
      <c r="F611" s="33">
        <v>232262.77705345501</v>
      </c>
      <c r="G611" s="33">
        <v>279900</v>
      </c>
      <c r="H611" s="35">
        <v>54400</v>
      </c>
      <c r="I611" s="35">
        <v>0</v>
      </c>
      <c r="J611" s="35">
        <v>400500</v>
      </c>
      <c r="K611" s="22">
        <v>-13900</v>
      </c>
      <c r="L611" s="22">
        <v>0</v>
      </c>
      <c r="M611" s="22"/>
      <c r="N611" s="21"/>
      <c r="O611" s="21"/>
      <c r="P611" s="21"/>
      <c r="Q611" s="21" t="str">
        <f t="shared" si="364"/>
        <v>WEC2017INC</v>
      </c>
      <c r="R611" s="61">
        <f t="shared" si="363"/>
        <v>0.7836355495858518</v>
      </c>
      <c r="S611" s="62">
        <f>SUMIF('FERC Form 1_2 Data'!$C$11:$C$179,$A602,'FERC Form 1_2 Data'!$AY$11:$AY$179)/SUMIF('FERC Form 1_2 Data'!$C$11:$C$179,$A602,'FERC Form 1_2 Data'!$EC$11:$EC$179)</f>
        <v>0.59827267600438394</v>
      </c>
      <c r="T611" s="62">
        <f>SUMIF('FERC Form 1_2 Data'!$C$11:$C$179,$A602,'FERC Form 1_2 Data'!$CL$11:$CL$179)/SUMIF('FERC Form 1_2 Data'!$C$11:$C$179,$A602,'FERC Form 1_2 Data'!$EC$11:$EC$179)</f>
        <v>0.39987231280525221</v>
      </c>
      <c r="U611" s="63">
        <f t="shared" si="365"/>
        <v>0.46882773726289367</v>
      </c>
      <c r="V611" s="63">
        <f t="shared" si="365"/>
        <v>0.31335415960930946</v>
      </c>
      <c r="W611" s="63">
        <f>AVERAGE(T609:T611)</f>
        <v>0.44466309039630697</v>
      </c>
      <c r="X611" s="63"/>
      <c r="Z611" s="45">
        <v>1055200</v>
      </c>
    </row>
    <row r="612" spans="1:31" x14ac:dyDescent="0.2">
      <c r="A612" s="21"/>
      <c r="B612" s="19"/>
      <c r="C612" s="20"/>
      <c r="D612" s="57"/>
      <c r="E612" s="33"/>
      <c r="F612" s="33"/>
      <c r="G612" s="33"/>
      <c r="H612" s="33"/>
      <c r="I612" s="33"/>
      <c r="J612" s="33"/>
      <c r="K612" s="22"/>
      <c r="L612" s="22"/>
      <c r="M612" s="22"/>
      <c r="N612" s="21"/>
      <c r="O612" s="21"/>
      <c r="P612" s="21"/>
      <c r="Q612" s="21"/>
      <c r="R612" s="21"/>
      <c r="Z612" s="48"/>
    </row>
    <row r="613" spans="1:31" x14ac:dyDescent="0.2">
      <c r="A613" s="21"/>
      <c r="B613" s="19"/>
      <c r="C613" s="139">
        <v>2019</v>
      </c>
      <c r="D613" s="32">
        <f>SUM(E613:L613)</f>
        <v>34951800</v>
      </c>
      <c r="E613" s="45">
        <f>$Z613*D605/($D605+$E605)</f>
        <v>15207200.070941752</v>
      </c>
      <c r="F613" s="45">
        <f>$Z613*E605/($D605+$E605)</f>
        <v>8727599.9290582482</v>
      </c>
      <c r="G613" s="33">
        <v>6932500</v>
      </c>
      <c r="H613" s="33">
        <v>1237800</v>
      </c>
      <c r="I613" s="33">
        <v>1723100</v>
      </c>
      <c r="J613" s="33">
        <v>3654100</v>
      </c>
      <c r="K613" s="22">
        <v>814000</v>
      </c>
      <c r="L613" s="22">
        <v>-3344500</v>
      </c>
      <c r="M613" s="22"/>
      <c r="N613" s="21"/>
      <c r="O613" s="21"/>
      <c r="P613" s="21"/>
      <c r="Q613" s="21" t="str">
        <f>$A$604&amp;C613&amp;"ASSETS"</f>
        <v>WEC2019ASSETS</v>
      </c>
      <c r="R613" s="61">
        <f t="shared" ref="R613:R615" si="366">IF(SUM(E613:I613)/D613&gt;1,1,SUM(E613:I613)/D613)</f>
        <v>0.96785287166898415</v>
      </c>
      <c r="S613" s="62">
        <f>SUMIF('FERC Form 1_2 Data'!$C$11:$C$179,$A602,'FERC Form 1_2 Data'!$EJ$11:$EJ$179)/(SUMIF('FERC Form 1_2 Data'!$C$11:$C$179,$A602,'FERC Form 1_2 Data'!$EN$11:$EN$179))</f>
        <v>0.60498409445360324</v>
      </c>
      <c r="T613" s="62">
        <f>SUMIF('FERC Form 1_2 Data'!$C$11:$C$179,$A602,'FERC Form 1_2 Data'!$EK$11:$EK$179)/(SUMIF('FERC Form 1_2 Data'!$C$11:$C$179,$A602,'FERC Form 1_2 Data'!$EN$11:$EN$179))</f>
        <v>0.39341048141115148</v>
      </c>
      <c r="U613" s="63">
        <f>IF(OR(ISBLANK($R613),ISBLANK(S613)),"NA",$R613*S613)</f>
        <v>0.5855355931309798</v>
      </c>
      <c r="V613" s="63">
        <f>IF(OR(ISBLANK($R613),ISBLANK(T613)),"NA",$R613*T613)</f>
        <v>0.38076346417846046</v>
      </c>
      <c r="W613" s="63"/>
      <c r="X613" s="63"/>
      <c r="Z613" s="45">
        <v>23934800</v>
      </c>
    </row>
    <row r="614" spans="1:31" x14ac:dyDescent="0.2">
      <c r="A614" s="21"/>
      <c r="B614" s="19" t="s">
        <v>84</v>
      </c>
      <c r="C614" s="139">
        <v>2018</v>
      </c>
      <c r="D614" s="32">
        <f>SUM(E614:L614)</f>
        <v>33475800</v>
      </c>
      <c r="E614" s="45">
        <f>$Z614*D606/($D606+$E606)</f>
        <v>14833150.952270927</v>
      </c>
      <c r="F614" s="45">
        <f>$Z614*E606/($D606+$E606)</f>
        <v>8573849.0477290731</v>
      </c>
      <c r="G614" s="33">
        <v>6483300</v>
      </c>
      <c r="H614" s="33">
        <v>1147900</v>
      </c>
      <c r="I614" s="33">
        <v>1665300</v>
      </c>
      <c r="J614" s="33">
        <v>3227200</v>
      </c>
      <c r="K614" s="22">
        <v>959600</v>
      </c>
      <c r="L614" s="22">
        <v>-3414500</v>
      </c>
      <c r="M614" s="22"/>
      <c r="N614" s="21"/>
      <c r="O614" s="21"/>
      <c r="P614" s="21"/>
      <c r="Q614" s="21" t="str">
        <f t="shared" ref="Q614:Q615" si="367">$A$604&amp;C614&amp;"ASSETS"</f>
        <v>WEC2018ASSETS</v>
      </c>
      <c r="R614" s="61">
        <f t="shared" si="366"/>
        <v>0.97692960287730246</v>
      </c>
      <c r="S614" s="62">
        <f>SUMIF('FERC Form 1_2 Data'!$C$11:$C$179,$A602,'FERC Form 1_2 Data'!$EP$11:$EP$179)/(SUMIF('FERC Form 1_2 Data'!$C$11:$C$179,$A602,'FERC Form 1_2 Data'!$ET$11:$ET$179))</f>
        <v>0.60432407603892446</v>
      </c>
      <c r="T614" s="62">
        <f>SUMIF('FERC Form 1_2 Data'!$C$11:$C$179,$A602,'FERC Form 1_2 Data'!$EQ$11:$EQ$179)/(SUMIF('FERC Form 1_2 Data'!$C$11:$C$179,$A602,'FERC Form 1_2 Data'!$ET$11:$ET$179))</f>
        <v>0.39410237529822523</v>
      </c>
      <c r="U614" s="63">
        <f t="shared" ref="U614:V615" si="368">IF(OR(ISBLANK($R614),ISBLANK(S614)),"NA",$R614*S614)</f>
        <v>0.59038207961389921</v>
      </c>
      <c r="V614" s="63">
        <f t="shared" si="368"/>
        <v>0.38501027699309681</v>
      </c>
      <c r="W614" s="63"/>
      <c r="X614" s="63"/>
      <c r="Z614" s="45">
        <v>23407000</v>
      </c>
    </row>
    <row r="615" spans="1:31" x14ac:dyDescent="0.2">
      <c r="A615" s="21"/>
      <c r="B615" s="21"/>
      <c r="C615" s="139">
        <v>2017</v>
      </c>
      <c r="D615" s="32">
        <f t="shared" ref="D615" si="369">SUM(E615:L615)</f>
        <v>31590500.000000015</v>
      </c>
      <c r="E615" s="33">
        <v>17391569.838056698</v>
      </c>
      <c r="F615" s="33">
        <v>4845530.1619433202</v>
      </c>
      <c r="G615" s="33">
        <v>6144700</v>
      </c>
      <c r="H615" s="35">
        <v>1067800</v>
      </c>
      <c r="I615" s="35">
        <v>1593400</v>
      </c>
      <c r="J615" s="35">
        <v>2992800</v>
      </c>
      <c r="K615" s="22">
        <v>953600</v>
      </c>
      <c r="L615" s="22">
        <v>-3398900</v>
      </c>
      <c r="M615" s="22"/>
      <c r="N615" s="21"/>
      <c r="O615" s="21"/>
      <c r="P615" s="21"/>
      <c r="Q615" s="21" t="str">
        <f t="shared" si="367"/>
        <v>WEC2017ASSETS</v>
      </c>
      <c r="R615" s="61">
        <f t="shared" si="366"/>
        <v>0.98266884031591784</v>
      </c>
      <c r="S615" s="62">
        <f>SUMIF('FERC Form 1_2 Data'!$C$11:$C$179,$A602,'FERC Form 1_2 Data'!$EV$11:$EV$179)/(SUMIF('FERC Form 1_2 Data'!$C$11:$C$179,$A602,'FERC Form 1_2 Data'!$EZ$11:$EZ$179))</f>
        <v>0.62647356123232134</v>
      </c>
      <c r="T615" s="62">
        <f>SUMIF('FERC Form 1_2 Data'!$C$11:$C$179,$A602,'FERC Form 1_2 Data'!$EW$11:$EW$179)/(SUMIF('FERC Form 1_2 Data'!$C$11:$C$179,$A602,'FERC Form 1_2 Data'!$EZ$11:$EZ$179))</f>
        <v>0.37190199411288377</v>
      </c>
      <c r="U615" s="63">
        <f t="shared" si="368"/>
        <v>0.61561604790474833</v>
      </c>
      <c r="V615" s="63">
        <f t="shared" si="368"/>
        <v>0.36545650126608481</v>
      </c>
      <c r="W615" s="63"/>
      <c r="X615" s="63"/>
      <c r="Z615" s="45">
        <v>22237100</v>
      </c>
    </row>
    <row r="616" spans="1:31" x14ac:dyDescent="0.2">
      <c r="D616" s="65"/>
      <c r="E616" s="165"/>
      <c r="F616" s="165"/>
      <c r="G616" s="165"/>
    </row>
    <row r="617" spans="1:31" x14ac:dyDescent="0.2">
      <c r="D617" s="65"/>
      <c r="E617" s="165"/>
      <c r="F617" s="165"/>
      <c r="G617" s="165"/>
    </row>
    <row r="619" spans="1:31" x14ac:dyDescent="0.2">
      <c r="A619" s="18" t="s">
        <v>55</v>
      </c>
      <c r="B619" s="19"/>
      <c r="C619" s="20"/>
      <c r="D619" s="21"/>
      <c r="E619" s="169"/>
      <c r="F619" s="33"/>
      <c r="G619" s="33"/>
      <c r="H619" s="33"/>
      <c r="I619" s="22"/>
      <c r="J619" s="22"/>
      <c r="K619" s="22"/>
      <c r="L619" s="22"/>
      <c r="M619" s="22"/>
      <c r="N619" s="21"/>
      <c r="O619" s="21"/>
      <c r="P619" s="21"/>
      <c r="Q619" s="21"/>
      <c r="R619" s="21"/>
    </row>
    <row r="620" spans="1:31" x14ac:dyDescent="0.2">
      <c r="A620" s="21" t="s">
        <v>323</v>
      </c>
      <c r="B620" s="19"/>
      <c r="C620" s="20"/>
      <c r="D620" s="21"/>
      <c r="E620" s="169"/>
      <c r="F620" s="33"/>
      <c r="G620" s="33"/>
      <c r="H620" s="33"/>
      <c r="I620" s="22"/>
      <c r="J620" s="22"/>
      <c r="K620" s="22"/>
      <c r="L620" s="22"/>
      <c r="M620" s="22"/>
      <c r="N620" s="21"/>
      <c r="O620" s="21"/>
      <c r="P620" s="21"/>
      <c r="Q620" s="21"/>
      <c r="R620" s="21"/>
    </row>
    <row r="621" spans="1:31" ht="63.75" x14ac:dyDescent="0.2">
      <c r="A621" s="18" t="s">
        <v>56</v>
      </c>
      <c r="B621" s="24" t="s">
        <v>223</v>
      </c>
      <c r="C621" s="20"/>
      <c r="D621" s="31" t="s">
        <v>75</v>
      </c>
      <c r="E621" s="35" t="s">
        <v>324</v>
      </c>
      <c r="F621" s="35" t="s">
        <v>325</v>
      </c>
      <c r="G621" s="35" t="s">
        <v>225</v>
      </c>
      <c r="H621" s="35" t="s">
        <v>321</v>
      </c>
      <c r="I621" s="22"/>
      <c r="J621" s="22"/>
      <c r="K621" s="22"/>
      <c r="L621" s="22"/>
      <c r="M621" s="22"/>
      <c r="N621" s="21"/>
      <c r="O621" s="21"/>
      <c r="P621" s="21"/>
      <c r="Q621" s="29"/>
      <c r="R621" s="30" t="s">
        <v>77</v>
      </c>
      <c r="S621" s="30" t="s">
        <v>78</v>
      </c>
      <c r="T621" s="30" t="s">
        <v>79</v>
      </c>
      <c r="U621" s="30" t="s">
        <v>80</v>
      </c>
      <c r="V621" s="30" t="s">
        <v>81</v>
      </c>
      <c r="W621" s="31"/>
      <c r="X621" s="31"/>
      <c r="Y621" s="21"/>
      <c r="Z621" s="31" t="s">
        <v>326</v>
      </c>
      <c r="AA621" s="31"/>
      <c r="AB621" s="31" t="s">
        <v>327</v>
      </c>
      <c r="AC621" s="31" t="s">
        <v>328</v>
      </c>
      <c r="AD621" s="31" t="s">
        <v>299</v>
      </c>
      <c r="AE621" s="31" t="s">
        <v>300</v>
      </c>
    </row>
    <row r="622" spans="1:31" x14ac:dyDescent="0.2">
      <c r="A622" s="21"/>
      <c r="B622" s="19"/>
      <c r="C622" s="39">
        <v>2019</v>
      </c>
      <c r="D622" s="32">
        <f>SUM(E622:M622)</f>
        <v>11529000</v>
      </c>
      <c r="E622" s="27">
        <v>9576000</v>
      </c>
      <c r="F622" s="27">
        <v>1870000</v>
      </c>
      <c r="G622" s="27">
        <v>86000</v>
      </c>
      <c r="H622" s="27">
        <v>-3000</v>
      </c>
      <c r="I622" s="22"/>
      <c r="J622" s="22"/>
      <c r="K622" s="22"/>
      <c r="L622" s="22"/>
      <c r="M622" s="22"/>
      <c r="N622" s="21"/>
      <c r="O622" s="21"/>
      <c r="P622" s="21"/>
      <c r="Q622" s="21" t="str">
        <f>$A$621&amp;C622&amp;"REV"</f>
        <v>XEL2019REV</v>
      </c>
      <c r="R622" s="61">
        <f>IF(SUM(E622:F622)/D622&gt;1,1,SUM(E622:F622)/D622)</f>
        <v>0.99280076329256661</v>
      </c>
      <c r="S622" s="61">
        <f>E622/SUM(E622:F622)</f>
        <v>0.83662414817403463</v>
      </c>
      <c r="T622" s="61">
        <f>F622/SUM(E622:F622)</f>
        <v>0.1633758518259654</v>
      </c>
      <c r="U622" s="34">
        <f t="shared" ref="U622:V624" si="370">IF(OR(ISBLANK($R622),ISBLANK(S622)),"NA",$R622*S622)</f>
        <v>0.8306010928961749</v>
      </c>
      <c r="V622" s="34">
        <f t="shared" si="370"/>
        <v>0.16219967039639172</v>
      </c>
      <c r="W622" s="34"/>
      <c r="X622" s="34"/>
      <c r="Y622" s="21"/>
      <c r="Z622" s="31"/>
      <c r="AA622" s="31">
        <v>2019</v>
      </c>
      <c r="AB622" s="170">
        <f>AB623+200000</f>
        <v>6065000</v>
      </c>
      <c r="AC622" s="170">
        <f>AC623+54000</f>
        <v>950000</v>
      </c>
      <c r="AD622" s="41">
        <f>AB622/(AB622+AC622)</f>
        <v>0.86457590876692803</v>
      </c>
      <c r="AE622" s="41">
        <f>AC622/(AB622+AC622)</f>
        <v>0.13542409123307197</v>
      </c>
    </row>
    <row r="623" spans="1:31" x14ac:dyDescent="0.2">
      <c r="A623" s="21"/>
      <c r="B623" s="19" t="s">
        <v>82</v>
      </c>
      <c r="C623" s="20">
        <v>2018</v>
      </c>
      <c r="D623" s="32">
        <f>SUM(E623:M623)</f>
        <v>11534000</v>
      </c>
      <c r="E623" s="35">
        <v>9719000</v>
      </c>
      <c r="F623" s="35">
        <v>1739000</v>
      </c>
      <c r="G623" s="35">
        <v>79000</v>
      </c>
      <c r="H623" s="35">
        <v>-3000</v>
      </c>
      <c r="I623" s="22"/>
      <c r="J623" s="22"/>
      <c r="K623" s="22"/>
      <c r="L623" s="22"/>
      <c r="M623" s="22"/>
      <c r="N623" s="21"/>
      <c r="O623" s="21"/>
      <c r="P623" s="21"/>
      <c r="Q623" s="21" t="str">
        <f t="shared" ref="Q623:Q624" si="371">$A$621&amp;C623&amp;"REV"</f>
        <v>XEL2018REV</v>
      </c>
      <c r="R623" s="61">
        <f>IF(SUM(E623:F623)/D623&gt;1,1,SUM(E623:F623)/D623)</f>
        <v>0.99341078550372808</v>
      </c>
      <c r="S623" s="61">
        <f>E623/SUM(E623:F623)</f>
        <v>0.84822831209635186</v>
      </c>
      <c r="T623" s="61">
        <f>F623/SUM(E623:F623)</f>
        <v>0.15177168790364812</v>
      </c>
      <c r="U623" s="34">
        <f t="shared" si="370"/>
        <v>0.8426391538061383</v>
      </c>
      <c r="V623" s="34">
        <f t="shared" si="370"/>
        <v>0.15077163169758975</v>
      </c>
      <c r="W623" s="34"/>
      <c r="X623" s="34"/>
      <c r="Y623" s="21"/>
      <c r="Z623" s="21"/>
      <c r="AA623" s="20">
        <v>2018</v>
      </c>
      <c r="AB623" s="47">
        <f>(10046-3867-314)*1000</f>
        <v>5865000</v>
      </c>
      <c r="AC623" s="47">
        <f>(1778-843-39)*1000</f>
        <v>896000</v>
      </c>
      <c r="AD623" s="41">
        <f>AB623/(AB623+AC623)</f>
        <v>0.86747522555834933</v>
      </c>
      <c r="AE623" s="41">
        <f>AC623/(AB623+AC623)</f>
        <v>0.13252477444165064</v>
      </c>
    </row>
    <row r="624" spans="1:31" x14ac:dyDescent="0.2">
      <c r="A624" s="21"/>
      <c r="B624" s="19"/>
      <c r="C624" s="20">
        <v>2017</v>
      </c>
      <c r="D624" s="32">
        <f>SUM(E624:M624)</f>
        <v>11401000</v>
      </c>
      <c r="E624" s="35">
        <v>9676000</v>
      </c>
      <c r="F624" s="35">
        <v>1650000</v>
      </c>
      <c r="G624" s="35">
        <v>78000</v>
      </c>
      <c r="H624" s="35">
        <v>-3000</v>
      </c>
      <c r="I624" s="22"/>
      <c r="J624" s="22"/>
      <c r="K624" s="22"/>
      <c r="L624" s="22"/>
      <c r="M624" s="22"/>
      <c r="N624" s="21"/>
      <c r="O624" s="21"/>
      <c r="P624" s="21"/>
      <c r="Q624" s="21" t="str">
        <f t="shared" si="371"/>
        <v>XEL2017REV</v>
      </c>
      <c r="R624" s="61">
        <f>IF(SUM(E624:F624)/D624&gt;1,1,SUM(E624:F624)/D624)</f>
        <v>0.99342162968160685</v>
      </c>
      <c r="S624" s="61">
        <f>E624/SUM(E624:F624)</f>
        <v>0.85431749955853786</v>
      </c>
      <c r="T624" s="61">
        <f>F624/SUM(E624:F624)</f>
        <v>0.14568250044146211</v>
      </c>
      <c r="U624" s="34">
        <f t="shared" si="370"/>
        <v>0.8486974826769581</v>
      </c>
      <c r="V624" s="34">
        <f t="shared" si="370"/>
        <v>0.1447241470046487</v>
      </c>
      <c r="W624" s="34"/>
      <c r="X624" s="34"/>
      <c r="Y624" s="21"/>
      <c r="Z624" s="21"/>
      <c r="AA624" s="20">
        <v>2017</v>
      </c>
      <c r="AB624" s="45">
        <f>E624-3757000</f>
        <v>5919000</v>
      </c>
      <c r="AC624" s="45">
        <f>F624-823000</f>
        <v>827000</v>
      </c>
      <c r="AD624" s="41">
        <f>AB624/(AB624+AC624)</f>
        <v>0.87740883486510524</v>
      </c>
      <c r="AE624" s="41">
        <f>AC624/(AB624+AC624)</f>
        <v>0.12259116513489475</v>
      </c>
    </row>
    <row r="625" spans="1:31" x14ac:dyDescent="0.2">
      <c r="A625" s="21"/>
      <c r="B625" s="19"/>
      <c r="C625" s="20"/>
      <c r="D625" s="21"/>
      <c r="E625" s="33"/>
      <c r="F625" s="33"/>
      <c r="G625" s="33"/>
      <c r="H625" s="33"/>
      <c r="I625" s="22"/>
      <c r="J625" s="22"/>
      <c r="K625" s="22"/>
      <c r="L625" s="22"/>
      <c r="M625" s="22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</row>
    <row r="626" spans="1:31" x14ac:dyDescent="0.2">
      <c r="A626" s="21"/>
      <c r="B626" s="19"/>
      <c r="C626" s="39">
        <v>2019</v>
      </c>
      <c r="D626" s="32">
        <f>SUM(E626:M626)</f>
        <v>2104000</v>
      </c>
      <c r="E626" s="45">
        <f>$Z626*AD622</f>
        <v>1819067.7120456165</v>
      </c>
      <c r="F626" s="45">
        <f t="shared" ref="E626:F628" si="372">$Z626*AE622</f>
        <v>284932.28795438341</v>
      </c>
      <c r="G626" s="35">
        <v>0</v>
      </c>
      <c r="I626" s="22"/>
      <c r="J626" s="22"/>
      <c r="K626" s="22"/>
      <c r="L626" s="22"/>
      <c r="M626" s="22"/>
      <c r="N626" s="21"/>
      <c r="O626" s="21"/>
      <c r="P626" s="21"/>
      <c r="Q626" s="21" t="str">
        <f>$A$621&amp;C626&amp;"INC"</f>
        <v>XEL2019INC</v>
      </c>
      <c r="R626" s="61">
        <f>IF(SUM(E626:F626)/D626&gt;1,1,SUM(E626:F626)/D626)</f>
        <v>1</v>
      </c>
      <c r="S626" s="61">
        <f>E626/SUM(E626:F626)</f>
        <v>0.86457590876692803</v>
      </c>
      <c r="T626" s="61">
        <f>F626/SUM(E626:F626)</f>
        <v>0.13542409123307197</v>
      </c>
      <c r="U626" s="34">
        <f t="shared" ref="U626:V628" si="373">IF(OR(ISBLANK($R626),ISBLANK(S626)),"NA",$R626*S626)</f>
        <v>0.86457590876692803</v>
      </c>
      <c r="V626" s="34">
        <f t="shared" si="373"/>
        <v>0.13542409123307197</v>
      </c>
      <c r="W626" s="34"/>
      <c r="X626" s="34"/>
      <c r="Y626" s="21"/>
      <c r="Z626" s="171">
        <v>2104000</v>
      </c>
      <c r="AA626" s="21"/>
      <c r="AB626" s="21"/>
      <c r="AC626" s="21"/>
      <c r="AD626" s="21"/>
      <c r="AE626" s="21"/>
    </row>
    <row r="627" spans="1:31" x14ac:dyDescent="0.2">
      <c r="A627" s="21"/>
      <c r="B627" s="19" t="s">
        <v>83</v>
      </c>
      <c r="C627" s="20">
        <v>2018</v>
      </c>
      <c r="D627" s="32">
        <f>SUM(E627:M627)</f>
        <v>1965000</v>
      </c>
      <c r="E627" s="45">
        <f t="shared" si="372"/>
        <v>1704588.8182221565</v>
      </c>
      <c r="F627" s="45">
        <f t="shared" si="372"/>
        <v>260411.18177784351</v>
      </c>
      <c r="G627" s="35">
        <v>0</v>
      </c>
      <c r="H627" s="33"/>
      <c r="I627" s="22"/>
      <c r="J627" s="22"/>
      <c r="K627" s="22"/>
      <c r="L627" s="22"/>
      <c r="M627" s="22"/>
      <c r="N627" s="21"/>
      <c r="O627" s="21"/>
      <c r="P627" s="21"/>
      <c r="Q627" s="21" t="str">
        <f t="shared" ref="Q627:Q628" si="374">$A$621&amp;C627&amp;"INC"</f>
        <v>XEL2018INC</v>
      </c>
      <c r="R627" s="61">
        <f>IF(SUM(E627:F627)/D627&gt;1,1,SUM(E627:F627)/D627)</f>
        <v>1</v>
      </c>
      <c r="S627" s="61">
        <f>E627/SUM(E627:F627)</f>
        <v>0.86747522555834933</v>
      </c>
      <c r="T627" s="61">
        <f>F627/SUM(E627:F627)</f>
        <v>0.13252477444165064</v>
      </c>
      <c r="U627" s="34">
        <f t="shared" si="373"/>
        <v>0.86747522555834933</v>
      </c>
      <c r="V627" s="34">
        <f t="shared" si="373"/>
        <v>0.13252477444165064</v>
      </c>
      <c r="W627" s="34"/>
      <c r="X627" s="34"/>
      <c r="Y627" s="21"/>
      <c r="Z627" s="172">
        <v>1965000</v>
      </c>
      <c r="AA627" s="21"/>
      <c r="AB627" s="21"/>
      <c r="AC627" s="21"/>
      <c r="AD627" s="21"/>
      <c r="AE627" s="21"/>
    </row>
    <row r="628" spans="1:31" x14ac:dyDescent="0.2">
      <c r="A628" s="21"/>
      <c r="B628" s="21"/>
      <c r="C628" s="20">
        <v>2017</v>
      </c>
      <c r="D628" s="32">
        <f>SUM(E628:M628)</f>
        <v>2223000</v>
      </c>
      <c r="E628" s="45">
        <f t="shared" si="372"/>
        <v>1950479.839905129</v>
      </c>
      <c r="F628" s="45">
        <f t="shared" si="372"/>
        <v>272520.16009487101</v>
      </c>
      <c r="G628" s="35">
        <v>0</v>
      </c>
      <c r="H628" s="35"/>
      <c r="I628" s="22"/>
      <c r="J628" s="22"/>
      <c r="K628" s="22"/>
      <c r="L628" s="22"/>
      <c r="M628" s="22"/>
      <c r="N628" s="21"/>
      <c r="O628" s="21"/>
      <c r="P628" s="21"/>
      <c r="Q628" s="21" t="str">
        <f t="shared" si="374"/>
        <v>XEL2017INC</v>
      </c>
      <c r="R628" s="61">
        <f>IF(SUM(E628:F628)/D628&gt;1,1,SUM(E628:F628)/D628)</f>
        <v>1</v>
      </c>
      <c r="S628" s="61">
        <f>E628/SUM(E628:F628)</f>
        <v>0.87740883486510524</v>
      </c>
      <c r="T628" s="61">
        <f>F628/SUM(E628:F628)</f>
        <v>0.12259116513489474</v>
      </c>
      <c r="U628" s="34">
        <f t="shared" si="373"/>
        <v>0.87740883486510524</v>
      </c>
      <c r="V628" s="34">
        <f t="shared" si="373"/>
        <v>0.12259116513489474</v>
      </c>
      <c r="W628" s="34"/>
      <c r="X628" s="34"/>
      <c r="Y628" s="21"/>
      <c r="Z628" s="22">
        <v>2223000</v>
      </c>
      <c r="AA628" s="21"/>
      <c r="AB628" s="21"/>
      <c r="AC628" s="21"/>
      <c r="AD628" s="21"/>
      <c r="AE628" s="21"/>
    </row>
    <row r="629" spans="1:31" x14ac:dyDescent="0.2">
      <c r="A629" s="21"/>
      <c r="B629" s="19"/>
      <c r="C629" s="20"/>
      <c r="D629" s="57"/>
      <c r="E629" s="33"/>
      <c r="F629" s="33"/>
      <c r="G629" s="33"/>
      <c r="H629" s="33"/>
      <c r="I629" s="22"/>
      <c r="J629" s="22"/>
      <c r="K629" s="22"/>
      <c r="L629" s="22"/>
      <c r="M629" s="22"/>
      <c r="N629" s="21"/>
      <c r="O629" s="21"/>
      <c r="P629" s="21"/>
      <c r="Q629" s="21"/>
      <c r="R629" s="21"/>
      <c r="Z629" s="27"/>
    </row>
    <row r="630" spans="1:31" x14ac:dyDescent="0.2">
      <c r="A630" s="21"/>
      <c r="B630" s="19"/>
      <c r="C630" s="39">
        <v>2019</v>
      </c>
      <c r="D630" s="32">
        <f>SUM(E630:M630)</f>
        <v>50448000</v>
      </c>
      <c r="E630" s="45">
        <f>$Z630*E622/($E622+$F622+$G622)</f>
        <v>41891263.267429762</v>
      </c>
      <c r="F630" s="45">
        <f>$Z630*F622/($E622+$F622+$G622)</f>
        <v>8180520.2913631629</v>
      </c>
      <c r="G630" s="45">
        <f>$Z630*G622/($E622+$F622+$G622)</f>
        <v>376216.44120707596</v>
      </c>
      <c r="H630" s="27" t="s">
        <v>329</v>
      </c>
      <c r="I630" s="22"/>
      <c r="J630" s="22"/>
      <c r="K630" s="22"/>
      <c r="L630" s="22"/>
      <c r="M630" s="22"/>
      <c r="N630" s="21"/>
      <c r="O630" s="21"/>
      <c r="P630" s="21"/>
      <c r="Q630" s="21" t="str">
        <f>$A$621&amp;C630&amp;"ASSETS"</f>
        <v>XEL2019ASSETS</v>
      </c>
      <c r="R630" s="61">
        <f>IF(SUM(E630:F630)/D630&gt;1,1,SUM(E630:F630)/D630)</f>
        <v>0.99254249046132503</v>
      </c>
      <c r="S630" s="61">
        <f>E630/SUM(E630:F630)</f>
        <v>0.83662414817403463</v>
      </c>
      <c r="T630" s="61">
        <f>F630/SUM(E630:F630)</f>
        <v>0.1633758518259654</v>
      </c>
      <c r="U630" s="34">
        <f t="shared" ref="U630:V632" si="375">IF(OR(ISBLANK($R630),ISBLANK(S630)),"NA",$R630*S630)</f>
        <v>0.8303850156087409</v>
      </c>
      <c r="V630" s="34">
        <f t="shared" si="375"/>
        <v>0.16215747485258411</v>
      </c>
      <c r="W630" s="63"/>
      <c r="X630" s="63"/>
      <c r="Z630" s="22">
        <v>50448000</v>
      </c>
    </row>
    <row r="631" spans="1:31" x14ac:dyDescent="0.2">
      <c r="A631" s="21"/>
      <c r="B631" s="19" t="s">
        <v>84</v>
      </c>
      <c r="C631" s="20">
        <v>2018</v>
      </c>
      <c r="D631" s="32">
        <f>SUM(E631:M631)</f>
        <v>45987000.000000007</v>
      </c>
      <c r="E631" s="45">
        <f t="shared" ref="E631:G632" si="376">$Z631*E623/($E623+$F623+$G623)</f>
        <v>38740370.373580657</v>
      </c>
      <c r="F631" s="45">
        <f t="shared" si="376"/>
        <v>6931732.0793967238</v>
      </c>
      <c r="G631" s="45">
        <f t="shared" si="376"/>
        <v>314897.54702262289</v>
      </c>
      <c r="H631" s="33"/>
      <c r="I631" s="22"/>
      <c r="J631" s="22"/>
      <c r="K631" s="22"/>
      <c r="L631" s="22"/>
      <c r="M631" s="22"/>
      <c r="N631" s="21"/>
      <c r="O631" s="21"/>
      <c r="P631" s="21"/>
      <c r="Q631" s="21" t="str">
        <f t="shared" ref="Q631:Q632" si="377">$A$621&amp;C631&amp;"ASSETS"</f>
        <v>XEL2018ASSETS</v>
      </c>
      <c r="R631" s="61">
        <f>IF(SUM(E631:F631)/D631&gt;1,1,SUM(E631:F631)/D631)</f>
        <v>0.99315246597902396</v>
      </c>
      <c r="S631" s="61">
        <f>E631/SUM(E631:F631)</f>
        <v>0.84822831209635186</v>
      </c>
      <c r="T631" s="61">
        <f>F631/SUM(E631:F631)</f>
        <v>0.15177168790364809</v>
      </c>
      <c r="U631" s="34">
        <f t="shared" si="375"/>
        <v>0.84242003987171699</v>
      </c>
      <c r="V631" s="34">
        <f t="shared" si="375"/>
        <v>0.15073242610730689</v>
      </c>
      <c r="W631" s="63"/>
      <c r="X631" s="63"/>
      <c r="Z631" s="22">
        <v>45987000</v>
      </c>
    </row>
    <row r="632" spans="1:31" x14ac:dyDescent="0.2">
      <c r="A632" s="21"/>
      <c r="B632" s="21"/>
      <c r="C632" s="20">
        <v>2017</v>
      </c>
      <c r="D632" s="32">
        <f>SUM(E632:M632)</f>
        <v>43030000</v>
      </c>
      <c r="E632" s="45">
        <f t="shared" si="376"/>
        <v>36509845.668186598</v>
      </c>
      <c r="F632" s="45">
        <f t="shared" si="376"/>
        <v>6225841.8098912658</v>
      </c>
      <c r="G632" s="45">
        <f t="shared" si="376"/>
        <v>294312.52192213258</v>
      </c>
      <c r="H632" s="35"/>
      <c r="I632" s="22"/>
      <c r="J632" s="22"/>
      <c r="K632" s="22"/>
      <c r="L632" s="22"/>
      <c r="M632" s="22"/>
      <c r="N632" s="21"/>
      <c r="O632" s="21"/>
      <c r="P632" s="21"/>
      <c r="Q632" s="21" t="str">
        <f t="shared" si="377"/>
        <v>XEL2017ASSETS</v>
      </c>
      <c r="R632" s="61">
        <f>IF(SUM(E632:F632)/D632&gt;1,1,SUM(E632:F632)/D632)</f>
        <v>0.99316029463346189</v>
      </c>
      <c r="S632" s="61">
        <f>E632/SUM(E632:F632)</f>
        <v>0.85431749955853786</v>
      </c>
      <c r="T632" s="61">
        <f>F632/SUM(E632:F632)</f>
        <v>0.14568250044146211</v>
      </c>
      <c r="U632" s="34">
        <f t="shared" si="375"/>
        <v>0.84847421957207991</v>
      </c>
      <c r="V632" s="34">
        <f t="shared" si="375"/>
        <v>0.14468607506138195</v>
      </c>
      <c r="W632" s="63"/>
      <c r="X632" s="63"/>
      <c r="Z632" s="22">
        <v>43030000</v>
      </c>
    </row>
  </sheetData>
  <mergeCells count="6">
    <mergeCell ref="V299:V300"/>
    <mergeCell ref="Q299:Q300"/>
    <mergeCell ref="R299:R300"/>
    <mergeCell ref="S299:S300"/>
    <mergeCell ref="T299:T300"/>
    <mergeCell ref="U299:U300"/>
  </mergeCells>
  <pageMargins left="0.75" right="0.75" top="1" bottom="1" header="0.5" footer="0.5"/>
  <pageSetup orientation="portrait" r:id="rId1"/>
  <headerFooter alignWithMargins="0">
    <oddHeader>&amp;RDocket No. 20210015-El
OPC's 3rd INTs to FPL
Response to Question No. 147 - Full Proxy Group Screen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4E1B-1F51-446A-8CE7-2A685FBF9800}">
  <sheetPr codeName="Sheet23"/>
  <dimension ref="A1:EZ61"/>
  <sheetViews>
    <sheetView tabSelected="1" zoomScale="80" zoomScaleNormal="80" workbookViewId="0">
      <selection activeCell="C4" sqref="C4"/>
    </sheetView>
  </sheetViews>
  <sheetFormatPr defaultColWidth="9.140625" defaultRowHeight="12.75" x14ac:dyDescent="0.2"/>
  <cols>
    <col min="1" max="1" width="50.5703125" style="174" bestFit="1" customWidth="1"/>
    <col min="2" max="2" width="9.140625" style="174" customWidth="1"/>
    <col min="3" max="3" width="41.28515625" style="174" bestFit="1" customWidth="1"/>
    <col min="4" max="4" width="18.7109375" style="174" bestFit="1" customWidth="1"/>
    <col min="5" max="5" width="13.5703125" style="174" bestFit="1" customWidth="1"/>
    <col min="6" max="7" width="18.7109375" style="174" customWidth="1"/>
    <col min="8" max="8" width="13.5703125" style="174" customWidth="1"/>
    <col min="9" max="10" width="18.7109375" style="174" customWidth="1"/>
    <col min="11" max="11" width="13.5703125" style="174" customWidth="1"/>
    <col min="12" max="12" width="18.7109375" style="174" customWidth="1"/>
    <col min="13" max="13" width="13.7109375" style="174" customWidth="1"/>
    <col min="14" max="14" width="19.28515625" style="174" customWidth="1"/>
    <col min="15" max="15" width="16.28515625" style="174" customWidth="1"/>
    <col min="16" max="16" width="20.85546875" style="174" customWidth="1"/>
    <col min="17" max="17" width="17.28515625" style="174" customWidth="1"/>
    <col min="18" max="18" width="18.7109375" style="174" customWidth="1"/>
    <col min="19" max="19" width="18" style="174" customWidth="1"/>
    <col min="20" max="20" width="17" style="174" customWidth="1"/>
    <col min="21" max="21" width="20.7109375" style="174" customWidth="1"/>
    <col min="22" max="22" width="17.140625" style="174" customWidth="1"/>
    <col min="23" max="23" width="17.85546875" style="174" customWidth="1"/>
    <col min="24" max="24" width="21.28515625" style="174" customWidth="1"/>
    <col min="25" max="25" width="16.5703125" style="174" customWidth="1"/>
    <col min="26" max="26" width="13.7109375" style="174" customWidth="1"/>
    <col min="27" max="27" width="19.28515625" style="174" customWidth="1"/>
    <col min="28" max="28" width="16.28515625" style="174" customWidth="1"/>
    <col min="29" max="29" width="20.85546875" style="174" customWidth="1"/>
    <col min="30" max="30" width="17.28515625" style="174" customWidth="1"/>
    <col min="31" max="31" width="18.7109375" style="174" customWidth="1"/>
    <col min="32" max="32" width="18" style="174" customWidth="1"/>
    <col min="33" max="33" width="17" style="174" customWidth="1"/>
    <col min="34" max="34" width="20.7109375" style="174" customWidth="1"/>
    <col min="35" max="35" width="17.140625" style="174" customWidth="1"/>
    <col min="36" max="36" width="17.85546875" style="174" customWidth="1"/>
    <col min="37" max="37" width="21.28515625" style="174" customWidth="1"/>
    <col min="38" max="38" width="16.5703125" style="174" customWidth="1"/>
    <col min="39" max="39" width="13.7109375" style="174" customWidth="1"/>
    <col min="40" max="40" width="19.28515625" style="174" customWidth="1"/>
    <col min="41" max="41" width="16.28515625" style="174" customWidth="1"/>
    <col min="42" max="42" width="20.85546875" style="174" customWidth="1"/>
    <col min="43" max="43" width="17.28515625" style="174" customWidth="1"/>
    <col min="44" max="44" width="18.7109375" style="174" customWidth="1"/>
    <col min="45" max="45" width="18" style="174" customWidth="1"/>
    <col min="46" max="46" width="17" style="174" customWidth="1"/>
    <col min="47" max="47" width="20.7109375" style="174" customWidth="1"/>
    <col min="48" max="48" width="17.140625" style="174" customWidth="1"/>
    <col min="49" max="49" width="17.85546875" style="174" customWidth="1"/>
    <col min="50" max="50" width="21.28515625" style="174" customWidth="1"/>
    <col min="51" max="51" width="16.5703125" style="174" customWidth="1"/>
    <col min="52" max="52" width="13.7109375" style="174" customWidth="1"/>
    <col min="53" max="55" width="13.42578125" style="174" customWidth="1"/>
    <col min="56" max="56" width="17.28515625" style="174" customWidth="1"/>
    <col min="57" max="57" width="16.5703125" style="174" customWidth="1"/>
    <col min="58" max="58" width="21.28515625" style="174" customWidth="1"/>
    <col min="59" max="59" width="16.28515625" style="174" customWidth="1"/>
    <col min="60" max="60" width="20" style="174" customWidth="1"/>
    <col min="61" max="61" width="21.42578125" style="174" customWidth="1"/>
    <col min="62" max="62" width="12" style="174" customWidth="1"/>
    <col min="63" max="63" width="20.140625" style="174" customWidth="1"/>
    <col min="64" max="65" width="13.7109375" style="174" customWidth="1"/>
    <col min="66" max="68" width="13.42578125" style="174" customWidth="1"/>
    <col min="69" max="69" width="17.28515625" style="174" customWidth="1"/>
    <col min="70" max="70" width="16.5703125" style="174" customWidth="1"/>
    <col min="71" max="71" width="21.28515625" style="174" customWidth="1"/>
    <col min="72" max="72" width="16.28515625" style="174" customWidth="1"/>
    <col min="73" max="73" width="20" style="174" customWidth="1"/>
    <col min="74" max="74" width="21.42578125" style="174" customWidth="1"/>
    <col min="75" max="75" width="12" style="174" customWidth="1"/>
    <col min="76" max="76" width="20.140625" style="174" customWidth="1"/>
    <col min="77" max="78" width="13.7109375" style="174" customWidth="1"/>
    <col min="79" max="81" width="13.42578125" style="174" customWidth="1"/>
    <col min="82" max="82" width="17.28515625" style="174" customWidth="1"/>
    <col min="83" max="83" width="16.5703125" style="174" customWidth="1"/>
    <col min="84" max="84" width="21.28515625" style="174" customWidth="1"/>
    <col min="85" max="85" width="16.28515625" style="174" customWidth="1"/>
    <col min="86" max="86" width="20" style="174" customWidth="1"/>
    <col min="87" max="87" width="21.42578125" style="174" customWidth="1"/>
    <col min="88" max="88" width="12" style="174" customWidth="1"/>
    <col min="89" max="89" width="20.140625" style="174" customWidth="1"/>
    <col min="90" max="91" width="13.7109375" style="174" customWidth="1"/>
    <col min="92" max="92" width="15.140625" style="174" bestFit="1" customWidth="1"/>
    <col min="93" max="93" width="14.85546875" style="174" bestFit="1" customWidth="1"/>
    <col min="94" max="94" width="15.5703125" style="174" bestFit="1" customWidth="1"/>
    <col min="95" max="95" width="17.28515625" style="174" bestFit="1" customWidth="1"/>
    <col min="96" max="96" width="20.140625" style="174" bestFit="1" customWidth="1"/>
    <col min="97" max="97" width="21" style="174" bestFit="1" customWidth="1"/>
    <col min="98" max="98" width="17" style="174" bestFit="1" customWidth="1"/>
    <col min="99" max="99" width="19.42578125" style="174" bestFit="1" customWidth="1"/>
    <col min="100" max="100" width="17.140625" style="174" bestFit="1" customWidth="1"/>
    <col min="101" max="101" width="13.140625" style="174" bestFit="1" customWidth="1"/>
    <col min="102" max="102" width="20.140625" style="174" bestFit="1" customWidth="1"/>
    <col min="103" max="103" width="15.140625" style="174" bestFit="1" customWidth="1"/>
    <col min="104" max="104" width="13.7109375" style="174" customWidth="1"/>
    <col min="105" max="105" width="15.140625" style="174" bestFit="1" customWidth="1"/>
    <col min="106" max="106" width="14.85546875" style="174" bestFit="1" customWidth="1"/>
    <col min="107" max="107" width="15.5703125" style="174" bestFit="1" customWidth="1"/>
    <col min="108" max="108" width="17.28515625" style="174" bestFit="1" customWidth="1"/>
    <col min="109" max="109" width="20.140625" style="174" bestFit="1" customWidth="1"/>
    <col min="110" max="110" width="21" style="174" bestFit="1" customWidth="1"/>
    <col min="111" max="111" width="17" style="174" bestFit="1" customWidth="1"/>
    <col min="112" max="112" width="19.42578125" style="174" bestFit="1" customWidth="1"/>
    <col min="113" max="113" width="17.140625" style="174" bestFit="1" customWidth="1"/>
    <col min="114" max="114" width="13.140625" style="174" bestFit="1" customWidth="1"/>
    <col min="115" max="115" width="20.140625" style="174" bestFit="1" customWidth="1"/>
    <col min="116" max="116" width="15.140625" style="174" bestFit="1" customWidth="1"/>
    <col min="117" max="117" width="13.7109375" style="174" customWidth="1"/>
    <col min="118" max="118" width="15.140625" style="174" bestFit="1" customWidth="1"/>
    <col min="119" max="119" width="14.85546875" style="174" bestFit="1" customWidth="1"/>
    <col min="120" max="120" width="15.5703125" style="174" bestFit="1" customWidth="1"/>
    <col min="121" max="121" width="17.28515625" style="174" bestFit="1" customWidth="1"/>
    <col min="122" max="122" width="20.140625" style="174" bestFit="1" customWidth="1"/>
    <col min="123" max="123" width="21" style="174" bestFit="1" customWidth="1"/>
    <col min="124" max="124" width="17" style="174" bestFit="1" customWidth="1"/>
    <col min="125" max="125" width="19.42578125" style="174" bestFit="1" customWidth="1"/>
    <col min="126" max="126" width="17.140625" style="174" bestFit="1" customWidth="1"/>
    <col min="127" max="127" width="13.140625" style="174" bestFit="1" customWidth="1"/>
    <col min="128" max="128" width="20.140625" style="174" bestFit="1" customWidth="1"/>
    <col min="129" max="129" width="15.140625" style="174" bestFit="1" customWidth="1"/>
    <col min="130" max="130" width="9.140625" style="174"/>
    <col min="131" max="133" width="9.85546875" style="174" bestFit="1" customWidth="1"/>
    <col min="134" max="134" width="9.140625" style="174"/>
    <col min="135" max="135" width="6.7109375" style="174" bestFit="1" customWidth="1"/>
    <col min="136" max="137" width="6.5703125" style="174" bestFit="1" customWidth="1"/>
    <col min="138" max="138" width="9.140625" style="174"/>
    <col min="139" max="142" width="14.42578125" style="174" bestFit="1" customWidth="1"/>
    <col min="143" max="143" width="15" style="174" bestFit="1" customWidth="1"/>
    <col min="144" max="144" width="15" style="184" bestFit="1" customWidth="1"/>
    <col min="145" max="148" width="14.42578125" style="174" bestFit="1" customWidth="1"/>
    <col min="149" max="150" width="15" style="174" bestFit="1" customWidth="1"/>
    <col min="151" max="154" width="14.42578125" style="174" bestFit="1" customWidth="1"/>
    <col min="155" max="155" width="15" style="174" bestFit="1" customWidth="1"/>
    <col min="156" max="156" width="13.140625" style="174" customWidth="1"/>
    <col min="157" max="16384" width="9.140625" style="174"/>
  </cols>
  <sheetData>
    <row r="1" spans="1:156" ht="14.25" x14ac:dyDescent="0.2">
      <c r="A1" s="207" t="s">
        <v>446</v>
      </c>
    </row>
    <row r="2" spans="1:156" ht="14.25" x14ac:dyDescent="0.2">
      <c r="A2" s="207" t="s">
        <v>442</v>
      </c>
    </row>
    <row r="6" spans="1:156" x14ac:dyDescent="0.2">
      <c r="A6" s="173" t="s">
        <v>331</v>
      </c>
      <c r="EI6" s="175"/>
      <c r="EJ6" s="175"/>
      <c r="EK6" s="175"/>
      <c r="EL6" s="175"/>
      <c r="EM6" s="176"/>
      <c r="EN6" s="177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</row>
    <row r="7" spans="1:156" ht="51" x14ac:dyDescent="0.2">
      <c r="A7" s="174" t="s">
        <v>332</v>
      </c>
      <c r="B7" s="178" t="s">
        <v>333</v>
      </c>
      <c r="C7" s="174" t="s">
        <v>334</v>
      </c>
      <c r="D7" s="179" t="s">
        <v>335</v>
      </c>
      <c r="E7" s="179" t="s">
        <v>336</v>
      </c>
      <c r="F7" s="179" t="s">
        <v>337</v>
      </c>
      <c r="G7" s="179" t="s">
        <v>335</v>
      </c>
      <c r="H7" s="179" t="s">
        <v>336</v>
      </c>
      <c r="I7" s="179" t="s">
        <v>337</v>
      </c>
      <c r="J7" s="179" t="s">
        <v>335</v>
      </c>
      <c r="K7" s="179" t="s">
        <v>336</v>
      </c>
      <c r="L7" s="179" t="s">
        <v>337</v>
      </c>
      <c r="M7" s="179"/>
      <c r="N7" s="179" t="s">
        <v>338</v>
      </c>
      <c r="O7" s="179" t="s">
        <v>339</v>
      </c>
      <c r="P7" s="179" t="s">
        <v>340</v>
      </c>
      <c r="Q7" s="179" t="s">
        <v>341</v>
      </c>
      <c r="R7" s="179" t="s">
        <v>342</v>
      </c>
      <c r="S7" s="179" t="s">
        <v>343</v>
      </c>
      <c r="T7" s="179" t="s">
        <v>344</v>
      </c>
      <c r="U7" s="179" t="s">
        <v>345</v>
      </c>
      <c r="V7" s="179" t="s">
        <v>346</v>
      </c>
      <c r="W7" s="179" t="s">
        <v>347</v>
      </c>
      <c r="X7" s="179" t="s">
        <v>348</v>
      </c>
      <c r="Y7" s="180" t="s">
        <v>349</v>
      </c>
      <c r="Z7" s="179"/>
      <c r="AA7" s="179" t="s">
        <v>338</v>
      </c>
      <c r="AB7" s="179" t="s">
        <v>339</v>
      </c>
      <c r="AC7" s="179" t="s">
        <v>340</v>
      </c>
      <c r="AD7" s="179" t="s">
        <v>341</v>
      </c>
      <c r="AE7" s="179" t="s">
        <v>342</v>
      </c>
      <c r="AF7" s="179" t="s">
        <v>343</v>
      </c>
      <c r="AG7" s="179" t="s">
        <v>344</v>
      </c>
      <c r="AH7" s="179" t="s">
        <v>345</v>
      </c>
      <c r="AI7" s="179" t="s">
        <v>346</v>
      </c>
      <c r="AJ7" s="179" t="s">
        <v>347</v>
      </c>
      <c r="AK7" s="179" t="s">
        <v>348</v>
      </c>
      <c r="AL7" s="180" t="s">
        <v>349</v>
      </c>
      <c r="AM7" s="179"/>
      <c r="AN7" s="179" t="s">
        <v>338</v>
      </c>
      <c r="AO7" s="179" t="s">
        <v>339</v>
      </c>
      <c r="AP7" s="179" t="s">
        <v>340</v>
      </c>
      <c r="AQ7" s="179" t="s">
        <v>341</v>
      </c>
      <c r="AR7" s="179" t="s">
        <v>342</v>
      </c>
      <c r="AS7" s="179" t="s">
        <v>343</v>
      </c>
      <c r="AT7" s="179" t="s">
        <v>344</v>
      </c>
      <c r="AU7" s="179" t="s">
        <v>345</v>
      </c>
      <c r="AV7" s="179" t="s">
        <v>346</v>
      </c>
      <c r="AW7" s="179" t="s">
        <v>347</v>
      </c>
      <c r="AX7" s="179" t="s">
        <v>348</v>
      </c>
      <c r="AY7" s="180" t="s">
        <v>349</v>
      </c>
      <c r="AZ7" s="179"/>
      <c r="BA7" s="179" t="s">
        <v>350</v>
      </c>
      <c r="BB7" s="179" t="s">
        <v>351</v>
      </c>
      <c r="BC7" s="179" t="s">
        <v>352</v>
      </c>
      <c r="BD7" s="179" t="s">
        <v>353</v>
      </c>
      <c r="BE7" s="179" t="s">
        <v>354</v>
      </c>
      <c r="BF7" s="179" t="s">
        <v>355</v>
      </c>
      <c r="BG7" s="179" t="s">
        <v>356</v>
      </c>
      <c r="BH7" s="179" t="s">
        <v>357</v>
      </c>
      <c r="BI7" s="179" t="s">
        <v>358</v>
      </c>
      <c r="BJ7" s="179" t="s">
        <v>359</v>
      </c>
      <c r="BK7" s="179" t="s">
        <v>360</v>
      </c>
      <c r="BL7" s="180" t="s">
        <v>361</v>
      </c>
      <c r="BM7" s="179"/>
      <c r="BN7" s="179" t="s">
        <v>350</v>
      </c>
      <c r="BO7" s="179" t="s">
        <v>351</v>
      </c>
      <c r="BP7" s="179" t="s">
        <v>352</v>
      </c>
      <c r="BQ7" s="179" t="s">
        <v>353</v>
      </c>
      <c r="BR7" s="179" t="s">
        <v>354</v>
      </c>
      <c r="BS7" s="179" t="s">
        <v>355</v>
      </c>
      <c r="BT7" s="179" t="s">
        <v>356</v>
      </c>
      <c r="BU7" s="179" t="s">
        <v>357</v>
      </c>
      <c r="BV7" s="179" t="s">
        <v>358</v>
      </c>
      <c r="BW7" s="179" t="s">
        <v>359</v>
      </c>
      <c r="BX7" s="179" t="s">
        <v>360</v>
      </c>
      <c r="BY7" s="180" t="s">
        <v>361</v>
      </c>
      <c r="BZ7" s="179"/>
      <c r="CA7" s="179" t="s">
        <v>350</v>
      </c>
      <c r="CB7" s="179" t="s">
        <v>351</v>
      </c>
      <c r="CC7" s="179" t="s">
        <v>352</v>
      </c>
      <c r="CD7" s="179" t="s">
        <v>353</v>
      </c>
      <c r="CE7" s="179" t="s">
        <v>354</v>
      </c>
      <c r="CF7" s="179" t="s">
        <v>355</v>
      </c>
      <c r="CG7" s="179" t="s">
        <v>356</v>
      </c>
      <c r="CH7" s="179" t="s">
        <v>357</v>
      </c>
      <c r="CI7" s="179" t="s">
        <v>358</v>
      </c>
      <c r="CJ7" s="179" t="s">
        <v>359</v>
      </c>
      <c r="CK7" s="179" t="s">
        <v>360</v>
      </c>
      <c r="CL7" s="180" t="s">
        <v>361</v>
      </c>
      <c r="CM7" s="179"/>
      <c r="CN7" s="179" t="s">
        <v>362</v>
      </c>
      <c r="CO7" s="179" t="s">
        <v>363</v>
      </c>
      <c r="CP7" s="179" t="s">
        <v>364</v>
      </c>
      <c r="CQ7" s="179" t="s">
        <v>365</v>
      </c>
      <c r="CR7" s="179" t="s">
        <v>366</v>
      </c>
      <c r="CS7" s="179" t="s">
        <v>367</v>
      </c>
      <c r="CT7" s="179" t="s">
        <v>368</v>
      </c>
      <c r="CU7" s="179" t="s">
        <v>369</v>
      </c>
      <c r="CV7" s="179" t="s">
        <v>370</v>
      </c>
      <c r="CW7" s="179" t="s">
        <v>371</v>
      </c>
      <c r="CX7" s="179" t="s">
        <v>372</v>
      </c>
      <c r="CY7" s="180" t="s">
        <v>373</v>
      </c>
      <c r="CZ7" s="179"/>
      <c r="DA7" s="179" t="s">
        <v>362</v>
      </c>
      <c r="DB7" s="179" t="s">
        <v>363</v>
      </c>
      <c r="DC7" s="179" t="s">
        <v>364</v>
      </c>
      <c r="DD7" s="179" t="s">
        <v>365</v>
      </c>
      <c r="DE7" s="179" t="s">
        <v>366</v>
      </c>
      <c r="DF7" s="179" t="s">
        <v>367</v>
      </c>
      <c r="DG7" s="179" t="s">
        <v>368</v>
      </c>
      <c r="DH7" s="179" t="s">
        <v>369</v>
      </c>
      <c r="DI7" s="179" t="s">
        <v>370</v>
      </c>
      <c r="DJ7" s="179" t="s">
        <v>371</v>
      </c>
      <c r="DK7" s="179" t="s">
        <v>372</v>
      </c>
      <c r="DL7" s="180" t="s">
        <v>373</v>
      </c>
      <c r="DM7" s="179"/>
      <c r="DN7" s="179" t="s">
        <v>362</v>
      </c>
      <c r="DO7" s="179" t="s">
        <v>363</v>
      </c>
      <c r="DP7" s="179" t="s">
        <v>364</v>
      </c>
      <c r="DQ7" s="179" t="s">
        <v>365</v>
      </c>
      <c r="DR7" s="179" t="s">
        <v>366</v>
      </c>
      <c r="DS7" s="179" t="s">
        <v>367</v>
      </c>
      <c r="DT7" s="179" t="s">
        <v>368</v>
      </c>
      <c r="DU7" s="179" t="s">
        <v>369</v>
      </c>
      <c r="DV7" s="179" t="s">
        <v>370</v>
      </c>
      <c r="DW7" s="179" t="s">
        <v>371</v>
      </c>
      <c r="DX7" s="179" t="s">
        <v>372</v>
      </c>
      <c r="DY7" s="180" t="s">
        <v>373</v>
      </c>
      <c r="EA7" s="180" t="s">
        <v>374</v>
      </c>
      <c r="EB7" s="180" t="s">
        <v>374</v>
      </c>
      <c r="EC7" s="180" t="s">
        <v>374</v>
      </c>
      <c r="EE7" s="177" t="s">
        <v>375</v>
      </c>
      <c r="EF7" s="177" t="s">
        <v>375</v>
      </c>
      <c r="EG7" s="177" t="s">
        <v>375</v>
      </c>
      <c r="EI7" s="179" t="s">
        <v>376</v>
      </c>
      <c r="EJ7" s="179" t="s">
        <v>377</v>
      </c>
      <c r="EK7" s="179" t="s">
        <v>378</v>
      </c>
      <c r="EL7" s="179" t="s">
        <v>379</v>
      </c>
      <c r="EM7" s="181" t="s">
        <v>380</v>
      </c>
      <c r="EN7" s="180" t="s">
        <v>381</v>
      </c>
      <c r="EO7" s="181" t="s">
        <v>376</v>
      </c>
      <c r="EP7" s="181" t="s">
        <v>377</v>
      </c>
      <c r="EQ7" s="181" t="s">
        <v>378</v>
      </c>
      <c r="ER7" s="181" t="s">
        <v>379</v>
      </c>
      <c r="ES7" s="181" t="s">
        <v>380</v>
      </c>
      <c r="ET7" s="180" t="s">
        <v>381</v>
      </c>
      <c r="EU7" s="181" t="s">
        <v>376</v>
      </c>
      <c r="EV7" s="181" t="s">
        <v>377</v>
      </c>
      <c r="EW7" s="181" t="s">
        <v>378</v>
      </c>
      <c r="EX7" s="181" t="s">
        <v>379</v>
      </c>
      <c r="EY7" s="181" t="s">
        <v>380</v>
      </c>
      <c r="EZ7" s="180" t="s">
        <v>381</v>
      </c>
    </row>
    <row r="8" spans="1:156" x14ac:dyDescent="0.2">
      <c r="C8" s="182">
        <v>201138</v>
      </c>
      <c r="D8" s="174">
        <v>201335</v>
      </c>
      <c r="E8" s="174">
        <v>201360</v>
      </c>
      <c r="F8" s="174">
        <v>201385</v>
      </c>
      <c r="G8" s="174">
        <v>201335</v>
      </c>
      <c r="H8" s="174">
        <v>201360</v>
      </c>
      <c r="I8" s="174">
        <v>201385</v>
      </c>
      <c r="J8" s="174">
        <v>201335</v>
      </c>
      <c r="K8" s="174">
        <v>201360</v>
      </c>
      <c r="L8" s="174">
        <v>201385</v>
      </c>
      <c r="N8" s="174">
        <v>201336</v>
      </c>
      <c r="O8" s="174">
        <v>201337</v>
      </c>
      <c r="P8" s="174">
        <v>201338</v>
      </c>
      <c r="Q8" s="174">
        <v>201340</v>
      </c>
      <c r="R8" s="174">
        <v>201341</v>
      </c>
      <c r="S8" s="174">
        <v>201342</v>
      </c>
      <c r="T8" s="174">
        <v>201343</v>
      </c>
      <c r="U8" s="174">
        <v>201344</v>
      </c>
      <c r="V8" s="174">
        <v>201345</v>
      </c>
      <c r="W8" s="174">
        <v>201346</v>
      </c>
      <c r="X8" s="174">
        <v>201347</v>
      </c>
      <c r="AA8" s="174">
        <v>201336</v>
      </c>
      <c r="AB8" s="174">
        <v>201337</v>
      </c>
      <c r="AC8" s="174">
        <v>201338</v>
      </c>
      <c r="AD8" s="174">
        <v>201340</v>
      </c>
      <c r="AE8" s="174">
        <v>201341</v>
      </c>
      <c r="AF8" s="174">
        <v>201342</v>
      </c>
      <c r="AG8" s="174">
        <v>201343</v>
      </c>
      <c r="AH8" s="174">
        <v>201344</v>
      </c>
      <c r="AI8" s="174">
        <v>201345</v>
      </c>
      <c r="AJ8" s="174">
        <v>201346</v>
      </c>
      <c r="AK8" s="174">
        <v>201347</v>
      </c>
      <c r="AN8" s="174">
        <v>201336</v>
      </c>
      <c r="AO8" s="174">
        <v>201337</v>
      </c>
      <c r="AP8" s="174">
        <v>201338</v>
      </c>
      <c r="AQ8" s="174">
        <v>201340</v>
      </c>
      <c r="AR8" s="174">
        <v>201341</v>
      </c>
      <c r="AS8" s="174">
        <v>201342</v>
      </c>
      <c r="AT8" s="174">
        <v>201343</v>
      </c>
      <c r="AU8" s="174">
        <v>201344</v>
      </c>
      <c r="AV8" s="174">
        <v>201345</v>
      </c>
      <c r="AW8" s="174">
        <v>201346</v>
      </c>
      <c r="AX8" s="174">
        <v>201347</v>
      </c>
      <c r="BA8" s="174">
        <v>201361</v>
      </c>
      <c r="BB8" s="174">
        <v>201362</v>
      </c>
      <c r="BC8" s="174">
        <v>201363</v>
      </c>
      <c r="BD8" s="174">
        <v>201365</v>
      </c>
      <c r="BE8" s="174">
        <v>201366</v>
      </c>
      <c r="BF8" s="174">
        <v>201367</v>
      </c>
      <c r="BG8" s="174">
        <v>201368</v>
      </c>
      <c r="BH8" s="174">
        <v>201369</v>
      </c>
      <c r="BI8" s="174">
        <v>201370</v>
      </c>
      <c r="BJ8" s="174">
        <v>201371</v>
      </c>
      <c r="BK8" s="174">
        <v>201372</v>
      </c>
      <c r="BN8" s="174">
        <v>201361</v>
      </c>
      <c r="BO8" s="174">
        <v>201362</v>
      </c>
      <c r="BP8" s="174">
        <v>201363</v>
      </c>
      <c r="BQ8" s="174">
        <v>201365</v>
      </c>
      <c r="BR8" s="174">
        <v>201366</v>
      </c>
      <c r="BS8" s="174">
        <v>201367</v>
      </c>
      <c r="BT8" s="174">
        <v>201368</v>
      </c>
      <c r="BU8" s="174">
        <v>201369</v>
      </c>
      <c r="BV8" s="174">
        <v>201370</v>
      </c>
      <c r="BW8" s="174">
        <v>201371</v>
      </c>
      <c r="BX8" s="174">
        <v>201372</v>
      </c>
      <c r="CA8" s="174">
        <v>201361</v>
      </c>
      <c r="CB8" s="174">
        <v>201362</v>
      </c>
      <c r="CC8" s="174">
        <v>201363</v>
      </c>
      <c r="CD8" s="174">
        <v>201365</v>
      </c>
      <c r="CE8" s="174">
        <v>201366</v>
      </c>
      <c r="CF8" s="174">
        <v>201367</v>
      </c>
      <c r="CG8" s="174">
        <v>201368</v>
      </c>
      <c r="CH8" s="174">
        <v>201369</v>
      </c>
      <c r="CI8" s="174">
        <v>201370</v>
      </c>
      <c r="CJ8" s="174">
        <v>201371</v>
      </c>
      <c r="CK8" s="174">
        <v>201372</v>
      </c>
      <c r="CN8" s="174">
        <v>201386</v>
      </c>
      <c r="CO8" s="174">
        <v>201387</v>
      </c>
      <c r="CP8" s="174">
        <v>201388</v>
      </c>
      <c r="CQ8" s="174">
        <v>201389</v>
      </c>
      <c r="CR8" s="174">
        <v>201500</v>
      </c>
      <c r="CS8" s="174">
        <v>201501</v>
      </c>
      <c r="CT8" s="174">
        <v>201502</v>
      </c>
      <c r="CU8" s="174">
        <v>201503</v>
      </c>
      <c r="CV8" s="174">
        <v>201504</v>
      </c>
      <c r="CW8" s="174">
        <v>201505</v>
      </c>
      <c r="CX8" s="174">
        <v>201506</v>
      </c>
      <c r="DA8" s="174">
        <v>201386</v>
      </c>
      <c r="DB8" s="174">
        <v>201387</v>
      </c>
      <c r="DC8" s="174">
        <v>201388</v>
      </c>
      <c r="DD8" s="174">
        <v>201389</v>
      </c>
      <c r="DE8" s="174">
        <v>201500</v>
      </c>
      <c r="DF8" s="174">
        <v>201501</v>
      </c>
      <c r="DG8" s="174">
        <v>201502</v>
      </c>
      <c r="DH8" s="174">
        <v>201503</v>
      </c>
      <c r="DI8" s="174">
        <v>201504</v>
      </c>
      <c r="DJ8" s="174">
        <v>201505</v>
      </c>
      <c r="DK8" s="174">
        <v>201506</v>
      </c>
      <c r="DN8" s="174">
        <v>201386</v>
      </c>
      <c r="DO8" s="174">
        <v>201387</v>
      </c>
      <c r="DP8" s="174">
        <v>201388</v>
      </c>
      <c r="DQ8" s="174">
        <v>201389</v>
      </c>
      <c r="DR8" s="174">
        <v>201500</v>
      </c>
      <c r="DS8" s="174">
        <v>201501</v>
      </c>
      <c r="DT8" s="174">
        <v>201502</v>
      </c>
      <c r="DU8" s="174">
        <v>201503</v>
      </c>
      <c r="DV8" s="174">
        <v>201504</v>
      </c>
      <c r="DW8" s="174">
        <v>201505</v>
      </c>
      <c r="DX8" s="174">
        <v>201506</v>
      </c>
      <c r="EI8" s="175">
        <v>202284</v>
      </c>
      <c r="EJ8" s="175">
        <v>202232</v>
      </c>
      <c r="EK8" s="175">
        <v>202245</v>
      </c>
      <c r="EL8" s="175">
        <v>202258</v>
      </c>
      <c r="EM8" s="176">
        <v>202271</v>
      </c>
      <c r="EN8" s="177"/>
      <c r="EO8" s="176">
        <v>202284</v>
      </c>
      <c r="EP8" s="176">
        <v>202232</v>
      </c>
      <c r="EQ8" s="176">
        <v>202245</v>
      </c>
      <c r="ER8" s="176">
        <v>202258</v>
      </c>
      <c r="ES8" s="176">
        <v>202271</v>
      </c>
      <c r="ET8" s="177"/>
      <c r="EU8" s="176">
        <v>202284</v>
      </c>
      <c r="EV8" s="176">
        <v>202232</v>
      </c>
      <c r="EW8" s="176">
        <v>202245</v>
      </c>
      <c r="EX8" s="176">
        <v>202258</v>
      </c>
      <c r="EY8" s="176">
        <v>202271</v>
      </c>
      <c r="EZ8" s="177"/>
    </row>
    <row r="9" spans="1:156" x14ac:dyDescent="0.2">
      <c r="A9" s="175"/>
      <c r="B9" s="175"/>
      <c r="C9" s="175"/>
      <c r="D9" s="175" t="s">
        <v>382</v>
      </c>
      <c r="E9" s="175" t="s">
        <v>382</v>
      </c>
      <c r="F9" s="175" t="s">
        <v>382</v>
      </c>
      <c r="G9" s="175" t="s">
        <v>383</v>
      </c>
      <c r="H9" s="175" t="s">
        <v>383</v>
      </c>
      <c r="I9" s="175" t="s">
        <v>383</v>
      </c>
      <c r="J9" s="175" t="s">
        <v>384</v>
      </c>
      <c r="K9" s="175" t="s">
        <v>384</v>
      </c>
      <c r="L9" s="175" t="s">
        <v>384</v>
      </c>
      <c r="M9" s="175"/>
      <c r="N9" s="175" t="s">
        <v>382</v>
      </c>
      <c r="O9" s="175" t="s">
        <v>382</v>
      </c>
      <c r="P9" s="175" t="s">
        <v>382</v>
      </c>
      <c r="Q9" s="175" t="s">
        <v>382</v>
      </c>
      <c r="R9" s="175" t="s">
        <v>382</v>
      </c>
      <c r="S9" s="175" t="s">
        <v>382</v>
      </c>
      <c r="T9" s="175" t="s">
        <v>382</v>
      </c>
      <c r="U9" s="175" t="s">
        <v>382</v>
      </c>
      <c r="V9" s="175" t="s">
        <v>382</v>
      </c>
      <c r="W9" s="175" t="s">
        <v>382</v>
      </c>
      <c r="X9" s="175" t="s">
        <v>382</v>
      </c>
      <c r="Y9" s="180">
        <v>2019</v>
      </c>
      <c r="Z9" s="175"/>
      <c r="AA9" s="175" t="s">
        <v>383</v>
      </c>
      <c r="AB9" s="175" t="s">
        <v>383</v>
      </c>
      <c r="AC9" s="175" t="s">
        <v>383</v>
      </c>
      <c r="AD9" s="175" t="s">
        <v>383</v>
      </c>
      <c r="AE9" s="175" t="s">
        <v>383</v>
      </c>
      <c r="AF9" s="175" t="s">
        <v>383</v>
      </c>
      <c r="AG9" s="175" t="s">
        <v>383</v>
      </c>
      <c r="AH9" s="175" t="s">
        <v>383</v>
      </c>
      <c r="AI9" s="175" t="s">
        <v>383</v>
      </c>
      <c r="AJ9" s="175" t="s">
        <v>383</v>
      </c>
      <c r="AK9" s="175" t="s">
        <v>383</v>
      </c>
      <c r="AL9" s="180">
        <v>2018</v>
      </c>
      <c r="AM9" s="175"/>
      <c r="AN9" s="175" t="s">
        <v>384</v>
      </c>
      <c r="AO9" s="175" t="s">
        <v>384</v>
      </c>
      <c r="AP9" s="175" t="s">
        <v>384</v>
      </c>
      <c r="AQ9" s="175" t="s">
        <v>384</v>
      </c>
      <c r="AR9" s="175" t="s">
        <v>384</v>
      </c>
      <c r="AS9" s="175" t="s">
        <v>384</v>
      </c>
      <c r="AT9" s="175" t="s">
        <v>384</v>
      </c>
      <c r="AU9" s="175" t="s">
        <v>384</v>
      </c>
      <c r="AV9" s="175" t="s">
        <v>384</v>
      </c>
      <c r="AW9" s="175" t="s">
        <v>384</v>
      </c>
      <c r="AX9" s="175" t="s">
        <v>384</v>
      </c>
      <c r="AY9" s="180">
        <v>2017</v>
      </c>
      <c r="AZ9" s="175"/>
      <c r="BA9" s="175" t="s">
        <v>382</v>
      </c>
      <c r="BB9" s="175" t="s">
        <v>382</v>
      </c>
      <c r="BC9" s="175" t="s">
        <v>382</v>
      </c>
      <c r="BD9" s="175" t="s">
        <v>382</v>
      </c>
      <c r="BE9" s="175" t="s">
        <v>382</v>
      </c>
      <c r="BF9" s="175" t="s">
        <v>382</v>
      </c>
      <c r="BG9" s="175" t="s">
        <v>382</v>
      </c>
      <c r="BH9" s="175" t="s">
        <v>382</v>
      </c>
      <c r="BI9" s="175" t="s">
        <v>382</v>
      </c>
      <c r="BJ9" s="175" t="s">
        <v>382</v>
      </c>
      <c r="BK9" s="175" t="s">
        <v>382</v>
      </c>
      <c r="BL9" s="180">
        <v>2019</v>
      </c>
      <c r="BM9" s="175"/>
      <c r="BN9" s="175" t="s">
        <v>383</v>
      </c>
      <c r="BO9" s="175" t="s">
        <v>383</v>
      </c>
      <c r="BP9" s="175" t="s">
        <v>383</v>
      </c>
      <c r="BQ9" s="175" t="s">
        <v>383</v>
      </c>
      <c r="BR9" s="175" t="s">
        <v>383</v>
      </c>
      <c r="BS9" s="175" t="s">
        <v>383</v>
      </c>
      <c r="BT9" s="175" t="s">
        <v>383</v>
      </c>
      <c r="BU9" s="175" t="s">
        <v>383</v>
      </c>
      <c r="BV9" s="175" t="s">
        <v>383</v>
      </c>
      <c r="BW9" s="175" t="s">
        <v>383</v>
      </c>
      <c r="BX9" s="175" t="s">
        <v>383</v>
      </c>
      <c r="BY9" s="180">
        <v>2018</v>
      </c>
      <c r="BZ9" s="175"/>
      <c r="CA9" s="175" t="s">
        <v>384</v>
      </c>
      <c r="CB9" s="175" t="s">
        <v>384</v>
      </c>
      <c r="CC9" s="175" t="s">
        <v>384</v>
      </c>
      <c r="CD9" s="175" t="s">
        <v>384</v>
      </c>
      <c r="CE9" s="175" t="s">
        <v>384</v>
      </c>
      <c r="CF9" s="175" t="s">
        <v>384</v>
      </c>
      <c r="CG9" s="175" t="s">
        <v>384</v>
      </c>
      <c r="CH9" s="175" t="s">
        <v>384</v>
      </c>
      <c r="CI9" s="175" t="s">
        <v>384</v>
      </c>
      <c r="CJ9" s="175" t="s">
        <v>384</v>
      </c>
      <c r="CK9" s="175" t="s">
        <v>384</v>
      </c>
      <c r="CL9" s="180">
        <v>2017</v>
      </c>
      <c r="CM9" s="175"/>
      <c r="CN9" s="175" t="s">
        <v>382</v>
      </c>
      <c r="CO9" s="175" t="s">
        <v>382</v>
      </c>
      <c r="CP9" s="175" t="s">
        <v>382</v>
      </c>
      <c r="CQ9" s="175" t="s">
        <v>382</v>
      </c>
      <c r="CR9" s="175" t="s">
        <v>382</v>
      </c>
      <c r="CS9" s="175" t="s">
        <v>382</v>
      </c>
      <c r="CT9" s="175" t="s">
        <v>382</v>
      </c>
      <c r="CU9" s="175" t="s">
        <v>382</v>
      </c>
      <c r="CV9" s="175" t="s">
        <v>382</v>
      </c>
      <c r="CW9" s="175" t="s">
        <v>382</v>
      </c>
      <c r="CX9" s="175" t="s">
        <v>382</v>
      </c>
      <c r="CY9" s="180">
        <v>2019</v>
      </c>
      <c r="CZ9" s="175"/>
      <c r="DA9" s="175" t="s">
        <v>383</v>
      </c>
      <c r="DB9" s="175" t="s">
        <v>383</v>
      </c>
      <c r="DC9" s="175" t="s">
        <v>383</v>
      </c>
      <c r="DD9" s="175" t="s">
        <v>383</v>
      </c>
      <c r="DE9" s="175" t="s">
        <v>383</v>
      </c>
      <c r="DF9" s="175" t="s">
        <v>383</v>
      </c>
      <c r="DG9" s="175" t="s">
        <v>383</v>
      </c>
      <c r="DH9" s="175" t="s">
        <v>383</v>
      </c>
      <c r="DI9" s="175" t="s">
        <v>383</v>
      </c>
      <c r="DJ9" s="175" t="s">
        <v>383</v>
      </c>
      <c r="DK9" s="175" t="s">
        <v>383</v>
      </c>
      <c r="DL9" s="180">
        <v>2018</v>
      </c>
      <c r="DM9" s="175"/>
      <c r="DN9" s="175" t="s">
        <v>384</v>
      </c>
      <c r="DO9" s="175" t="s">
        <v>384</v>
      </c>
      <c r="DP9" s="175" t="s">
        <v>384</v>
      </c>
      <c r="DQ9" s="175" t="s">
        <v>384</v>
      </c>
      <c r="DR9" s="175" t="s">
        <v>384</v>
      </c>
      <c r="DS9" s="175" t="s">
        <v>384</v>
      </c>
      <c r="DT9" s="175" t="s">
        <v>384</v>
      </c>
      <c r="DU9" s="175" t="s">
        <v>384</v>
      </c>
      <c r="DV9" s="175" t="s">
        <v>384</v>
      </c>
      <c r="DW9" s="175" t="s">
        <v>384</v>
      </c>
      <c r="DX9" s="175" t="s">
        <v>384</v>
      </c>
      <c r="DY9" s="183">
        <v>2017</v>
      </c>
      <c r="EA9" s="184">
        <v>2019</v>
      </c>
      <c r="EB9" s="184">
        <v>2018</v>
      </c>
      <c r="EC9" s="184">
        <v>2017</v>
      </c>
      <c r="EE9" s="184" t="s">
        <v>382</v>
      </c>
      <c r="EF9" s="184" t="s">
        <v>383</v>
      </c>
      <c r="EG9" s="184" t="s">
        <v>384</v>
      </c>
      <c r="EI9" s="175" t="s">
        <v>382</v>
      </c>
      <c r="EJ9" s="175" t="s">
        <v>382</v>
      </c>
      <c r="EK9" s="175" t="s">
        <v>382</v>
      </c>
      <c r="EL9" s="175" t="s">
        <v>382</v>
      </c>
      <c r="EM9" s="175" t="s">
        <v>382</v>
      </c>
      <c r="EN9" s="180" t="s">
        <v>382</v>
      </c>
      <c r="EO9" s="176" t="s">
        <v>383</v>
      </c>
      <c r="EP9" s="176" t="s">
        <v>383</v>
      </c>
      <c r="EQ9" s="176" t="s">
        <v>383</v>
      </c>
      <c r="ER9" s="176" t="s">
        <v>383</v>
      </c>
      <c r="ES9" s="176" t="s">
        <v>383</v>
      </c>
      <c r="ET9" s="180" t="s">
        <v>383</v>
      </c>
      <c r="EU9" s="176" t="s">
        <v>384</v>
      </c>
      <c r="EV9" s="176" t="s">
        <v>384</v>
      </c>
      <c r="EW9" s="176" t="s">
        <v>384</v>
      </c>
      <c r="EX9" s="176" t="s">
        <v>384</v>
      </c>
      <c r="EY9" s="176" t="s">
        <v>384</v>
      </c>
      <c r="EZ9" s="180" t="s">
        <v>384</v>
      </c>
    </row>
    <row r="10" spans="1:156" x14ac:dyDescent="0.2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80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ET10" s="184"/>
      <c r="EZ10" s="184"/>
    </row>
    <row r="11" spans="1:156" x14ac:dyDescent="0.2">
      <c r="A11" s="182" t="s">
        <v>385</v>
      </c>
      <c r="B11" s="185">
        <v>4061513</v>
      </c>
      <c r="C11" s="182" t="s">
        <v>23</v>
      </c>
      <c r="D11" s="186">
        <v>1003730</v>
      </c>
      <c r="E11" s="186">
        <v>0</v>
      </c>
      <c r="F11" s="186">
        <v>0</v>
      </c>
      <c r="G11" s="186">
        <v>1021400</v>
      </c>
      <c r="H11" s="186">
        <v>0</v>
      </c>
      <c r="I11" s="186">
        <v>0</v>
      </c>
      <c r="J11" s="186">
        <v>1026492</v>
      </c>
      <c r="K11" s="186">
        <v>0</v>
      </c>
      <c r="L11" s="186">
        <v>0</v>
      </c>
      <c r="M11" s="186"/>
      <c r="N11" s="186">
        <v>569457</v>
      </c>
      <c r="O11" s="186">
        <v>64317</v>
      </c>
      <c r="P11" s="186">
        <v>143504</v>
      </c>
      <c r="Q11" s="186">
        <v>295</v>
      </c>
      <c r="R11" s="186">
        <v>4417</v>
      </c>
      <c r="S11" s="186">
        <v>29</v>
      </c>
      <c r="T11" s="186">
        <v>0</v>
      </c>
      <c r="U11" s="186">
        <v>0</v>
      </c>
      <c r="V11" s="186">
        <v>7140</v>
      </c>
      <c r="W11" s="186">
        <v>2411</v>
      </c>
      <c r="X11" s="186">
        <v>45228</v>
      </c>
      <c r="Y11" s="183">
        <f t="shared" ref="Y11:Y56" si="0">IFERROR(D11-IFERROR(SUM(N11:V11,IFERROR(-W11,0),X11),0),0)</f>
        <v>171754</v>
      </c>
      <c r="Z11" s="182"/>
      <c r="AA11" s="186">
        <v>599579</v>
      </c>
      <c r="AB11" s="186">
        <v>70042</v>
      </c>
      <c r="AC11" s="186">
        <v>147562</v>
      </c>
      <c r="AD11" s="186">
        <v>1229</v>
      </c>
      <c r="AE11" s="186">
        <v>4887</v>
      </c>
      <c r="AF11" s="186">
        <v>29</v>
      </c>
      <c r="AG11" s="186">
        <v>0</v>
      </c>
      <c r="AH11" s="186">
        <v>0</v>
      </c>
      <c r="AI11" s="186">
        <v>75</v>
      </c>
      <c r="AJ11" s="186">
        <v>2146</v>
      </c>
      <c r="AK11" s="186">
        <v>49201</v>
      </c>
      <c r="AL11" s="183">
        <f t="shared" ref="AL11:AL56" si="1">IFERROR(G11-IFERROR(SUM(AA11:AI11,IFERROR(-AJ11,0),AK11),0),0)</f>
        <v>150942</v>
      </c>
      <c r="AM11" s="186"/>
      <c r="AN11" s="186">
        <v>595438</v>
      </c>
      <c r="AO11" s="186">
        <v>74599</v>
      </c>
      <c r="AP11" s="186">
        <v>123001</v>
      </c>
      <c r="AQ11" s="186">
        <v>995</v>
      </c>
      <c r="AR11" s="186">
        <v>4180</v>
      </c>
      <c r="AS11" s="186">
        <v>29</v>
      </c>
      <c r="AT11" s="186">
        <v>0</v>
      </c>
      <c r="AU11" s="186">
        <v>0</v>
      </c>
      <c r="AV11" s="186">
        <v>75</v>
      </c>
      <c r="AW11" s="186">
        <v>1643</v>
      </c>
      <c r="AX11" s="186">
        <v>48002</v>
      </c>
      <c r="AY11" s="183">
        <f t="shared" ref="AY11:AY56" si="2">IFERROR(J11-IFERROR(SUM(AN11:AV11,IFERROR(-AW11,0),AX11),0),0)</f>
        <v>181816</v>
      </c>
      <c r="AZ11" s="186"/>
      <c r="BA11" s="186">
        <v>0</v>
      </c>
      <c r="BB11" s="186">
        <v>0</v>
      </c>
      <c r="BC11" s="186">
        <v>0</v>
      </c>
      <c r="BD11" s="186">
        <v>0</v>
      </c>
      <c r="BE11" s="186">
        <v>0</v>
      </c>
      <c r="BF11" s="186">
        <v>0</v>
      </c>
      <c r="BG11" s="186">
        <v>0</v>
      </c>
      <c r="BH11" s="186">
        <v>0</v>
      </c>
      <c r="BI11" s="186">
        <v>0</v>
      </c>
      <c r="BJ11" s="186">
        <v>0</v>
      </c>
      <c r="BK11" s="186">
        <v>0</v>
      </c>
      <c r="BL11" s="183">
        <f t="shared" ref="BL11:BL56" si="3">IFERROR(E11-IFERROR(SUM(BA11:BI11,IFERROR(-BJ11,0),BK11),0),0)</f>
        <v>0</v>
      </c>
      <c r="BM11" s="186"/>
      <c r="BN11" s="186">
        <v>0</v>
      </c>
      <c r="BO11" s="186">
        <v>0</v>
      </c>
      <c r="BP11" s="186">
        <v>0</v>
      </c>
      <c r="BQ11" s="186">
        <v>0</v>
      </c>
      <c r="BR11" s="186">
        <v>0</v>
      </c>
      <c r="BS11" s="186">
        <v>0</v>
      </c>
      <c r="BT11" s="186">
        <v>0</v>
      </c>
      <c r="BU11" s="186">
        <v>0</v>
      </c>
      <c r="BV11" s="186">
        <v>0</v>
      </c>
      <c r="BW11" s="186">
        <v>0</v>
      </c>
      <c r="BX11" s="186">
        <v>0</v>
      </c>
      <c r="BY11" s="183">
        <f t="shared" ref="BY11:BY56" si="4">IFERROR(H11-IFERROR(SUM(BN11:BV11,IFERROR(-BW11,0),BX11),0),0)</f>
        <v>0</v>
      </c>
      <c r="BZ11" s="186"/>
      <c r="CA11" s="186">
        <v>0</v>
      </c>
      <c r="CB11" s="186">
        <v>0</v>
      </c>
      <c r="CC11" s="186">
        <v>0</v>
      </c>
      <c r="CD11" s="186">
        <v>0</v>
      </c>
      <c r="CE11" s="186">
        <v>0</v>
      </c>
      <c r="CF11" s="186">
        <v>0</v>
      </c>
      <c r="CG11" s="186">
        <v>0</v>
      </c>
      <c r="CH11" s="186">
        <v>0</v>
      </c>
      <c r="CI11" s="186">
        <v>0</v>
      </c>
      <c r="CJ11" s="186">
        <v>0</v>
      </c>
      <c r="CK11" s="186">
        <v>0</v>
      </c>
      <c r="CL11" s="183">
        <f t="shared" ref="CL11:CL56" si="5">IFERROR(K11-IFERROR(SUM(CA11:CI11,IFERROR(-CJ11,0),CK11),0),0)</f>
        <v>0</v>
      </c>
      <c r="CM11" s="186"/>
      <c r="CN11" s="186">
        <v>0</v>
      </c>
      <c r="CO11" s="186">
        <v>0</v>
      </c>
      <c r="CP11" s="186">
        <v>0</v>
      </c>
      <c r="CQ11" s="186">
        <v>0</v>
      </c>
      <c r="CR11" s="186">
        <v>0</v>
      </c>
      <c r="CS11" s="186">
        <v>0</v>
      </c>
      <c r="CT11" s="186">
        <v>0</v>
      </c>
      <c r="CU11" s="186">
        <v>0</v>
      </c>
      <c r="CV11" s="186">
        <v>0</v>
      </c>
      <c r="CW11" s="186">
        <v>0</v>
      </c>
      <c r="CX11" s="186">
        <v>0</v>
      </c>
      <c r="CY11" s="183">
        <f t="shared" ref="CY11:CY56" si="6">IFERROR(F11-IFERROR(SUM(CN11:CV11,IFERROR(-CW11,0),CX11),0),0)</f>
        <v>0</v>
      </c>
      <c r="CZ11" s="186"/>
      <c r="DA11" s="186">
        <v>0</v>
      </c>
      <c r="DB11" s="186">
        <v>0</v>
      </c>
      <c r="DC11" s="186">
        <v>0</v>
      </c>
      <c r="DD11" s="186">
        <v>0</v>
      </c>
      <c r="DE11" s="186">
        <v>0</v>
      </c>
      <c r="DF11" s="186">
        <v>0</v>
      </c>
      <c r="DG11" s="186">
        <v>0</v>
      </c>
      <c r="DH11" s="186">
        <v>0</v>
      </c>
      <c r="DI11" s="186">
        <v>0</v>
      </c>
      <c r="DJ11" s="186">
        <v>0</v>
      </c>
      <c r="DK11" s="186">
        <v>0</v>
      </c>
      <c r="DL11" s="183">
        <f t="shared" ref="DL11:DL56" si="7">IFERROR(I11-IFERROR(SUM(DA11:DI11,IFERROR(-DJ11,0),DK11),0),0)</f>
        <v>0</v>
      </c>
      <c r="DM11" s="186"/>
      <c r="DN11" s="186">
        <v>0</v>
      </c>
      <c r="DO11" s="186">
        <v>0</v>
      </c>
      <c r="DP11" s="186">
        <v>0</v>
      </c>
      <c r="DQ11" s="186">
        <v>0</v>
      </c>
      <c r="DR11" s="186">
        <v>0</v>
      </c>
      <c r="DS11" s="186">
        <v>0</v>
      </c>
      <c r="DT11" s="186">
        <v>0</v>
      </c>
      <c r="DU11" s="186">
        <v>0</v>
      </c>
      <c r="DV11" s="186">
        <v>0</v>
      </c>
      <c r="DW11" s="186">
        <v>0</v>
      </c>
      <c r="DX11" s="186">
        <v>0</v>
      </c>
      <c r="DY11" s="183">
        <f t="shared" ref="DY11:DY56" si="8">IFERROR(L11-IFERROR(SUM(DN11:DV11,IFERROR(-DW11,0),DX11),0),0)</f>
        <v>0</v>
      </c>
      <c r="DZ11" s="182"/>
      <c r="EA11" s="187">
        <f t="shared" ref="EA11:EC30" si="9">SUMIF($D$9:$DY$9,EA$9,$D11:$DY11)</f>
        <v>171754</v>
      </c>
      <c r="EB11" s="187">
        <f t="shared" si="9"/>
        <v>150942</v>
      </c>
      <c r="EC11" s="187">
        <f t="shared" si="9"/>
        <v>181816</v>
      </c>
      <c r="ED11" s="182"/>
      <c r="EE11" s="187" t="str">
        <f t="shared" ref="EE11:EE56" si="10">IF(SUM(D11:F11)-IFERROR(SUM(N11:V11,IFERROR(-W11,0),X11),0)-IFERROR(SUM(BA11:BI11,IFERROR(-BJ11,0),BK11),0)-IFERROR(SUM(CN11:CV11,IFERROR(-CW11,0),CX11),0)=EA11,"","ERROR")</f>
        <v/>
      </c>
      <c r="EF11" s="184" t="str">
        <f t="shared" ref="EF11:EF56" si="11">IF(SUM(G11:I11)-IFERROR(SUM(AA11:AI11,IFERROR(-AJ11,0),AK11),0)-IFERROR(SUM(BN11:BV11,IFERROR(-BW11,0),BX11),0)-IFERROR(SUM(DA11:DI11,IFERROR(-DJ11,0),DK11),0)=EB11,"","ERROR")</f>
        <v/>
      </c>
      <c r="EG11" s="184" t="str">
        <f t="shared" ref="EG11:EG56" si="12">IF(SUM(J11:L11)-IFERROR(SUM(AN11:AV11,IFERROR(-AW11,0),AX11),0)-IFERROR(SUM(CA11:CI11,IFERROR(-CJ11,0),CK11),0)-IFERROR(SUM(DN11:DV11,IFERROR(-DW11,0),DX11),0)=EC11,"","ERROR")</f>
        <v/>
      </c>
      <c r="EH11" s="182"/>
      <c r="EI11" s="186">
        <v>3188349</v>
      </c>
      <c r="EJ11" s="186">
        <v>3188349</v>
      </c>
      <c r="EK11" s="186">
        <v>0</v>
      </c>
      <c r="EL11" s="186">
        <v>0</v>
      </c>
      <c r="EM11" s="186">
        <v>0</v>
      </c>
      <c r="EN11" s="183">
        <f t="shared" ref="EN11:EN56" si="13">SUM(EJ11:EL11)</f>
        <v>3188349</v>
      </c>
      <c r="EO11" s="186">
        <v>3098954</v>
      </c>
      <c r="EP11" s="186">
        <v>3098954</v>
      </c>
      <c r="EQ11" s="186">
        <v>0</v>
      </c>
      <c r="ER11" s="186">
        <v>0</v>
      </c>
      <c r="ES11" s="186">
        <v>0</v>
      </c>
      <c r="ET11" s="183">
        <f t="shared" ref="ET11:ET56" si="14">SUM(EP11:ER11)</f>
        <v>3098954</v>
      </c>
      <c r="EU11" s="186">
        <v>3046475</v>
      </c>
      <c r="EV11" s="186">
        <v>3046475</v>
      </c>
      <c r="EW11" s="186">
        <v>0</v>
      </c>
      <c r="EX11" s="186">
        <v>0</v>
      </c>
      <c r="EY11" s="186">
        <v>0</v>
      </c>
      <c r="EZ11" s="183">
        <f t="shared" ref="EZ11:EZ56" si="15">SUM(EV11:EX11)</f>
        <v>3046475</v>
      </c>
    </row>
    <row r="12" spans="1:156" x14ac:dyDescent="0.2">
      <c r="A12" s="182" t="s">
        <v>386</v>
      </c>
      <c r="B12" s="185">
        <v>4063281</v>
      </c>
      <c r="C12" s="182" t="s">
        <v>23</v>
      </c>
      <c r="D12" s="186">
        <v>59916</v>
      </c>
      <c r="E12" s="186">
        <v>16124</v>
      </c>
      <c r="F12" s="186">
        <v>9824</v>
      </c>
      <c r="G12" s="186">
        <v>63319</v>
      </c>
      <c r="H12" s="186">
        <v>17016</v>
      </c>
      <c r="I12" s="186">
        <v>8863</v>
      </c>
      <c r="J12" s="186">
        <v>69301</v>
      </c>
      <c r="K12" s="186">
        <v>16164</v>
      </c>
      <c r="L12" s="186">
        <v>9744</v>
      </c>
      <c r="M12" s="186"/>
      <c r="N12" s="186">
        <v>50483</v>
      </c>
      <c r="O12" s="186">
        <v>965</v>
      </c>
      <c r="P12" s="186">
        <v>2441</v>
      </c>
      <c r="Q12" s="186">
        <v>0</v>
      </c>
      <c r="R12" s="186">
        <v>52</v>
      </c>
      <c r="S12" s="186">
        <v>0</v>
      </c>
      <c r="T12" s="186">
        <v>154</v>
      </c>
      <c r="U12" s="186">
        <v>0</v>
      </c>
      <c r="V12" s="186">
        <v>0</v>
      </c>
      <c r="W12" s="186">
        <v>0</v>
      </c>
      <c r="X12" s="186">
        <v>2157</v>
      </c>
      <c r="Y12" s="183">
        <f t="shared" si="0"/>
        <v>3664</v>
      </c>
      <c r="Z12" s="186"/>
      <c r="AA12" s="186">
        <v>54882</v>
      </c>
      <c r="AB12" s="186">
        <v>1132</v>
      </c>
      <c r="AC12" s="186">
        <v>2306</v>
      </c>
      <c r="AD12" s="186">
        <v>0</v>
      </c>
      <c r="AE12" s="186">
        <v>0</v>
      </c>
      <c r="AF12" s="186">
        <v>0</v>
      </c>
      <c r="AG12" s="186">
        <v>154</v>
      </c>
      <c r="AH12" s="186">
        <v>0</v>
      </c>
      <c r="AI12" s="186">
        <v>0</v>
      </c>
      <c r="AJ12" s="186">
        <v>0</v>
      </c>
      <c r="AK12" s="186">
        <v>2345</v>
      </c>
      <c r="AL12" s="183">
        <f t="shared" si="1"/>
        <v>2500</v>
      </c>
      <c r="AM12" s="186"/>
      <c r="AN12" s="186">
        <v>61279</v>
      </c>
      <c r="AO12" s="186">
        <v>632</v>
      </c>
      <c r="AP12" s="186">
        <v>2209</v>
      </c>
      <c r="AQ12" s="186">
        <v>0</v>
      </c>
      <c r="AR12" s="186">
        <v>0</v>
      </c>
      <c r="AS12" s="186">
        <v>0</v>
      </c>
      <c r="AT12" s="186">
        <v>64</v>
      </c>
      <c r="AU12" s="186">
        <v>0</v>
      </c>
      <c r="AV12" s="186">
        <v>0</v>
      </c>
      <c r="AW12" s="186">
        <v>0</v>
      </c>
      <c r="AX12" s="186">
        <v>2141</v>
      </c>
      <c r="AY12" s="183">
        <f t="shared" si="2"/>
        <v>2976</v>
      </c>
      <c r="AZ12" s="186"/>
      <c r="BA12" s="186">
        <v>11886</v>
      </c>
      <c r="BB12" s="186">
        <v>526</v>
      </c>
      <c r="BC12" s="186">
        <v>1418</v>
      </c>
      <c r="BD12" s="186">
        <v>0</v>
      </c>
      <c r="BE12" s="186">
        <v>-215</v>
      </c>
      <c r="BF12" s="186">
        <v>0</v>
      </c>
      <c r="BG12" s="186">
        <v>111</v>
      </c>
      <c r="BH12" s="186">
        <v>0</v>
      </c>
      <c r="BI12" s="186">
        <v>0</v>
      </c>
      <c r="BJ12" s="186">
        <v>0</v>
      </c>
      <c r="BK12" s="186">
        <v>343</v>
      </c>
      <c r="BL12" s="183">
        <f t="shared" si="3"/>
        <v>2055</v>
      </c>
      <c r="BM12" s="186"/>
      <c r="BN12" s="186">
        <v>13755</v>
      </c>
      <c r="BO12" s="186">
        <v>486</v>
      </c>
      <c r="BP12" s="186">
        <v>1307</v>
      </c>
      <c r="BQ12" s="186">
        <v>0</v>
      </c>
      <c r="BR12" s="186">
        <v>0</v>
      </c>
      <c r="BS12" s="186">
        <v>0</v>
      </c>
      <c r="BT12" s="186">
        <v>111</v>
      </c>
      <c r="BU12" s="186">
        <v>0</v>
      </c>
      <c r="BV12" s="186">
        <v>0</v>
      </c>
      <c r="BW12" s="186">
        <v>0</v>
      </c>
      <c r="BX12" s="186">
        <v>344</v>
      </c>
      <c r="BY12" s="183">
        <f t="shared" si="4"/>
        <v>1013</v>
      </c>
      <c r="BZ12" s="186"/>
      <c r="CA12" s="186">
        <v>12531</v>
      </c>
      <c r="CB12" s="186">
        <v>472</v>
      </c>
      <c r="CC12" s="186">
        <v>1201</v>
      </c>
      <c r="CD12" s="186">
        <v>0</v>
      </c>
      <c r="CE12" s="186">
        <v>0</v>
      </c>
      <c r="CF12" s="186">
        <v>0</v>
      </c>
      <c r="CG12" s="186">
        <v>46</v>
      </c>
      <c r="CH12" s="186">
        <v>0</v>
      </c>
      <c r="CI12" s="186">
        <v>0</v>
      </c>
      <c r="CJ12" s="186">
        <v>0</v>
      </c>
      <c r="CK12" s="186">
        <v>321</v>
      </c>
      <c r="CL12" s="183">
        <f t="shared" si="5"/>
        <v>1593</v>
      </c>
      <c r="CM12" s="186"/>
      <c r="CN12" s="186">
        <v>3290</v>
      </c>
      <c r="CO12" s="186">
        <v>747</v>
      </c>
      <c r="CP12" s="186">
        <v>1680</v>
      </c>
      <c r="CQ12" s="186">
        <v>0</v>
      </c>
      <c r="CR12" s="186">
        <v>-133</v>
      </c>
      <c r="CS12" s="186">
        <v>0</v>
      </c>
      <c r="CT12" s="186">
        <v>212</v>
      </c>
      <c r="CU12" s="186">
        <v>0</v>
      </c>
      <c r="CV12" s="186">
        <v>0</v>
      </c>
      <c r="CW12" s="186">
        <v>0</v>
      </c>
      <c r="CX12" s="186">
        <v>653</v>
      </c>
      <c r="CY12" s="183">
        <f t="shared" si="6"/>
        <v>3375</v>
      </c>
      <c r="CZ12" s="186"/>
      <c r="DA12" s="186">
        <v>3371</v>
      </c>
      <c r="DB12" s="186">
        <v>724</v>
      </c>
      <c r="DC12" s="186">
        <v>1571</v>
      </c>
      <c r="DD12" s="186">
        <v>0</v>
      </c>
      <c r="DE12" s="186">
        <v>0</v>
      </c>
      <c r="DF12" s="186">
        <v>0</v>
      </c>
      <c r="DG12" s="186">
        <v>212</v>
      </c>
      <c r="DH12" s="186">
        <v>0</v>
      </c>
      <c r="DI12" s="186">
        <v>0</v>
      </c>
      <c r="DJ12" s="186">
        <v>0</v>
      </c>
      <c r="DK12" s="186">
        <v>654</v>
      </c>
      <c r="DL12" s="183">
        <f t="shared" si="7"/>
        <v>2331</v>
      </c>
      <c r="DM12" s="186"/>
      <c r="DN12" s="186">
        <v>3374</v>
      </c>
      <c r="DO12" s="186">
        <v>700</v>
      </c>
      <c r="DP12" s="186">
        <v>1479</v>
      </c>
      <c r="DQ12" s="186">
        <v>0</v>
      </c>
      <c r="DR12" s="186">
        <v>0</v>
      </c>
      <c r="DS12" s="186">
        <v>0</v>
      </c>
      <c r="DT12" s="186">
        <v>88</v>
      </c>
      <c r="DU12" s="186">
        <v>0</v>
      </c>
      <c r="DV12" s="186">
        <v>0</v>
      </c>
      <c r="DW12" s="186">
        <v>0</v>
      </c>
      <c r="DX12" s="186">
        <v>621</v>
      </c>
      <c r="DY12" s="183">
        <f t="shared" si="8"/>
        <v>3482</v>
      </c>
      <c r="DZ12" s="182"/>
      <c r="EA12" s="187">
        <f t="shared" si="9"/>
        <v>9094</v>
      </c>
      <c r="EB12" s="187">
        <f t="shared" si="9"/>
        <v>5844</v>
      </c>
      <c r="EC12" s="187">
        <f t="shared" si="9"/>
        <v>8051</v>
      </c>
      <c r="ED12" s="182"/>
      <c r="EE12" s="187" t="str">
        <f t="shared" si="10"/>
        <v/>
      </c>
      <c r="EF12" s="184" t="str">
        <f t="shared" si="11"/>
        <v/>
      </c>
      <c r="EG12" s="184" t="str">
        <f t="shared" si="12"/>
        <v/>
      </c>
      <c r="EH12" s="182"/>
      <c r="EI12" s="186">
        <v>105024</v>
      </c>
      <c r="EJ12" s="186">
        <v>41572</v>
      </c>
      <c r="EK12" s="186">
        <v>17236</v>
      </c>
      <c r="EL12" s="186">
        <v>38290</v>
      </c>
      <c r="EM12" s="186">
        <v>6759</v>
      </c>
      <c r="EN12" s="183">
        <f t="shared" si="13"/>
        <v>97098</v>
      </c>
      <c r="EO12" s="186">
        <v>96067</v>
      </c>
      <c r="EP12" s="186">
        <v>36593</v>
      </c>
      <c r="EQ12" s="186">
        <v>15683</v>
      </c>
      <c r="ER12" s="186">
        <v>36789</v>
      </c>
      <c r="ES12" s="186">
        <v>7002</v>
      </c>
      <c r="ET12" s="183">
        <f t="shared" si="14"/>
        <v>89065</v>
      </c>
      <c r="EU12" s="186">
        <v>86517</v>
      </c>
      <c r="EV12" s="186">
        <v>31948</v>
      </c>
      <c r="EW12" s="186">
        <v>13840</v>
      </c>
      <c r="EX12" s="186">
        <v>33792</v>
      </c>
      <c r="EY12" s="186">
        <v>6937</v>
      </c>
      <c r="EZ12" s="183">
        <f t="shared" si="15"/>
        <v>79580</v>
      </c>
    </row>
    <row r="13" spans="1:156" x14ac:dyDescent="0.2">
      <c r="A13" s="182" t="s">
        <v>387</v>
      </c>
      <c r="B13" s="185">
        <v>4272394</v>
      </c>
      <c r="C13" s="182" t="s">
        <v>31</v>
      </c>
      <c r="D13" s="186">
        <v>1806355</v>
      </c>
      <c r="E13" s="186">
        <v>795055</v>
      </c>
      <c r="F13" s="186">
        <v>0</v>
      </c>
      <c r="G13" s="186">
        <v>1810228</v>
      </c>
      <c r="H13" s="186">
        <v>820445</v>
      </c>
      <c r="I13" s="186">
        <v>0</v>
      </c>
      <c r="J13" s="186">
        <v>1816184</v>
      </c>
      <c r="K13" s="186">
        <v>743095</v>
      </c>
      <c r="L13" s="186">
        <v>0</v>
      </c>
      <c r="M13" s="186"/>
      <c r="N13" s="186">
        <v>691659</v>
      </c>
      <c r="O13" s="186">
        <v>164987</v>
      </c>
      <c r="P13" s="186">
        <v>299449</v>
      </c>
      <c r="Q13" s="186">
        <v>0</v>
      </c>
      <c r="R13" s="186">
        <v>28746</v>
      </c>
      <c r="S13" s="186">
        <v>0</v>
      </c>
      <c r="T13" s="186">
        <v>0</v>
      </c>
      <c r="U13" s="186">
        <v>0</v>
      </c>
      <c r="V13" s="186">
        <v>109202</v>
      </c>
      <c r="W13" s="186">
        <v>8248</v>
      </c>
      <c r="X13" s="186">
        <v>75869</v>
      </c>
      <c r="Y13" s="183">
        <f t="shared" si="0"/>
        <v>444691</v>
      </c>
      <c r="Z13" s="186"/>
      <c r="AA13" s="186">
        <v>770615</v>
      </c>
      <c r="AB13" s="186">
        <v>165736</v>
      </c>
      <c r="AC13" s="186">
        <v>280455</v>
      </c>
      <c r="AD13" s="186">
        <v>0</v>
      </c>
      <c r="AE13" s="186">
        <v>28261</v>
      </c>
      <c r="AF13" s="186">
        <v>0</v>
      </c>
      <c r="AG13" s="186">
        <v>0</v>
      </c>
      <c r="AH13" s="186">
        <v>0</v>
      </c>
      <c r="AI13" s="186">
        <v>88861</v>
      </c>
      <c r="AJ13" s="186">
        <v>12735</v>
      </c>
      <c r="AK13" s="186">
        <v>77842</v>
      </c>
      <c r="AL13" s="183">
        <f t="shared" si="1"/>
        <v>411193</v>
      </c>
      <c r="AM13" s="186"/>
      <c r="AN13" s="186">
        <v>792217</v>
      </c>
      <c r="AO13" s="186">
        <v>163229</v>
      </c>
      <c r="AP13" s="186">
        <v>259445</v>
      </c>
      <c r="AQ13" s="186">
        <v>0</v>
      </c>
      <c r="AR13" s="186">
        <v>22654</v>
      </c>
      <c r="AS13" s="186">
        <v>0</v>
      </c>
      <c r="AT13" s="186">
        <v>0</v>
      </c>
      <c r="AU13" s="186">
        <v>0</v>
      </c>
      <c r="AV13" s="186">
        <v>64959</v>
      </c>
      <c r="AW13" s="186">
        <v>5228</v>
      </c>
      <c r="AX13" s="186">
        <v>76407</v>
      </c>
      <c r="AY13" s="183">
        <f t="shared" si="2"/>
        <v>442501</v>
      </c>
      <c r="AZ13" s="186"/>
      <c r="BA13" s="186">
        <v>444400</v>
      </c>
      <c r="BB13" s="186">
        <v>40653</v>
      </c>
      <c r="BC13" s="186">
        <v>60774</v>
      </c>
      <c r="BD13" s="186">
        <v>0</v>
      </c>
      <c r="BE13" s="186">
        <v>16519</v>
      </c>
      <c r="BF13" s="186">
        <v>0</v>
      </c>
      <c r="BG13" s="186">
        <v>0</v>
      </c>
      <c r="BH13" s="186">
        <v>0</v>
      </c>
      <c r="BI13" s="186">
        <v>24796</v>
      </c>
      <c r="BJ13" s="186">
        <v>13256</v>
      </c>
      <c r="BK13" s="186">
        <v>66939</v>
      </c>
      <c r="BL13" s="183">
        <f t="shared" si="3"/>
        <v>154230</v>
      </c>
      <c r="BM13" s="186"/>
      <c r="BN13" s="186">
        <v>502483</v>
      </c>
      <c r="BO13" s="186">
        <v>38268</v>
      </c>
      <c r="BP13" s="186">
        <v>49871</v>
      </c>
      <c r="BQ13" s="186">
        <v>0</v>
      </c>
      <c r="BR13" s="186">
        <v>15298</v>
      </c>
      <c r="BS13" s="186">
        <v>0</v>
      </c>
      <c r="BT13" s="186">
        <v>0</v>
      </c>
      <c r="BU13" s="186">
        <v>0</v>
      </c>
      <c r="BV13" s="186">
        <v>32290</v>
      </c>
      <c r="BW13" s="186">
        <v>17561</v>
      </c>
      <c r="BX13" s="186">
        <v>66103</v>
      </c>
      <c r="BY13" s="183">
        <f t="shared" si="4"/>
        <v>133693</v>
      </c>
      <c r="BZ13" s="186"/>
      <c r="CA13" s="186">
        <v>439790</v>
      </c>
      <c r="CB13" s="186">
        <v>39921</v>
      </c>
      <c r="CC13" s="186">
        <v>44933</v>
      </c>
      <c r="CD13" s="186">
        <v>0</v>
      </c>
      <c r="CE13" s="186">
        <v>13145</v>
      </c>
      <c r="CF13" s="186">
        <v>0</v>
      </c>
      <c r="CG13" s="186">
        <v>0</v>
      </c>
      <c r="CH13" s="186">
        <v>0</v>
      </c>
      <c r="CI13" s="186">
        <v>16408</v>
      </c>
      <c r="CJ13" s="186">
        <v>6747</v>
      </c>
      <c r="CK13" s="186">
        <v>60138</v>
      </c>
      <c r="CL13" s="183">
        <f t="shared" si="5"/>
        <v>135507</v>
      </c>
      <c r="CM13" s="186"/>
      <c r="CN13" s="186">
        <v>0</v>
      </c>
      <c r="CO13" s="186">
        <v>0</v>
      </c>
      <c r="CP13" s="186">
        <v>0</v>
      </c>
      <c r="CQ13" s="186">
        <v>0</v>
      </c>
      <c r="CR13" s="186">
        <v>0</v>
      </c>
      <c r="CS13" s="186">
        <v>0</v>
      </c>
      <c r="CT13" s="186">
        <v>0</v>
      </c>
      <c r="CU13" s="186">
        <v>0</v>
      </c>
      <c r="CV13" s="186">
        <v>0</v>
      </c>
      <c r="CW13" s="186">
        <v>0</v>
      </c>
      <c r="CX13" s="186">
        <v>0</v>
      </c>
      <c r="CY13" s="183">
        <f t="shared" si="6"/>
        <v>0</v>
      </c>
      <c r="CZ13" s="186"/>
      <c r="DA13" s="186">
        <v>0</v>
      </c>
      <c r="DB13" s="186">
        <v>0</v>
      </c>
      <c r="DC13" s="186">
        <v>0</v>
      </c>
      <c r="DD13" s="186">
        <v>0</v>
      </c>
      <c r="DE13" s="186">
        <v>0</v>
      </c>
      <c r="DF13" s="186">
        <v>0</v>
      </c>
      <c r="DG13" s="186">
        <v>0</v>
      </c>
      <c r="DH13" s="186">
        <v>0</v>
      </c>
      <c r="DI13" s="186">
        <v>0</v>
      </c>
      <c r="DJ13" s="186">
        <v>0</v>
      </c>
      <c r="DK13" s="186">
        <v>0</v>
      </c>
      <c r="DL13" s="183">
        <f t="shared" si="7"/>
        <v>0</v>
      </c>
      <c r="DM13" s="186"/>
      <c r="DN13" s="186">
        <v>0</v>
      </c>
      <c r="DO13" s="186">
        <v>0</v>
      </c>
      <c r="DP13" s="186">
        <v>0</v>
      </c>
      <c r="DQ13" s="186">
        <v>0</v>
      </c>
      <c r="DR13" s="186">
        <v>0</v>
      </c>
      <c r="DS13" s="186">
        <v>0</v>
      </c>
      <c r="DT13" s="186">
        <v>0</v>
      </c>
      <c r="DU13" s="186">
        <v>0</v>
      </c>
      <c r="DV13" s="186">
        <v>0</v>
      </c>
      <c r="DW13" s="186">
        <v>0</v>
      </c>
      <c r="DX13" s="186">
        <v>0</v>
      </c>
      <c r="DY13" s="183">
        <f t="shared" si="8"/>
        <v>0</v>
      </c>
      <c r="DZ13" s="182"/>
      <c r="EA13" s="187">
        <f t="shared" si="9"/>
        <v>598921</v>
      </c>
      <c r="EB13" s="187">
        <f t="shared" si="9"/>
        <v>544886</v>
      </c>
      <c r="EC13" s="187">
        <f t="shared" si="9"/>
        <v>578008</v>
      </c>
      <c r="ED13" s="182"/>
      <c r="EE13" s="187" t="str">
        <f t="shared" si="10"/>
        <v/>
      </c>
      <c r="EF13" s="184" t="str">
        <f t="shared" si="11"/>
        <v/>
      </c>
      <c r="EG13" s="184" t="str">
        <f t="shared" si="12"/>
        <v/>
      </c>
      <c r="EH13" s="182"/>
      <c r="EI13" s="186">
        <v>9252169</v>
      </c>
      <c r="EJ13" s="186">
        <v>7151507</v>
      </c>
      <c r="EK13" s="186">
        <v>2100662</v>
      </c>
      <c r="EL13" s="186">
        <v>0</v>
      </c>
      <c r="EM13" s="186">
        <v>0</v>
      </c>
      <c r="EN13" s="183">
        <f t="shared" si="13"/>
        <v>9252169</v>
      </c>
      <c r="EO13" s="186">
        <v>8410312</v>
      </c>
      <c r="EP13" s="186">
        <v>6561079</v>
      </c>
      <c r="EQ13" s="186">
        <v>1849233</v>
      </c>
      <c r="ER13" s="186">
        <v>0</v>
      </c>
      <c r="ES13" s="186">
        <v>0</v>
      </c>
      <c r="ET13" s="183">
        <f t="shared" si="14"/>
        <v>8410312</v>
      </c>
      <c r="EU13" s="186">
        <v>7554447</v>
      </c>
      <c r="EV13" s="186">
        <v>5959454</v>
      </c>
      <c r="EW13" s="186">
        <v>1594994</v>
      </c>
      <c r="EX13" s="186">
        <v>0</v>
      </c>
      <c r="EY13" s="186">
        <v>0</v>
      </c>
      <c r="EZ13" s="183">
        <f t="shared" si="15"/>
        <v>7554448</v>
      </c>
    </row>
    <row r="14" spans="1:156" x14ac:dyDescent="0.2">
      <c r="A14" s="182" t="s">
        <v>388</v>
      </c>
      <c r="B14" s="185">
        <v>4057102</v>
      </c>
      <c r="C14" s="182" t="s">
        <v>31</v>
      </c>
      <c r="D14" s="186">
        <v>3090669</v>
      </c>
      <c r="E14" s="186">
        <v>133822</v>
      </c>
      <c r="F14" s="186">
        <v>0</v>
      </c>
      <c r="G14" s="186">
        <v>3445455</v>
      </c>
      <c r="H14" s="186">
        <v>138250</v>
      </c>
      <c r="I14" s="186">
        <v>0</v>
      </c>
      <c r="J14" s="186">
        <v>3397202</v>
      </c>
      <c r="K14" s="186">
        <v>125895</v>
      </c>
      <c r="L14" s="186">
        <v>0</v>
      </c>
      <c r="M14" s="186"/>
      <c r="N14" s="186">
        <v>1342331</v>
      </c>
      <c r="O14" s="186">
        <v>286993</v>
      </c>
      <c r="P14" s="186">
        <v>508024</v>
      </c>
      <c r="Q14" s="186">
        <v>0</v>
      </c>
      <c r="R14" s="186">
        <v>25890</v>
      </c>
      <c r="S14" s="186">
        <v>0</v>
      </c>
      <c r="T14" s="186">
        <v>93</v>
      </c>
      <c r="U14" s="186">
        <v>0</v>
      </c>
      <c r="V14" s="186">
        <v>-1277</v>
      </c>
      <c r="W14" s="186">
        <v>8026</v>
      </c>
      <c r="X14" s="186">
        <v>313674</v>
      </c>
      <c r="Y14" s="183">
        <f t="shared" si="0"/>
        <v>622967</v>
      </c>
      <c r="Z14" s="186"/>
      <c r="AA14" s="186">
        <v>1556915</v>
      </c>
      <c r="AB14" s="186">
        <v>275443</v>
      </c>
      <c r="AC14" s="186">
        <v>498506</v>
      </c>
      <c r="AD14" s="186">
        <v>0</v>
      </c>
      <c r="AE14" s="186">
        <v>26951</v>
      </c>
      <c r="AF14" s="186">
        <v>0</v>
      </c>
      <c r="AG14" s="186">
        <v>93</v>
      </c>
      <c r="AH14" s="186">
        <v>0</v>
      </c>
      <c r="AI14" s="186">
        <v>25624</v>
      </c>
      <c r="AJ14" s="186">
        <v>1470</v>
      </c>
      <c r="AK14" s="186">
        <v>312283</v>
      </c>
      <c r="AL14" s="183">
        <f t="shared" si="1"/>
        <v>751110</v>
      </c>
      <c r="AM14" s="186"/>
      <c r="AN14" s="186">
        <v>1578612</v>
      </c>
      <c r="AO14" s="186">
        <v>258199</v>
      </c>
      <c r="AP14" s="186">
        <v>485891</v>
      </c>
      <c r="AQ14" s="186">
        <v>0</v>
      </c>
      <c r="AR14" s="186">
        <v>23124</v>
      </c>
      <c r="AS14" s="186">
        <v>0</v>
      </c>
      <c r="AT14" s="186">
        <v>93</v>
      </c>
      <c r="AU14" s="186">
        <v>0</v>
      </c>
      <c r="AV14" s="186">
        <v>12548</v>
      </c>
      <c r="AW14" s="186">
        <v>2582</v>
      </c>
      <c r="AX14" s="186">
        <v>312828</v>
      </c>
      <c r="AY14" s="183">
        <f t="shared" si="2"/>
        <v>728489</v>
      </c>
      <c r="AZ14" s="186"/>
      <c r="BA14" s="186">
        <v>83106</v>
      </c>
      <c r="BB14" s="186">
        <v>4643</v>
      </c>
      <c r="BC14" s="186">
        <v>12272</v>
      </c>
      <c r="BD14" s="186">
        <v>0</v>
      </c>
      <c r="BE14" s="186">
        <v>663</v>
      </c>
      <c r="BF14" s="186">
        <v>0</v>
      </c>
      <c r="BG14" s="186">
        <v>0</v>
      </c>
      <c r="BH14" s="186">
        <v>0</v>
      </c>
      <c r="BI14" s="186">
        <v>840</v>
      </c>
      <c r="BJ14" s="186">
        <v>-794</v>
      </c>
      <c r="BK14" s="186">
        <v>14973</v>
      </c>
      <c r="BL14" s="183">
        <f t="shared" si="3"/>
        <v>16531</v>
      </c>
      <c r="BM14" s="186"/>
      <c r="BN14" s="186">
        <v>87947</v>
      </c>
      <c r="BO14" s="186">
        <v>3902</v>
      </c>
      <c r="BP14" s="186">
        <v>11962</v>
      </c>
      <c r="BQ14" s="186">
        <v>0</v>
      </c>
      <c r="BR14" s="186">
        <v>250</v>
      </c>
      <c r="BS14" s="186">
        <v>0</v>
      </c>
      <c r="BT14" s="186">
        <v>0</v>
      </c>
      <c r="BU14" s="186">
        <v>0</v>
      </c>
      <c r="BV14" s="186">
        <v>700</v>
      </c>
      <c r="BW14" s="186">
        <v>0</v>
      </c>
      <c r="BX14" s="186">
        <v>16522</v>
      </c>
      <c r="BY14" s="183">
        <f t="shared" si="4"/>
        <v>16967</v>
      </c>
      <c r="BZ14" s="186"/>
      <c r="CA14" s="186">
        <v>76681</v>
      </c>
      <c r="CB14" s="186">
        <v>4525</v>
      </c>
      <c r="CC14" s="186">
        <v>11228</v>
      </c>
      <c r="CD14" s="186">
        <v>0</v>
      </c>
      <c r="CE14" s="186">
        <v>0</v>
      </c>
      <c r="CF14" s="186">
        <v>0</v>
      </c>
      <c r="CG14" s="186">
        <v>0</v>
      </c>
      <c r="CH14" s="186">
        <v>0</v>
      </c>
      <c r="CI14" s="186">
        <v>700</v>
      </c>
      <c r="CJ14" s="186">
        <v>0</v>
      </c>
      <c r="CK14" s="186">
        <v>15204</v>
      </c>
      <c r="CL14" s="183">
        <f t="shared" si="5"/>
        <v>17557</v>
      </c>
      <c r="CM14" s="186"/>
      <c r="CN14" s="186">
        <v>0</v>
      </c>
      <c r="CO14" s="186">
        <v>0</v>
      </c>
      <c r="CP14" s="186">
        <v>0</v>
      </c>
      <c r="CQ14" s="186">
        <v>0</v>
      </c>
      <c r="CR14" s="186">
        <v>0</v>
      </c>
      <c r="CS14" s="186">
        <v>0</v>
      </c>
      <c r="CT14" s="186">
        <v>0</v>
      </c>
      <c r="CU14" s="186">
        <v>0</v>
      </c>
      <c r="CV14" s="186">
        <v>0</v>
      </c>
      <c r="CW14" s="186">
        <v>0</v>
      </c>
      <c r="CX14" s="186">
        <v>0</v>
      </c>
      <c r="CY14" s="183">
        <f t="shared" si="6"/>
        <v>0</v>
      </c>
      <c r="CZ14" s="186"/>
      <c r="DA14" s="186">
        <v>0</v>
      </c>
      <c r="DB14" s="186">
        <v>0</v>
      </c>
      <c r="DC14" s="186">
        <v>0</v>
      </c>
      <c r="DD14" s="186">
        <v>0</v>
      </c>
      <c r="DE14" s="186">
        <v>0</v>
      </c>
      <c r="DF14" s="186">
        <v>0</v>
      </c>
      <c r="DG14" s="186">
        <v>0</v>
      </c>
      <c r="DH14" s="186">
        <v>0</v>
      </c>
      <c r="DI14" s="186">
        <v>0</v>
      </c>
      <c r="DJ14" s="186">
        <v>0</v>
      </c>
      <c r="DK14" s="186">
        <v>0</v>
      </c>
      <c r="DL14" s="183">
        <f t="shared" si="7"/>
        <v>0</v>
      </c>
      <c r="DM14" s="186"/>
      <c r="DN14" s="186">
        <v>0</v>
      </c>
      <c r="DO14" s="186">
        <v>0</v>
      </c>
      <c r="DP14" s="186">
        <v>0</v>
      </c>
      <c r="DQ14" s="186">
        <v>0</v>
      </c>
      <c r="DR14" s="186">
        <v>0</v>
      </c>
      <c r="DS14" s="186">
        <v>0</v>
      </c>
      <c r="DT14" s="186">
        <v>0</v>
      </c>
      <c r="DU14" s="186">
        <v>0</v>
      </c>
      <c r="DV14" s="186">
        <v>0</v>
      </c>
      <c r="DW14" s="186">
        <v>0</v>
      </c>
      <c r="DX14" s="186">
        <v>0</v>
      </c>
      <c r="DY14" s="183">
        <f t="shared" si="8"/>
        <v>0</v>
      </c>
      <c r="DZ14" s="182"/>
      <c r="EA14" s="187">
        <f t="shared" si="9"/>
        <v>639498</v>
      </c>
      <c r="EB14" s="187">
        <f t="shared" si="9"/>
        <v>768077</v>
      </c>
      <c r="EC14" s="187">
        <f t="shared" si="9"/>
        <v>746046</v>
      </c>
      <c r="ED14" s="182"/>
      <c r="EE14" s="187" t="str">
        <f t="shared" si="10"/>
        <v/>
      </c>
      <c r="EF14" s="184" t="str">
        <f t="shared" si="11"/>
        <v/>
      </c>
      <c r="EG14" s="184" t="str">
        <f t="shared" si="12"/>
        <v/>
      </c>
      <c r="EH14" s="182"/>
      <c r="EI14" s="186">
        <v>11384306</v>
      </c>
      <c r="EJ14" s="186">
        <v>11052100</v>
      </c>
      <c r="EK14" s="186">
        <v>332206</v>
      </c>
      <c r="EL14" s="186">
        <v>0</v>
      </c>
      <c r="EM14" s="186">
        <v>0</v>
      </c>
      <c r="EN14" s="183">
        <f t="shared" si="13"/>
        <v>11384306</v>
      </c>
      <c r="EO14" s="186">
        <v>10776484</v>
      </c>
      <c r="EP14" s="186">
        <v>10460751</v>
      </c>
      <c r="EQ14" s="186">
        <v>315734</v>
      </c>
      <c r="ER14" s="186">
        <v>0</v>
      </c>
      <c r="ES14" s="186">
        <v>0</v>
      </c>
      <c r="ET14" s="183">
        <f t="shared" si="14"/>
        <v>10776485</v>
      </c>
      <c r="EU14" s="186">
        <v>10427630</v>
      </c>
      <c r="EV14" s="186">
        <v>10128404</v>
      </c>
      <c r="EW14" s="186">
        <v>299226</v>
      </c>
      <c r="EX14" s="186">
        <v>0</v>
      </c>
      <c r="EY14" s="186">
        <v>0</v>
      </c>
      <c r="EZ14" s="183">
        <f t="shared" si="15"/>
        <v>10427630</v>
      </c>
    </row>
    <row r="15" spans="1:156" x14ac:dyDescent="0.2">
      <c r="A15" s="182" t="s">
        <v>389</v>
      </c>
      <c r="B15" s="185">
        <v>4057110</v>
      </c>
      <c r="C15" s="188" t="s">
        <v>119</v>
      </c>
      <c r="D15" s="186" t="s">
        <v>92</v>
      </c>
      <c r="E15" s="186">
        <f>H15</f>
        <v>77270</v>
      </c>
      <c r="F15" s="186" t="s">
        <v>92</v>
      </c>
      <c r="G15" s="186">
        <v>0</v>
      </c>
      <c r="H15" s="186">
        <v>77270</v>
      </c>
      <c r="I15" s="186">
        <v>0</v>
      </c>
      <c r="J15" s="186">
        <v>0</v>
      </c>
      <c r="K15" s="186">
        <v>72233</v>
      </c>
      <c r="L15" s="186">
        <v>0</v>
      </c>
      <c r="M15" s="186"/>
      <c r="N15" s="186" t="s">
        <v>92</v>
      </c>
      <c r="O15" s="186" t="s">
        <v>92</v>
      </c>
      <c r="P15" s="186" t="s">
        <v>92</v>
      </c>
      <c r="Q15" s="186" t="s">
        <v>92</v>
      </c>
      <c r="R15" s="186" t="s">
        <v>92</v>
      </c>
      <c r="S15" s="186" t="s">
        <v>92</v>
      </c>
      <c r="T15" s="186" t="s">
        <v>92</v>
      </c>
      <c r="U15" s="186" t="s">
        <v>92</v>
      </c>
      <c r="V15" s="186" t="s">
        <v>92</v>
      </c>
      <c r="W15" s="186" t="s">
        <v>92</v>
      </c>
      <c r="X15" s="186" t="s">
        <v>92</v>
      </c>
      <c r="Y15" s="183">
        <f t="shared" si="0"/>
        <v>0</v>
      </c>
      <c r="Z15" s="186"/>
      <c r="AA15" s="186" t="s">
        <v>92</v>
      </c>
      <c r="AB15" s="186" t="s">
        <v>92</v>
      </c>
      <c r="AC15" s="186" t="s">
        <v>92</v>
      </c>
      <c r="AD15" s="186" t="s">
        <v>92</v>
      </c>
      <c r="AE15" s="186" t="s">
        <v>92</v>
      </c>
      <c r="AF15" s="186" t="s">
        <v>92</v>
      </c>
      <c r="AG15" s="186" t="s">
        <v>92</v>
      </c>
      <c r="AH15" s="186" t="s">
        <v>92</v>
      </c>
      <c r="AI15" s="186" t="s">
        <v>92</v>
      </c>
      <c r="AJ15" s="186" t="s">
        <v>92</v>
      </c>
      <c r="AK15" s="186" t="s">
        <v>92</v>
      </c>
      <c r="AL15" s="183">
        <f t="shared" si="1"/>
        <v>0</v>
      </c>
      <c r="AM15" s="186"/>
      <c r="AN15" s="186" t="s">
        <v>92</v>
      </c>
      <c r="AO15" s="186" t="s">
        <v>92</v>
      </c>
      <c r="AP15" s="186" t="s">
        <v>92</v>
      </c>
      <c r="AQ15" s="186" t="s">
        <v>92</v>
      </c>
      <c r="AR15" s="186" t="s">
        <v>92</v>
      </c>
      <c r="AS15" s="186" t="s">
        <v>92</v>
      </c>
      <c r="AT15" s="186" t="s">
        <v>92</v>
      </c>
      <c r="AU15" s="186" t="s">
        <v>92</v>
      </c>
      <c r="AV15" s="186" t="s">
        <v>92</v>
      </c>
      <c r="AW15" s="186" t="s">
        <v>92</v>
      </c>
      <c r="AX15" s="186" t="s">
        <v>92</v>
      </c>
      <c r="AY15" s="183">
        <f t="shared" si="2"/>
        <v>0</v>
      </c>
      <c r="AZ15" s="186"/>
      <c r="BA15" s="186" t="s">
        <v>92</v>
      </c>
      <c r="BB15" s="186" t="s">
        <v>92</v>
      </c>
      <c r="BC15" s="186" t="s">
        <v>92</v>
      </c>
      <c r="BD15" s="186" t="s">
        <v>92</v>
      </c>
      <c r="BE15" s="186" t="s">
        <v>92</v>
      </c>
      <c r="BF15" s="186" t="s">
        <v>92</v>
      </c>
      <c r="BG15" s="186" t="s">
        <v>92</v>
      </c>
      <c r="BH15" s="186" t="s">
        <v>92</v>
      </c>
      <c r="BI15" s="186" t="s">
        <v>92</v>
      </c>
      <c r="BJ15" s="186" t="s">
        <v>92</v>
      </c>
      <c r="BK15" s="186" t="s">
        <v>92</v>
      </c>
      <c r="BL15" s="183">
        <f>BY15</f>
        <v>7192</v>
      </c>
      <c r="BM15" s="186"/>
      <c r="BN15" s="186">
        <v>54924</v>
      </c>
      <c r="BO15" s="186">
        <v>2557</v>
      </c>
      <c r="BP15" s="186">
        <v>8581</v>
      </c>
      <c r="BQ15" s="186" t="s">
        <v>92</v>
      </c>
      <c r="BR15" s="186">
        <v>0</v>
      </c>
      <c r="BS15" s="186">
        <v>0</v>
      </c>
      <c r="BT15" s="186">
        <v>0</v>
      </c>
      <c r="BU15" s="186">
        <v>0</v>
      </c>
      <c r="BV15" s="186">
        <v>0</v>
      </c>
      <c r="BW15" s="186">
        <v>0</v>
      </c>
      <c r="BX15" s="186">
        <v>4016</v>
      </c>
      <c r="BY15" s="183">
        <f t="shared" si="4"/>
        <v>7192</v>
      </c>
      <c r="BZ15" s="186"/>
      <c r="CA15" s="186">
        <v>49193</v>
      </c>
      <c r="CB15" s="186">
        <v>2762</v>
      </c>
      <c r="CC15" s="186">
        <v>8238</v>
      </c>
      <c r="CD15" s="186" t="s">
        <v>92</v>
      </c>
      <c r="CE15" s="186">
        <v>-36</v>
      </c>
      <c r="CF15" s="186">
        <v>0</v>
      </c>
      <c r="CG15" s="186">
        <v>0</v>
      </c>
      <c r="CH15" s="186">
        <v>0</v>
      </c>
      <c r="CI15" s="186">
        <v>0</v>
      </c>
      <c r="CJ15" s="186">
        <v>0</v>
      </c>
      <c r="CK15" s="186">
        <v>3424</v>
      </c>
      <c r="CL15" s="183">
        <f t="shared" si="5"/>
        <v>8652</v>
      </c>
      <c r="CM15" s="186"/>
      <c r="CN15" s="186" t="s">
        <v>92</v>
      </c>
      <c r="CO15" s="186" t="s">
        <v>92</v>
      </c>
      <c r="CP15" s="186" t="s">
        <v>92</v>
      </c>
      <c r="CQ15" s="186" t="s">
        <v>92</v>
      </c>
      <c r="CR15" s="186" t="s">
        <v>92</v>
      </c>
      <c r="CS15" s="186" t="s">
        <v>92</v>
      </c>
      <c r="CT15" s="186" t="s">
        <v>92</v>
      </c>
      <c r="CU15" s="186" t="s">
        <v>92</v>
      </c>
      <c r="CV15" s="186" t="s">
        <v>92</v>
      </c>
      <c r="CW15" s="186" t="s">
        <v>92</v>
      </c>
      <c r="CX15" s="186" t="s">
        <v>92</v>
      </c>
      <c r="CY15" s="183">
        <f t="shared" si="6"/>
        <v>0</v>
      </c>
      <c r="CZ15" s="186"/>
      <c r="DA15" s="186" t="s">
        <v>92</v>
      </c>
      <c r="DB15" s="186" t="s">
        <v>92</v>
      </c>
      <c r="DC15" s="186" t="s">
        <v>92</v>
      </c>
      <c r="DD15" s="186" t="s">
        <v>92</v>
      </c>
      <c r="DE15" s="186" t="s">
        <v>92</v>
      </c>
      <c r="DF15" s="186" t="s">
        <v>92</v>
      </c>
      <c r="DG15" s="186" t="s">
        <v>92</v>
      </c>
      <c r="DH15" s="186" t="s">
        <v>92</v>
      </c>
      <c r="DI15" s="186" t="s">
        <v>92</v>
      </c>
      <c r="DJ15" s="186" t="s">
        <v>92</v>
      </c>
      <c r="DK15" s="186" t="s">
        <v>92</v>
      </c>
      <c r="DL15" s="183">
        <f t="shared" si="7"/>
        <v>0</v>
      </c>
      <c r="DM15" s="186"/>
      <c r="DN15" s="186" t="s">
        <v>92</v>
      </c>
      <c r="DO15" s="186" t="s">
        <v>92</v>
      </c>
      <c r="DP15" s="186" t="s">
        <v>92</v>
      </c>
      <c r="DQ15" s="186" t="s">
        <v>92</v>
      </c>
      <c r="DR15" s="186" t="s">
        <v>92</v>
      </c>
      <c r="DS15" s="186" t="s">
        <v>92</v>
      </c>
      <c r="DT15" s="186" t="s">
        <v>92</v>
      </c>
      <c r="DU15" s="186" t="s">
        <v>92</v>
      </c>
      <c r="DV15" s="186" t="s">
        <v>92</v>
      </c>
      <c r="DW15" s="186" t="s">
        <v>92</v>
      </c>
      <c r="DX15" s="186" t="s">
        <v>92</v>
      </c>
      <c r="DY15" s="183">
        <f t="shared" si="8"/>
        <v>0</v>
      </c>
      <c r="DZ15" s="182"/>
      <c r="EA15" s="187">
        <f t="shared" si="9"/>
        <v>7192</v>
      </c>
      <c r="EB15" s="187">
        <f t="shared" si="9"/>
        <v>7192</v>
      </c>
      <c r="EC15" s="187">
        <f t="shared" si="9"/>
        <v>8652</v>
      </c>
      <c r="ED15" s="182"/>
      <c r="EE15" s="187" t="str">
        <f t="shared" si="10"/>
        <v>ERROR</v>
      </c>
      <c r="EF15" s="184" t="str">
        <f t="shared" si="11"/>
        <v/>
      </c>
      <c r="EG15" s="184" t="str">
        <f t="shared" si="12"/>
        <v/>
      </c>
      <c r="EH15" s="182"/>
      <c r="EI15" s="186" t="s">
        <v>92</v>
      </c>
      <c r="EJ15" s="186" t="s">
        <v>92</v>
      </c>
      <c r="EK15" s="186">
        <f>EQ15</f>
        <v>200356</v>
      </c>
      <c r="EL15" s="186" t="s">
        <v>92</v>
      </c>
      <c r="EM15" s="186" t="s">
        <v>92</v>
      </c>
      <c r="EN15" s="183">
        <f t="shared" si="13"/>
        <v>200356</v>
      </c>
      <c r="EO15" s="186" t="s">
        <v>92</v>
      </c>
      <c r="EP15" s="186" t="s">
        <v>92</v>
      </c>
      <c r="EQ15" s="186">
        <v>200356</v>
      </c>
      <c r="ER15" s="186" t="s">
        <v>92</v>
      </c>
      <c r="ES15" s="186" t="s">
        <v>92</v>
      </c>
      <c r="ET15" s="183">
        <f t="shared" si="14"/>
        <v>200356</v>
      </c>
      <c r="EU15" s="186" t="s">
        <v>92</v>
      </c>
      <c r="EV15" s="186" t="s">
        <v>92</v>
      </c>
      <c r="EW15" s="186">
        <v>185768</v>
      </c>
      <c r="EX15" s="186" t="s">
        <v>92</v>
      </c>
      <c r="EY15" s="186" t="s">
        <v>92</v>
      </c>
      <c r="EZ15" s="183">
        <f t="shared" si="15"/>
        <v>185768</v>
      </c>
    </row>
    <row r="16" spans="1:156" x14ac:dyDescent="0.2">
      <c r="A16" s="182" t="s">
        <v>390</v>
      </c>
      <c r="B16" s="185">
        <v>4056978</v>
      </c>
      <c r="C16" s="188" t="s">
        <v>119</v>
      </c>
      <c r="D16" s="186">
        <v>792637</v>
      </c>
      <c r="E16" s="186">
        <v>0</v>
      </c>
      <c r="F16" s="186">
        <v>0</v>
      </c>
      <c r="G16" s="186">
        <v>826805</v>
      </c>
      <c r="H16" s="186">
        <v>0</v>
      </c>
      <c r="I16" s="186">
        <v>0</v>
      </c>
      <c r="J16" s="186">
        <v>818811</v>
      </c>
      <c r="K16" s="186">
        <v>0</v>
      </c>
      <c r="L16" s="186">
        <v>0</v>
      </c>
      <c r="M16" s="186"/>
      <c r="N16" s="186">
        <v>340420</v>
      </c>
      <c r="O16" s="186">
        <v>86247</v>
      </c>
      <c r="P16" s="186">
        <v>100511</v>
      </c>
      <c r="Q16" s="186">
        <v>0</v>
      </c>
      <c r="R16" s="186">
        <v>9532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61240</v>
      </c>
      <c r="Y16" s="183">
        <f t="shared" si="0"/>
        <v>194687</v>
      </c>
      <c r="Z16" s="186"/>
      <c r="AA16" s="186">
        <v>348440</v>
      </c>
      <c r="AB16" s="186">
        <v>100176</v>
      </c>
      <c r="AC16" s="186">
        <v>94335</v>
      </c>
      <c r="AD16" s="186">
        <v>0</v>
      </c>
      <c r="AE16" s="186">
        <v>8481</v>
      </c>
      <c r="AF16" s="186">
        <v>0</v>
      </c>
      <c r="AG16" s="186">
        <v>0</v>
      </c>
      <c r="AH16" s="186">
        <v>0</v>
      </c>
      <c r="AI16" s="186">
        <v>0</v>
      </c>
      <c r="AJ16" s="186">
        <v>0</v>
      </c>
      <c r="AK16" s="186">
        <v>57228</v>
      </c>
      <c r="AL16" s="183">
        <f t="shared" si="1"/>
        <v>218145</v>
      </c>
      <c r="AM16" s="186"/>
      <c r="AN16" s="186">
        <v>326733</v>
      </c>
      <c r="AO16" s="186">
        <v>75977</v>
      </c>
      <c r="AP16" s="186">
        <v>82735</v>
      </c>
      <c r="AQ16" s="186">
        <v>0</v>
      </c>
      <c r="AR16" s="186">
        <v>5068</v>
      </c>
      <c r="AS16" s="186">
        <v>0</v>
      </c>
      <c r="AT16" s="186">
        <v>0</v>
      </c>
      <c r="AU16" s="186">
        <v>0</v>
      </c>
      <c r="AV16" s="186">
        <v>0</v>
      </c>
      <c r="AW16" s="186">
        <v>0</v>
      </c>
      <c r="AX16" s="186">
        <v>52841</v>
      </c>
      <c r="AY16" s="183">
        <f t="shared" si="2"/>
        <v>275457</v>
      </c>
      <c r="AZ16" s="186"/>
      <c r="BA16" s="186">
        <v>0</v>
      </c>
      <c r="BB16" s="186">
        <v>0</v>
      </c>
      <c r="BC16" s="186">
        <v>0</v>
      </c>
      <c r="BD16" s="186">
        <v>0</v>
      </c>
      <c r="BE16" s="186">
        <v>0</v>
      </c>
      <c r="BF16" s="186">
        <v>0</v>
      </c>
      <c r="BG16" s="186">
        <v>0</v>
      </c>
      <c r="BH16" s="186">
        <v>0</v>
      </c>
      <c r="BI16" s="186">
        <v>0</v>
      </c>
      <c r="BJ16" s="186">
        <v>0</v>
      </c>
      <c r="BK16" s="186">
        <v>0</v>
      </c>
      <c r="BL16" s="183">
        <f t="shared" si="3"/>
        <v>0</v>
      </c>
      <c r="BM16" s="186"/>
      <c r="BN16" s="186">
        <v>0</v>
      </c>
      <c r="BO16" s="186">
        <v>0</v>
      </c>
      <c r="BP16" s="186">
        <v>0</v>
      </c>
      <c r="BQ16" s="186">
        <v>0</v>
      </c>
      <c r="BR16" s="186">
        <v>0</v>
      </c>
      <c r="BS16" s="186">
        <v>0</v>
      </c>
      <c r="BT16" s="186">
        <v>0</v>
      </c>
      <c r="BU16" s="186">
        <v>0</v>
      </c>
      <c r="BV16" s="186">
        <v>0</v>
      </c>
      <c r="BW16" s="186">
        <v>0</v>
      </c>
      <c r="BX16" s="186">
        <v>0</v>
      </c>
      <c r="BY16" s="183">
        <f t="shared" si="4"/>
        <v>0</v>
      </c>
      <c r="BZ16" s="186"/>
      <c r="CA16" s="186">
        <v>0</v>
      </c>
      <c r="CB16" s="186">
        <v>0</v>
      </c>
      <c r="CC16" s="186">
        <v>0</v>
      </c>
      <c r="CD16" s="186">
        <v>0</v>
      </c>
      <c r="CE16" s="186">
        <v>0</v>
      </c>
      <c r="CF16" s="186">
        <v>0</v>
      </c>
      <c r="CG16" s="186">
        <v>0</v>
      </c>
      <c r="CH16" s="186">
        <v>0</v>
      </c>
      <c r="CI16" s="186">
        <v>0</v>
      </c>
      <c r="CJ16" s="186">
        <v>0</v>
      </c>
      <c r="CK16" s="186">
        <v>0</v>
      </c>
      <c r="CL16" s="183">
        <f t="shared" si="5"/>
        <v>0</v>
      </c>
      <c r="CM16" s="186"/>
      <c r="CN16" s="186">
        <v>0</v>
      </c>
      <c r="CO16" s="186">
        <v>0</v>
      </c>
      <c r="CP16" s="186">
        <v>0</v>
      </c>
      <c r="CQ16" s="186">
        <v>0</v>
      </c>
      <c r="CR16" s="186">
        <v>0</v>
      </c>
      <c r="CS16" s="186">
        <v>0</v>
      </c>
      <c r="CT16" s="186">
        <v>0</v>
      </c>
      <c r="CU16" s="186">
        <v>0</v>
      </c>
      <c r="CV16" s="186">
        <v>0</v>
      </c>
      <c r="CW16" s="186">
        <v>0</v>
      </c>
      <c r="CX16" s="186">
        <v>0</v>
      </c>
      <c r="CY16" s="183">
        <f t="shared" si="6"/>
        <v>0</v>
      </c>
      <c r="CZ16" s="186"/>
      <c r="DA16" s="186">
        <v>0</v>
      </c>
      <c r="DB16" s="186">
        <v>0</v>
      </c>
      <c r="DC16" s="186">
        <v>0</v>
      </c>
      <c r="DD16" s="186">
        <v>0</v>
      </c>
      <c r="DE16" s="186">
        <v>0</v>
      </c>
      <c r="DF16" s="186">
        <v>0</v>
      </c>
      <c r="DG16" s="186">
        <v>0</v>
      </c>
      <c r="DH16" s="186">
        <v>0</v>
      </c>
      <c r="DI16" s="186">
        <v>0</v>
      </c>
      <c r="DJ16" s="186">
        <v>0</v>
      </c>
      <c r="DK16" s="186">
        <v>0</v>
      </c>
      <c r="DL16" s="183">
        <f t="shared" si="7"/>
        <v>0</v>
      </c>
      <c r="DM16" s="186"/>
      <c r="DN16" s="186">
        <v>0</v>
      </c>
      <c r="DO16" s="186">
        <v>0</v>
      </c>
      <c r="DP16" s="186">
        <v>0</v>
      </c>
      <c r="DQ16" s="186">
        <v>0</v>
      </c>
      <c r="DR16" s="186">
        <v>0</v>
      </c>
      <c r="DS16" s="186">
        <v>0</v>
      </c>
      <c r="DT16" s="186">
        <v>0</v>
      </c>
      <c r="DU16" s="186">
        <v>0</v>
      </c>
      <c r="DV16" s="186">
        <v>0</v>
      </c>
      <c r="DW16" s="186">
        <v>0</v>
      </c>
      <c r="DX16" s="186">
        <v>0</v>
      </c>
      <c r="DY16" s="183">
        <f t="shared" si="8"/>
        <v>0</v>
      </c>
      <c r="DZ16" s="182"/>
      <c r="EA16" s="187">
        <f t="shared" si="9"/>
        <v>194687</v>
      </c>
      <c r="EB16" s="187">
        <f t="shared" si="9"/>
        <v>218145</v>
      </c>
      <c r="EC16" s="187">
        <f t="shared" si="9"/>
        <v>275457</v>
      </c>
      <c r="ED16" s="182"/>
      <c r="EE16" s="187" t="str">
        <f t="shared" si="10"/>
        <v/>
      </c>
      <c r="EF16" s="184" t="str">
        <f t="shared" si="11"/>
        <v/>
      </c>
      <c r="EG16" s="184" t="str">
        <f t="shared" si="12"/>
        <v/>
      </c>
      <c r="EH16" s="182"/>
      <c r="EI16" s="186">
        <v>3772729</v>
      </c>
      <c r="EJ16" s="186">
        <v>3772729</v>
      </c>
      <c r="EK16" s="186">
        <v>0</v>
      </c>
      <c r="EL16" s="186">
        <v>0</v>
      </c>
      <c r="EM16" s="186">
        <v>0</v>
      </c>
      <c r="EN16" s="183">
        <f t="shared" si="13"/>
        <v>3772729</v>
      </c>
      <c r="EO16" s="186">
        <v>3556686</v>
      </c>
      <c r="EP16" s="186">
        <v>3556686</v>
      </c>
      <c r="EQ16" s="186">
        <v>0</v>
      </c>
      <c r="ER16" s="186">
        <v>0</v>
      </c>
      <c r="ES16" s="186">
        <v>0</v>
      </c>
      <c r="ET16" s="183">
        <f t="shared" si="14"/>
        <v>3556686</v>
      </c>
      <c r="EU16" s="186">
        <v>3482145</v>
      </c>
      <c r="EV16" s="186">
        <v>3482145</v>
      </c>
      <c r="EW16" s="186">
        <v>0</v>
      </c>
      <c r="EX16" s="186">
        <v>0</v>
      </c>
      <c r="EY16" s="186">
        <v>0</v>
      </c>
      <c r="EZ16" s="183">
        <f t="shared" si="15"/>
        <v>3482145</v>
      </c>
    </row>
    <row r="17" spans="1:156" x14ac:dyDescent="0.2">
      <c r="A17" s="182" t="s">
        <v>391</v>
      </c>
      <c r="B17" s="185">
        <v>4059402</v>
      </c>
      <c r="C17" s="188" t="s">
        <v>119</v>
      </c>
      <c r="D17" s="186" t="s">
        <v>92</v>
      </c>
      <c r="E17" s="186">
        <f>H17</f>
        <v>372505</v>
      </c>
      <c r="F17" s="186" t="s">
        <v>92</v>
      </c>
      <c r="G17" s="186">
        <v>0</v>
      </c>
      <c r="H17" s="186">
        <v>372505</v>
      </c>
      <c r="I17" s="186">
        <v>0</v>
      </c>
      <c r="J17" s="186">
        <v>0</v>
      </c>
      <c r="K17" s="186">
        <v>364314</v>
      </c>
      <c r="L17" s="186">
        <v>0</v>
      </c>
      <c r="M17" s="186"/>
      <c r="N17" s="186" t="s">
        <v>92</v>
      </c>
      <c r="O17" s="186" t="s">
        <v>92</v>
      </c>
      <c r="P17" s="186" t="s">
        <v>92</v>
      </c>
      <c r="Q17" s="186" t="s">
        <v>92</v>
      </c>
      <c r="R17" s="186" t="s">
        <v>92</v>
      </c>
      <c r="S17" s="186" t="s">
        <v>92</v>
      </c>
      <c r="T17" s="186" t="s">
        <v>92</v>
      </c>
      <c r="U17" s="186" t="s">
        <v>92</v>
      </c>
      <c r="V17" s="186" t="s">
        <v>92</v>
      </c>
      <c r="W17" s="186" t="s">
        <v>92</v>
      </c>
      <c r="X17" s="186" t="s">
        <v>92</v>
      </c>
      <c r="Y17" s="183">
        <f t="shared" si="0"/>
        <v>0</v>
      </c>
      <c r="Z17" s="186"/>
      <c r="AA17" s="186" t="s">
        <v>92</v>
      </c>
      <c r="AB17" s="186" t="s">
        <v>92</v>
      </c>
      <c r="AC17" s="186" t="s">
        <v>92</v>
      </c>
      <c r="AD17" s="186" t="s">
        <v>92</v>
      </c>
      <c r="AE17" s="186" t="s">
        <v>92</v>
      </c>
      <c r="AF17" s="186" t="s">
        <v>92</v>
      </c>
      <c r="AG17" s="186" t="s">
        <v>92</v>
      </c>
      <c r="AH17" s="186" t="s">
        <v>92</v>
      </c>
      <c r="AI17" s="186" t="s">
        <v>92</v>
      </c>
      <c r="AJ17" s="186" t="s">
        <v>92</v>
      </c>
      <c r="AK17" s="186" t="s">
        <v>92</v>
      </c>
      <c r="AL17" s="183">
        <f t="shared" si="1"/>
        <v>0</v>
      </c>
      <c r="AM17" s="186"/>
      <c r="AN17" s="186" t="s">
        <v>92</v>
      </c>
      <c r="AO17" s="186" t="s">
        <v>92</v>
      </c>
      <c r="AP17" s="186" t="s">
        <v>92</v>
      </c>
      <c r="AQ17" s="186" t="s">
        <v>92</v>
      </c>
      <c r="AR17" s="186" t="s">
        <v>92</v>
      </c>
      <c r="AS17" s="186" t="s">
        <v>92</v>
      </c>
      <c r="AT17" s="186" t="s">
        <v>92</v>
      </c>
      <c r="AU17" s="186" t="s">
        <v>92</v>
      </c>
      <c r="AV17" s="186" t="s">
        <v>92</v>
      </c>
      <c r="AW17" s="186" t="s">
        <v>92</v>
      </c>
      <c r="AX17" s="186" t="s">
        <v>92</v>
      </c>
      <c r="AY17" s="183">
        <f t="shared" si="2"/>
        <v>0</v>
      </c>
      <c r="AZ17" s="186"/>
      <c r="BA17" s="186" t="s">
        <v>92</v>
      </c>
      <c r="BB17" s="186" t="s">
        <v>92</v>
      </c>
      <c r="BC17" s="186" t="s">
        <v>92</v>
      </c>
      <c r="BD17" s="186" t="s">
        <v>92</v>
      </c>
      <c r="BE17" s="186" t="s">
        <v>92</v>
      </c>
      <c r="BF17" s="186" t="s">
        <v>92</v>
      </c>
      <c r="BG17" s="186" t="s">
        <v>92</v>
      </c>
      <c r="BH17" s="186" t="s">
        <v>92</v>
      </c>
      <c r="BI17" s="186" t="s">
        <v>92</v>
      </c>
      <c r="BJ17" s="186" t="s">
        <v>92</v>
      </c>
      <c r="BK17" s="186" t="s">
        <v>92</v>
      </c>
      <c r="BL17" s="183">
        <f>BY17</f>
        <v>32091</v>
      </c>
      <c r="BM17" s="186"/>
      <c r="BN17" s="186">
        <v>263985</v>
      </c>
      <c r="BO17" s="186">
        <v>12925</v>
      </c>
      <c r="BP17" s="186">
        <v>35068</v>
      </c>
      <c r="BQ17" s="186" t="s">
        <v>92</v>
      </c>
      <c r="BR17" s="186">
        <v>547</v>
      </c>
      <c r="BS17" s="186">
        <v>0</v>
      </c>
      <c r="BT17" s="186">
        <v>0</v>
      </c>
      <c r="BU17" s="186">
        <v>0</v>
      </c>
      <c r="BV17" s="186">
        <v>0</v>
      </c>
      <c r="BW17" s="186">
        <v>0</v>
      </c>
      <c r="BX17" s="186">
        <v>27889</v>
      </c>
      <c r="BY17" s="183">
        <f t="shared" si="4"/>
        <v>32091</v>
      </c>
      <c r="BZ17" s="186"/>
      <c r="CA17" s="186">
        <v>264424</v>
      </c>
      <c r="CB17" s="186">
        <v>13639</v>
      </c>
      <c r="CC17" s="186">
        <v>32895</v>
      </c>
      <c r="CD17" s="186" t="s">
        <v>92</v>
      </c>
      <c r="CE17" s="186">
        <v>474</v>
      </c>
      <c r="CF17" s="186">
        <v>0</v>
      </c>
      <c r="CG17" s="186">
        <v>0</v>
      </c>
      <c r="CH17" s="186">
        <v>0</v>
      </c>
      <c r="CI17" s="186">
        <v>0</v>
      </c>
      <c r="CJ17" s="186">
        <v>0</v>
      </c>
      <c r="CK17" s="186">
        <v>24726</v>
      </c>
      <c r="CL17" s="183">
        <f t="shared" si="5"/>
        <v>28156</v>
      </c>
      <c r="CM17" s="186"/>
      <c r="CN17" s="186" t="s">
        <v>92</v>
      </c>
      <c r="CO17" s="186" t="s">
        <v>92</v>
      </c>
      <c r="CP17" s="186" t="s">
        <v>92</v>
      </c>
      <c r="CQ17" s="186" t="s">
        <v>92</v>
      </c>
      <c r="CR17" s="186" t="s">
        <v>92</v>
      </c>
      <c r="CS17" s="186" t="s">
        <v>92</v>
      </c>
      <c r="CT17" s="186" t="s">
        <v>92</v>
      </c>
      <c r="CU17" s="186" t="s">
        <v>92</v>
      </c>
      <c r="CV17" s="186" t="s">
        <v>92</v>
      </c>
      <c r="CW17" s="186" t="s">
        <v>92</v>
      </c>
      <c r="CX17" s="186" t="s">
        <v>92</v>
      </c>
      <c r="CY17" s="183">
        <f t="shared" si="6"/>
        <v>0</v>
      </c>
      <c r="CZ17" s="186"/>
      <c r="DA17" s="186" t="s">
        <v>92</v>
      </c>
      <c r="DB17" s="186" t="s">
        <v>92</v>
      </c>
      <c r="DC17" s="186" t="s">
        <v>92</v>
      </c>
      <c r="DD17" s="186" t="s">
        <v>92</v>
      </c>
      <c r="DE17" s="186" t="s">
        <v>92</v>
      </c>
      <c r="DF17" s="186" t="s">
        <v>92</v>
      </c>
      <c r="DG17" s="186" t="s">
        <v>92</v>
      </c>
      <c r="DH17" s="186" t="s">
        <v>92</v>
      </c>
      <c r="DI17" s="186" t="s">
        <v>92</v>
      </c>
      <c r="DJ17" s="186" t="s">
        <v>92</v>
      </c>
      <c r="DK17" s="186" t="s">
        <v>92</v>
      </c>
      <c r="DL17" s="183">
        <f t="shared" si="7"/>
        <v>0</v>
      </c>
      <c r="DM17" s="186"/>
      <c r="DN17" s="186" t="s">
        <v>92</v>
      </c>
      <c r="DO17" s="186" t="s">
        <v>92</v>
      </c>
      <c r="DP17" s="186" t="s">
        <v>92</v>
      </c>
      <c r="DQ17" s="186" t="s">
        <v>92</v>
      </c>
      <c r="DR17" s="186" t="s">
        <v>92</v>
      </c>
      <c r="DS17" s="186" t="s">
        <v>92</v>
      </c>
      <c r="DT17" s="186" t="s">
        <v>92</v>
      </c>
      <c r="DU17" s="186" t="s">
        <v>92</v>
      </c>
      <c r="DV17" s="186" t="s">
        <v>92</v>
      </c>
      <c r="DW17" s="186" t="s">
        <v>92</v>
      </c>
      <c r="DX17" s="186" t="s">
        <v>92</v>
      </c>
      <c r="DY17" s="183">
        <f t="shared" si="8"/>
        <v>0</v>
      </c>
      <c r="DZ17" s="182"/>
      <c r="EA17" s="187">
        <f t="shared" si="9"/>
        <v>32091</v>
      </c>
      <c r="EB17" s="187">
        <f t="shared" si="9"/>
        <v>32091</v>
      </c>
      <c r="EC17" s="187">
        <f t="shared" si="9"/>
        <v>28156</v>
      </c>
      <c r="ED17" s="182"/>
      <c r="EE17" s="187" t="str">
        <f t="shared" si="10"/>
        <v>ERROR</v>
      </c>
      <c r="EF17" s="184" t="str">
        <f t="shared" si="11"/>
        <v/>
      </c>
      <c r="EG17" s="184" t="str">
        <f t="shared" si="12"/>
        <v/>
      </c>
      <c r="EH17" s="182"/>
      <c r="EI17" s="186" t="s">
        <v>92</v>
      </c>
      <c r="EJ17" s="186" t="s">
        <v>92</v>
      </c>
      <c r="EK17" s="186">
        <f>EQ17</f>
        <v>593888</v>
      </c>
      <c r="EL17" s="186" t="s">
        <v>92</v>
      </c>
      <c r="EM17" s="186" t="s">
        <v>92</v>
      </c>
      <c r="EN17" s="183">
        <f t="shared" si="13"/>
        <v>593888</v>
      </c>
      <c r="EO17" s="186" t="s">
        <v>92</v>
      </c>
      <c r="EP17" s="186" t="s">
        <v>92</v>
      </c>
      <c r="EQ17" s="186">
        <v>593888</v>
      </c>
      <c r="ER17" s="186" t="s">
        <v>92</v>
      </c>
      <c r="ES17" s="186" t="s">
        <v>92</v>
      </c>
      <c r="ET17" s="183">
        <f t="shared" si="14"/>
        <v>593888</v>
      </c>
      <c r="EU17" s="186" t="s">
        <v>92</v>
      </c>
      <c r="EV17" s="186" t="s">
        <v>92</v>
      </c>
      <c r="EW17" s="186">
        <v>535873</v>
      </c>
      <c r="EX17" s="186" t="s">
        <v>92</v>
      </c>
      <c r="EY17" s="186" t="s">
        <v>92</v>
      </c>
      <c r="EZ17" s="183">
        <f t="shared" si="15"/>
        <v>535873</v>
      </c>
    </row>
    <row r="18" spans="1:156" x14ac:dyDescent="0.2">
      <c r="A18" s="182" t="s">
        <v>392</v>
      </c>
      <c r="B18" s="185">
        <v>4065904</v>
      </c>
      <c r="C18" s="188" t="s">
        <v>119</v>
      </c>
      <c r="D18" s="186" t="s">
        <v>92</v>
      </c>
      <c r="E18" s="186">
        <f>H18</f>
        <v>26489</v>
      </c>
      <c r="F18" s="186" t="s">
        <v>92</v>
      </c>
      <c r="G18" s="186">
        <v>0</v>
      </c>
      <c r="H18" s="186">
        <v>26489</v>
      </c>
      <c r="I18" s="186">
        <v>0</v>
      </c>
      <c r="J18" s="186">
        <v>0</v>
      </c>
      <c r="K18" s="186">
        <v>20900</v>
      </c>
      <c r="L18" s="186">
        <v>0</v>
      </c>
      <c r="M18" s="186"/>
      <c r="N18" s="186" t="s">
        <v>92</v>
      </c>
      <c r="O18" s="186" t="s">
        <v>92</v>
      </c>
      <c r="P18" s="186" t="s">
        <v>92</v>
      </c>
      <c r="Q18" s="186" t="s">
        <v>92</v>
      </c>
      <c r="R18" s="186" t="s">
        <v>92</v>
      </c>
      <c r="S18" s="186" t="s">
        <v>92</v>
      </c>
      <c r="T18" s="186" t="s">
        <v>92</v>
      </c>
      <c r="U18" s="186" t="s">
        <v>92</v>
      </c>
      <c r="V18" s="186" t="s">
        <v>92</v>
      </c>
      <c r="W18" s="186" t="s">
        <v>92</v>
      </c>
      <c r="X18" s="186" t="s">
        <v>92</v>
      </c>
      <c r="Y18" s="183">
        <f t="shared" si="0"/>
        <v>0</v>
      </c>
      <c r="Z18" s="186"/>
      <c r="AA18" s="186" t="s">
        <v>92</v>
      </c>
      <c r="AB18" s="186" t="s">
        <v>92</v>
      </c>
      <c r="AC18" s="186" t="s">
        <v>92</v>
      </c>
      <c r="AD18" s="186" t="s">
        <v>92</v>
      </c>
      <c r="AE18" s="186" t="s">
        <v>92</v>
      </c>
      <c r="AF18" s="186" t="s">
        <v>92</v>
      </c>
      <c r="AG18" s="186" t="s">
        <v>92</v>
      </c>
      <c r="AH18" s="186" t="s">
        <v>92</v>
      </c>
      <c r="AI18" s="186" t="s">
        <v>92</v>
      </c>
      <c r="AJ18" s="186" t="s">
        <v>92</v>
      </c>
      <c r="AK18" s="186" t="s">
        <v>92</v>
      </c>
      <c r="AL18" s="183">
        <f t="shared" si="1"/>
        <v>0</v>
      </c>
      <c r="AM18" s="186"/>
      <c r="AN18" s="186" t="s">
        <v>92</v>
      </c>
      <c r="AO18" s="186" t="s">
        <v>92</v>
      </c>
      <c r="AP18" s="186" t="s">
        <v>92</v>
      </c>
      <c r="AQ18" s="186" t="s">
        <v>92</v>
      </c>
      <c r="AR18" s="186" t="s">
        <v>92</v>
      </c>
      <c r="AS18" s="186" t="s">
        <v>92</v>
      </c>
      <c r="AT18" s="186" t="s">
        <v>92</v>
      </c>
      <c r="AU18" s="186" t="s">
        <v>92</v>
      </c>
      <c r="AV18" s="186" t="s">
        <v>92</v>
      </c>
      <c r="AW18" s="186" t="s">
        <v>92</v>
      </c>
      <c r="AX18" s="186" t="s">
        <v>92</v>
      </c>
      <c r="AY18" s="183">
        <f t="shared" si="2"/>
        <v>0</v>
      </c>
      <c r="AZ18" s="186"/>
      <c r="BA18" s="186" t="s">
        <v>92</v>
      </c>
      <c r="BB18" s="186" t="s">
        <v>92</v>
      </c>
      <c r="BC18" s="186" t="s">
        <v>92</v>
      </c>
      <c r="BD18" s="186" t="s">
        <v>92</v>
      </c>
      <c r="BE18" s="186" t="s">
        <v>92</v>
      </c>
      <c r="BF18" s="186" t="s">
        <v>92</v>
      </c>
      <c r="BG18" s="186" t="s">
        <v>92</v>
      </c>
      <c r="BH18" s="186" t="s">
        <v>92</v>
      </c>
      <c r="BI18" s="186" t="s">
        <v>92</v>
      </c>
      <c r="BJ18" s="186" t="s">
        <v>92</v>
      </c>
      <c r="BK18" s="186" t="s">
        <v>92</v>
      </c>
      <c r="BL18" s="183">
        <f>BY18</f>
        <v>2844</v>
      </c>
      <c r="BM18" s="186"/>
      <c r="BN18" s="186">
        <v>17314</v>
      </c>
      <c r="BO18" s="186">
        <v>564</v>
      </c>
      <c r="BP18" s="186">
        <v>4168</v>
      </c>
      <c r="BQ18" s="186" t="s">
        <v>92</v>
      </c>
      <c r="BR18" s="186">
        <v>22</v>
      </c>
      <c r="BS18" s="186">
        <v>0</v>
      </c>
      <c r="BT18" s="186">
        <v>0</v>
      </c>
      <c r="BU18" s="186">
        <v>0</v>
      </c>
      <c r="BV18" s="186">
        <v>0</v>
      </c>
      <c r="BW18" s="186">
        <v>0</v>
      </c>
      <c r="BX18" s="186">
        <v>1577</v>
      </c>
      <c r="BY18" s="183">
        <f t="shared" si="4"/>
        <v>2844</v>
      </c>
      <c r="BZ18" s="186"/>
      <c r="CA18" s="186">
        <v>12731</v>
      </c>
      <c r="CB18" s="186">
        <v>531</v>
      </c>
      <c r="CC18" s="186">
        <v>3981</v>
      </c>
      <c r="CD18" s="186" t="s">
        <v>92</v>
      </c>
      <c r="CE18" s="186">
        <v>22</v>
      </c>
      <c r="CF18" s="186">
        <v>0</v>
      </c>
      <c r="CG18" s="186">
        <v>0</v>
      </c>
      <c r="CH18" s="186">
        <v>0</v>
      </c>
      <c r="CI18" s="186">
        <v>0</v>
      </c>
      <c r="CJ18" s="186">
        <v>0</v>
      </c>
      <c r="CK18" s="186">
        <v>1510</v>
      </c>
      <c r="CL18" s="183">
        <f t="shared" si="5"/>
        <v>2125</v>
      </c>
      <c r="CM18" s="186"/>
      <c r="CN18" s="186" t="s">
        <v>92</v>
      </c>
      <c r="CO18" s="186" t="s">
        <v>92</v>
      </c>
      <c r="CP18" s="186" t="s">
        <v>92</v>
      </c>
      <c r="CQ18" s="186" t="s">
        <v>92</v>
      </c>
      <c r="CR18" s="186" t="s">
        <v>92</v>
      </c>
      <c r="CS18" s="186" t="s">
        <v>92</v>
      </c>
      <c r="CT18" s="186" t="s">
        <v>92</v>
      </c>
      <c r="CU18" s="186" t="s">
        <v>92</v>
      </c>
      <c r="CV18" s="186" t="s">
        <v>92</v>
      </c>
      <c r="CW18" s="186" t="s">
        <v>92</v>
      </c>
      <c r="CX18" s="186" t="s">
        <v>92</v>
      </c>
      <c r="CY18" s="183">
        <f t="shared" si="6"/>
        <v>0</v>
      </c>
      <c r="CZ18" s="186"/>
      <c r="DA18" s="186" t="s">
        <v>92</v>
      </c>
      <c r="DB18" s="186" t="s">
        <v>92</v>
      </c>
      <c r="DC18" s="186" t="s">
        <v>92</v>
      </c>
      <c r="DD18" s="186" t="s">
        <v>92</v>
      </c>
      <c r="DE18" s="186" t="s">
        <v>92</v>
      </c>
      <c r="DF18" s="186" t="s">
        <v>92</v>
      </c>
      <c r="DG18" s="186" t="s">
        <v>92</v>
      </c>
      <c r="DH18" s="186" t="s">
        <v>92</v>
      </c>
      <c r="DI18" s="186" t="s">
        <v>92</v>
      </c>
      <c r="DJ18" s="186" t="s">
        <v>92</v>
      </c>
      <c r="DK18" s="186" t="s">
        <v>92</v>
      </c>
      <c r="DL18" s="183">
        <f t="shared" si="7"/>
        <v>0</v>
      </c>
      <c r="DM18" s="186"/>
      <c r="DN18" s="186" t="s">
        <v>92</v>
      </c>
      <c r="DO18" s="186" t="s">
        <v>92</v>
      </c>
      <c r="DP18" s="186" t="s">
        <v>92</v>
      </c>
      <c r="DQ18" s="186" t="s">
        <v>92</v>
      </c>
      <c r="DR18" s="186" t="s">
        <v>92</v>
      </c>
      <c r="DS18" s="186" t="s">
        <v>92</v>
      </c>
      <c r="DT18" s="186" t="s">
        <v>92</v>
      </c>
      <c r="DU18" s="186" t="s">
        <v>92</v>
      </c>
      <c r="DV18" s="186" t="s">
        <v>92</v>
      </c>
      <c r="DW18" s="186" t="s">
        <v>92</v>
      </c>
      <c r="DX18" s="186" t="s">
        <v>92</v>
      </c>
      <c r="DY18" s="183">
        <f t="shared" si="8"/>
        <v>0</v>
      </c>
      <c r="DZ18" s="182"/>
      <c r="EA18" s="187">
        <f t="shared" si="9"/>
        <v>2844</v>
      </c>
      <c r="EB18" s="187">
        <f t="shared" si="9"/>
        <v>2844</v>
      </c>
      <c r="EC18" s="187">
        <f t="shared" si="9"/>
        <v>2125</v>
      </c>
      <c r="ED18" s="182"/>
      <c r="EE18" s="187" t="str">
        <f t="shared" si="10"/>
        <v>ERROR</v>
      </c>
      <c r="EF18" s="184" t="str">
        <f t="shared" si="11"/>
        <v/>
      </c>
      <c r="EG18" s="184" t="str">
        <f t="shared" si="12"/>
        <v/>
      </c>
      <c r="EH18" s="182"/>
      <c r="EI18" s="186" t="s">
        <v>92</v>
      </c>
      <c r="EJ18" s="186" t="s">
        <v>92</v>
      </c>
      <c r="EK18" s="186">
        <f>EQ18</f>
        <v>87259</v>
      </c>
      <c r="EL18" s="186" t="s">
        <v>92</v>
      </c>
      <c r="EM18" s="186" t="s">
        <v>92</v>
      </c>
      <c r="EN18" s="183">
        <f t="shared" si="13"/>
        <v>87259</v>
      </c>
      <c r="EO18" s="186" t="s">
        <v>92</v>
      </c>
      <c r="EP18" s="186" t="s">
        <v>92</v>
      </c>
      <c r="EQ18" s="186">
        <v>87259</v>
      </c>
      <c r="ER18" s="186" t="s">
        <v>92</v>
      </c>
      <c r="ES18" s="186" t="s">
        <v>92</v>
      </c>
      <c r="ET18" s="183">
        <f t="shared" si="14"/>
        <v>87259</v>
      </c>
      <c r="EU18" s="186" t="s">
        <v>92</v>
      </c>
      <c r="EV18" s="186" t="s">
        <v>92</v>
      </c>
      <c r="EW18" s="186">
        <v>84858</v>
      </c>
      <c r="EX18" s="186" t="s">
        <v>92</v>
      </c>
      <c r="EY18" s="186" t="s">
        <v>92</v>
      </c>
      <c r="EZ18" s="183">
        <f t="shared" si="15"/>
        <v>84858</v>
      </c>
    </row>
    <row r="19" spans="1:156" x14ac:dyDescent="0.2">
      <c r="A19" s="182" t="s">
        <v>393</v>
      </c>
      <c r="B19" s="185">
        <v>4004389</v>
      </c>
      <c r="C19" s="188" t="s">
        <v>119</v>
      </c>
      <c r="D19" s="186">
        <v>1239136</v>
      </c>
      <c r="E19" s="186">
        <v>313230</v>
      </c>
      <c r="F19" s="186">
        <v>0</v>
      </c>
      <c r="G19" s="186">
        <v>1379948</v>
      </c>
      <c r="H19" s="186">
        <v>329689</v>
      </c>
      <c r="I19" s="186">
        <v>0</v>
      </c>
      <c r="J19" s="186">
        <v>1268199</v>
      </c>
      <c r="K19" s="186">
        <v>292339</v>
      </c>
      <c r="L19" s="186">
        <v>0</v>
      </c>
      <c r="M19" s="186"/>
      <c r="N19" s="186">
        <v>675766</v>
      </c>
      <c r="O19" s="186">
        <v>213138</v>
      </c>
      <c r="P19" s="186">
        <v>109887</v>
      </c>
      <c r="Q19" s="186">
        <v>0</v>
      </c>
      <c r="R19" s="186">
        <v>6728</v>
      </c>
      <c r="S19" s="186">
        <v>0</v>
      </c>
      <c r="T19" s="186">
        <v>0</v>
      </c>
      <c r="U19" s="186">
        <v>0</v>
      </c>
      <c r="V19" s="186">
        <v>0</v>
      </c>
      <c r="W19" s="186">
        <v>2731</v>
      </c>
      <c r="X19" s="186">
        <v>123089</v>
      </c>
      <c r="Y19" s="183">
        <f t="shared" si="0"/>
        <v>113259</v>
      </c>
      <c r="Z19" s="186"/>
      <c r="AA19" s="186">
        <v>821786</v>
      </c>
      <c r="AB19" s="186">
        <v>191339</v>
      </c>
      <c r="AC19" s="186">
        <v>101998</v>
      </c>
      <c r="AD19" s="186">
        <v>0</v>
      </c>
      <c r="AE19" s="186">
        <v>5477</v>
      </c>
      <c r="AF19" s="186">
        <v>0</v>
      </c>
      <c r="AG19" s="186">
        <v>0</v>
      </c>
      <c r="AH19" s="186">
        <v>0</v>
      </c>
      <c r="AI19" s="186">
        <v>0</v>
      </c>
      <c r="AJ19" s="186">
        <v>2731</v>
      </c>
      <c r="AK19" s="186">
        <v>120513</v>
      </c>
      <c r="AL19" s="183">
        <f t="shared" si="1"/>
        <v>141566</v>
      </c>
      <c r="AM19" s="186"/>
      <c r="AN19" s="186">
        <v>668264</v>
      </c>
      <c r="AO19" s="186">
        <v>199046</v>
      </c>
      <c r="AP19" s="186">
        <v>104879</v>
      </c>
      <c r="AQ19" s="186">
        <v>0</v>
      </c>
      <c r="AR19" s="186">
        <v>3552</v>
      </c>
      <c r="AS19" s="186">
        <v>0</v>
      </c>
      <c r="AT19" s="186">
        <v>0</v>
      </c>
      <c r="AU19" s="186">
        <v>0</v>
      </c>
      <c r="AV19" s="186">
        <v>0</v>
      </c>
      <c r="AW19" s="186">
        <v>2731</v>
      </c>
      <c r="AX19" s="186">
        <v>121821</v>
      </c>
      <c r="AY19" s="183">
        <f t="shared" si="2"/>
        <v>173368</v>
      </c>
      <c r="AZ19" s="186"/>
      <c r="BA19" s="186">
        <v>195680</v>
      </c>
      <c r="BB19" s="186">
        <v>11278</v>
      </c>
      <c r="BC19" s="186">
        <v>28768</v>
      </c>
      <c r="BD19" s="186">
        <v>0</v>
      </c>
      <c r="BE19" s="186">
        <v>1881</v>
      </c>
      <c r="BF19" s="186">
        <v>0</v>
      </c>
      <c r="BG19" s="186">
        <v>0</v>
      </c>
      <c r="BH19" s="186">
        <v>0</v>
      </c>
      <c r="BI19" s="186">
        <v>0</v>
      </c>
      <c r="BJ19" s="186">
        <v>-46</v>
      </c>
      <c r="BK19" s="186">
        <v>27210</v>
      </c>
      <c r="BL19" s="183">
        <f t="shared" si="3"/>
        <v>48367</v>
      </c>
      <c r="BM19" s="186"/>
      <c r="BN19" s="186">
        <v>209504</v>
      </c>
      <c r="BO19" s="186">
        <v>9020</v>
      </c>
      <c r="BP19" s="186">
        <v>27170</v>
      </c>
      <c r="BQ19" s="186">
        <v>0</v>
      </c>
      <c r="BR19" s="186">
        <v>1610</v>
      </c>
      <c r="BS19" s="186">
        <v>0</v>
      </c>
      <c r="BT19" s="186">
        <v>0</v>
      </c>
      <c r="BU19" s="186">
        <v>0</v>
      </c>
      <c r="BV19" s="186">
        <v>0</v>
      </c>
      <c r="BW19" s="186">
        <v>-46</v>
      </c>
      <c r="BX19" s="186">
        <v>26917</v>
      </c>
      <c r="BY19" s="183">
        <f t="shared" si="4"/>
        <v>55422</v>
      </c>
      <c r="BZ19" s="186"/>
      <c r="CA19" s="186">
        <v>175889</v>
      </c>
      <c r="CB19" s="186">
        <v>9052</v>
      </c>
      <c r="CC19" s="186">
        <v>23465</v>
      </c>
      <c r="CD19" s="186">
        <v>0</v>
      </c>
      <c r="CE19" s="186">
        <v>1147</v>
      </c>
      <c r="CF19" s="186">
        <v>0</v>
      </c>
      <c r="CG19" s="186">
        <v>0</v>
      </c>
      <c r="CH19" s="186">
        <v>0</v>
      </c>
      <c r="CI19" s="186">
        <v>0</v>
      </c>
      <c r="CJ19" s="186">
        <v>-46</v>
      </c>
      <c r="CK19" s="186">
        <v>22313</v>
      </c>
      <c r="CL19" s="183">
        <f t="shared" si="5"/>
        <v>60427</v>
      </c>
      <c r="CM19" s="186"/>
      <c r="CN19" s="186">
        <v>0</v>
      </c>
      <c r="CO19" s="186">
        <v>0</v>
      </c>
      <c r="CP19" s="186">
        <v>0</v>
      </c>
      <c r="CQ19" s="186">
        <v>0</v>
      </c>
      <c r="CR19" s="186">
        <v>0</v>
      </c>
      <c r="CS19" s="186">
        <v>0</v>
      </c>
      <c r="CT19" s="186">
        <v>0</v>
      </c>
      <c r="CU19" s="186">
        <v>0</v>
      </c>
      <c r="CV19" s="186">
        <v>0</v>
      </c>
      <c r="CW19" s="186">
        <v>0</v>
      </c>
      <c r="CX19" s="186">
        <v>0</v>
      </c>
      <c r="CY19" s="183">
        <f t="shared" si="6"/>
        <v>0</v>
      </c>
      <c r="CZ19" s="186"/>
      <c r="DA19" s="186">
        <v>0</v>
      </c>
      <c r="DB19" s="186">
        <v>0</v>
      </c>
      <c r="DC19" s="186">
        <v>0</v>
      </c>
      <c r="DD19" s="186">
        <v>0</v>
      </c>
      <c r="DE19" s="186">
        <v>0</v>
      </c>
      <c r="DF19" s="186">
        <v>0</v>
      </c>
      <c r="DG19" s="186">
        <v>0</v>
      </c>
      <c r="DH19" s="186">
        <v>0</v>
      </c>
      <c r="DI19" s="186">
        <v>0</v>
      </c>
      <c r="DJ19" s="186">
        <v>0</v>
      </c>
      <c r="DK19" s="186">
        <v>0</v>
      </c>
      <c r="DL19" s="183">
        <f t="shared" si="7"/>
        <v>0</v>
      </c>
      <c r="DM19" s="186"/>
      <c r="DN19" s="186">
        <v>0</v>
      </c>
      <c r="DO19" s="186">
        <v>0</v>
      </c>
      <c r="DP19" s="186">
        <v>0</v>
      </c>
      <c r="DQ19" s="186">
        <v>0</v>
      </c>
      <c r="DR19" s="186">
        <v>0</v>
      </c>
      <c r="DS19" s="186">
        <v>0</v>
      </c>
      <c r="DT19" s="186">
        <v>0</v>
      </c>
      <c r="DU19" s="186">
        <v>0</v>
      </c>
      <c r="DV19" s="186">
        <v>0</v>
      </c>
      <c r="DW19" s="186">
        <v>0</v>
      </c>
      <c r="DX19" s="186">
        <v>0</v>
      </c>
      <c r="DY19" s="183">
        <f t="shared" si="8"/>
        <v>0</v>
      </c>
      <c r="DZ19" s="182"/>
      <c r="EA19" s="187">
        <f t="shared" si="9"/>
        <v>161626</v>
      </c>
      <c r="EB19" s="187">
        <f t="shared" si="9"/>
        <v>196988</v>
      </c>
      <c r="EC19" s="187">
        <f t="shared" si="9"/>
        <v>233795</v>
      </c>
      <c r="ED19" s="182"/>
      <c r="EE19" s="187" t="str">
        <f t="shared" si="10"/>
        <v/>
      </c>
      <c r="EF19" s="184" t="str">
        <f t="shared" si="11"/>
        <v/>
      </c>
      <c r="EG19" s="184" t="str">
        <f t="shared" si="12"/>
        <v/>
      </c>
      <c r="EH19" s="182"/>
      <c r="EI19" s="186">
        <v>4050926</v>
      </c>
      <c r="EJ19" s="186">
        <v>2848745</v>
      </c>
      <c r="EK19" s="186">
        <v>764311</v>
      </c>
      <c r="EL19" s="186">
        <v>0</v>
      </c>
      <c r="EM19" s="186">
        <v>437871</v>
      </c>
      <c r="EN19" s="183">
        <f t="shared" si="13"/>
        <v>3613056</v>
      </c>
      <c r="EO19" s="186">
        <v>3604121</v>
      </c>
      <c r="EP19" s="186">
        <v>2505847</v>
      </c>
      <c r="EQ19" s="186">
        <v>712692</v>
      </c>
      <c r="ER19" s="186">
        <v>0</v>
      </c>
      <c r="ES19" s="186">
        <v>385583</v>
      </c>
      <c r="ET19" s="183">
        <f t="shared" si="14"/>
        <v>3218539</v>
      </c>
      <c r="EU19" s="186">
        <v>3206200</v>
      </c>
      <c r="EV19" s="186">
        <v>2229419</v>
      </c>
      <c r="EW19" s="186">
        <v>672171</v>
      </c>
      <c r="EX19" s="186">
        <v>0</v>
      </c>
      <c r="EY19" s="186">
        <v>304610</v>
      </c>
      <c r="EZ19" s="183">
        <f t="shared" si="15"/>
        <v>2901590</v>
      </c>
    </row>
    <row r="20" spans="1:156" x14ac:dyDescent="0.2">
      <c r="A20" s="182" t="s">
        <v>394</v>
      </c>
      <c r="B20" s="185">
        <v>4057096</v>
      </c>
      <c r="C20" s="188" t="s">
        <v>119</v>
      </c>
      <c r="D20" s="186">
        <v>603886</v>
      </c>
      <c r="E20" s="186">
        <v>291797</v>
      </c>
      <c r="F20" s="186">
        <v>0</v>
      </c>
      <c r="G20" s="186">
        <v>630615</v>
      </c>
      <c r="H20" s="186">
        <v>306092</v>
      </c>
      <c r="I20" s="186">
        <v>0</v>
      </c>
      <c r="J20" s="186">
        <v>597471</v>
      </c>
      <c r="K20" s="186">
        <v>266345</v>
      </c>
      <c r="L20" s="186">
        <v>0</v>
      </c>
      <c r="M20" s="186"/>
      <c r="N20" s="186">
        <v>250179</v>
      </c>
      <c r="O20" s="186">
        <v>60960</v>
      </c>
      <c r="P20" s="186">
        <v>63332</v>
      </c>
      <c r="Q20" s="186">
        <v>0</v>
      </c>
      <c r="R20" s="186">
        <v>2879</v>
      </c>
      <c r="S20" s="186">
        <v>0</v>
      </c>
      <c r="T20" s="186">
        <v>0</v>
      </c>
      <c r="U20" s="186">
        <v>0</v>
      </c>
      <c r="V20" s="186">
        <v>0</v>
      </c>
      <c r="W20" s="186">
        <v>0</v>
      </c>
      <c r="X20" s="186">
        <v>92255</v>
      </c>
      <c r="Y20" s="183">
        <f t="shared" si="0"/>
        <v>134281</v>
      </c>
      <c r="Z20" s="186"/>
      <c r="AA20" s="186">
        <v>292904</v>
      </c>
      <c r="AB20" s="186">
        <v>57360</v>
      </c>
      <c r="AC20" s="186">
        <v>58183</v>
      </c>
      <c r="AD20" s="186">
        <v>0</v>
      </c>
      <c r="AE20" s="186">
        <v>2136</v>
      </c>
      <c r="AF20" s="186">
        <v>0</v>
      </c>
      <c r="AG20" s="186">
        <v>0</v>
      </c>
      <c r="AH20" s="186">
        <v>0</v>
      </c>
      <c r="AI20" s="186">
        <v>0</v>
      </c>
      <c r="AJ20" s="186">
        <v>0</v>
      </c>
      <c r="AK20" s="186">
        <v>90010</v>
      </c>
      <c r="AL20" s="183">
        <f t="shared" si="1"/>
        <v>130022</v>
      </c>
      <c r="AM20" s="186"/>
      <c r="AN20" s="186">
        <v>258309</v>
      </c>
      <c r="AO20" s="186">
        <v>56411</v>
      </c>
      <c r="AP20" s="186">
        <v>48099</v>
      </c>
      <c r="AQ20" s="186">
        <v>0</v>
      </c>
      <c r="AR20" s="186">
        <v>1682</v>
      </c>
      <c r="AS20" s="186">
        <v>0</v>
      </c>
      <c r="AT20" s="186">
        <v>0</v>
      </c>
      <c r="AU20" s="186">
        <v>0</v>
      </c>
      <c r="AV20" s="186">
        <v>0</v>
      </c>
      <c r="AW20" s="186">
        <v>0</v>
      </c>
      <c r="AX20" s="186">
        <v>89787</v>
      </c>
      <c r="AY20" s="183">
        <f t="shared" si="2"/>
        <v>143183</v>
      </c>
      <c r="AZ20" s="186"/>
      <c r="BA20" s="186">
        <v>182936</v>
      </c>
      <c r="BB20" s="186">
        <v>5979</v>
      </c>
      <c r="BC20" s="186">
        <v>24479</v>
      </c>
      <c r="BD20" s="186">
        <v>0</v>
      </c>
      <c r="BE20" s="186">
        <v>1165</v>
      </c>
      <c r="BF20" s="186">
        <v>0</v>
      </c>
      <c r="BG20" s="186">
        <v>0</v>
      </c>
      <c r="BH20" s="186">
        <v>0</v>
      </c>
      <c r="BI20" s="186">
        <v>0</v>
      </c>
      <c r="BJ20" s="186">
        <v>0</v>
      </c>
      <c r="BK20" s="186">
        <v>33474</v>
      </c>
      <c r="BL20" s="183">
        <f t="shared" si="3"/>
        <v>43764</v>
      </c>
      <c r="BM20" s="186"/>
      <c r="BN20" s="186">
        <v>197328</v>
      </c>
      <c r="BO20" s="186">
        <v>6109</v>
      </c>
      <c r="BP20" s="186">
        <v>22560</v>
      </c>
      <c r="BQ20" s="186">
        <v>0</v>
      </c>
      <c r="BR20" s="186">
        <v>871</v>
      </c>
      <c r="BS20" s="186">
        <v>0</v>
      </c>
      <c r="BT20" s="186">
        <v>0</v>
      </c>
      <c r="BU20" s="186">
        <v>0</v>
      </c>
      <c r="BV20" s="186">
        <v>0</v>
      </c>
      <c r="BW20" s="186">
        <v>0</v>
      </c>
      <c r="BX20" s="186">
        <v>32802</v>
      </c>
      <c r="BY20" s="183">
        <f t="shared" si="4"/>
        <v>46422</v>
      </c>
      <c r="BZ20" s="186"/>
      <c r="CA20" s="186">
        <v>159793</v>
      </c>
      <c r="CB20" s="186">
        <v>6620</v>
      </c>
      <c r="CC20" s="186">
        <v>19727</v>
      </c>
      <c r="CD20" s="186">
        <v>0</v>
      </c>
      <c r="CE20" s="186">
        <v>692</v>
      </c>
      <c r="CF20" s="186">
        <v>0</v>
      </c>
      <c r="CG20" s="186">
        <v>0</v>
      </c>
      <c r="CH20" s="186">
        <v>0</v>
      </c>
      <c r="CI20" s="186">
        <v>0</v>
      </c>
      <c r="CJ20" s="186">
        <v>0</v>
      </c>
      <c r="CK20" s="186">
        <v>31364</v>
      </c>
      <c r="CL20" s="183">
        <f t="shared" si="5"/>
        <v>48149</v>
      </c>
      <c r="CM20" s="186"/>
      <c r="CN20" s="186">
        <v>0</v>
      </c>
      <c r="CO20" s="186">
        <v>0</v>
      </c>
      <c r="CP20" s="186">
        <v>0</v>
      </c>
      <c r="CQ20" s="186">
        <v>0</v>
      </c>
      <c r="CR20" s="186">
        <v>0</v>
      </c>
      <c r="CS20" s="186">
        <v>0</v>
      </c>
      <c r="CT20" s="186">
        <v>0</v>
      </c>
      <c r="CU20" s="186">
        <v>0</v>
      </c>
      <c r="CV20" s="186">
        <v>0</v>
      </c>
      <c r="CW20" s="186">
        <v>0</v>
      </c>
      <c r="CX20" s="186">
        <v>0</v>
      </c>
      <c r="CY20" s="183">
        <f t="shared" si="6"/>
        <v>0</v>
      </c>
      <c r="CZ20" s="186"/>
      <c r="DA20" s="186">
        <v>0</v>
      </c>
      <c r="DB20" s="186">
        <v>0</v>
      </c>
      <c r="DC20" s="186">
        <v>0</v>
      </c>
      <c r="DD20" s="186">
        <v>0</v>
      </c>
      <c r="DE20" s="186">
        <v>0</v>
      </c>
      <c r="DF20" s="186">
        <v>0</v>
      </c>
      <c r="DG20" s="186">
        <v>0</v>
      </c>
      <c r="DH20" s="186">
        <v>0</v>
      </c>
      <c r="DI20" s="186">
        <v>0</v>
      </c>
      <c r="DJ20" s="186">
        <v>0</v>
      </c>
      <c r="DK20" s="186">
        <v>0</v>
      </c>
      <c r="DL20" s="183">
        <f t="shared" si="7"/>
        <v>0</v>
      </c>
      <c r="DM20" s="186"/>
      <c r="DN20" s="186">
        <v>0</v>
      </c>
      <c r="DO20" s="186">
        <v>0</v>
      </c>
      <c r="DP20" s="186">
        <v>0</v>
      </c>
      <c r="DQ20" s="186">
        <v>0</v>
      </c>
      <c r="DR20" s="186">
        <v>0</v>
      </c>
      <c r="DS20" s="186">
        <v>0</v>
      </c>
      <c r="DT20" s="186">
        <v>0</v>
      </c>
      <c r="DU20" s="186">
        <v>0</v>
      </c>
      <c r="DV20" s="186">
        <v>0</v>
      </c>
      <c r="DW20" s="186">
        <v>0</v>
      </c>
      <c r="DX20" s="186">
        <v>0</v>
      </c>
      <c r="DY20" s="183">
        <f t="shared" si="8"/>
        <v>0</v>
      </c>
      <c r="DZ20" s="182"/>
      <c r="EA20" s="187">
        <f t="shared" si="9"/>
        <v>178045</v>
      </c>
      <c r="EB20" s="187">
        <f t="shared" si="9"/>
        <v>176444</v>
      </c>
      <c r="EC20" s="187">
        <f t="shared" si="9"/>
        <v>191332</v>
      </c>
      <c r="ED20" s="182"/>
      <c r="EE20" s="187" t="str">
        <f t="shared" si="10"/>
        <v/>
      </c>
      <c r="EF20" s="184" t="str">
        <f t="shared" si="11"/>
        <v/>
      </c>
      <c r="EG20" s="184" t="str">
        <f t="shared" si="12"/>
        <v/>
      </c>
      <c r="EH20" s="182"/>
      <c r="EI20" s="186">
        <v>3129860</v>
      </c>
      <c r="EJ20" s="186">
        <v>2260940</v>
      </c>
      <c r="EK20" s="186">
        <v>656265</v>
      </c>
      <c r="EL20" s="186">
        <v>0</v>
      </c>
      <c r="EM20" s="186">
        <v>212655</v>
      </c>
      <c r="EN20" s="183">
        <f t="shared" si="13"/>
        <v>2917205</v>
      </c>
      <c r="EO20" s="186">
        <v>2830986</v>
      </c>
      <c r="EP20" s="186">
        <v>2026138</v>
      </c>
      <c r="EQ20" s="186">
        <v>613124</v>
      </c>
      <c r="ER20" s="186">
        <v>0</v>
      </c>
      <c r="ES20" s="186">
        <v>191723</v>
      </c>
      <c r="ET20" s="183">
        <f t="shared" si="14"/>
        <v>2639262</v>
      </c>
      <c r="EU20" s="186">
        <v>2628391</v>
      </c>
      <c r="EV20" s="186">
        <v>1902829</v>
      </c>
      <c r="EW20" s="186">
        <v>559356</v>
      </c>
      <c r="EX20" s="186">
        <v>0</v>
      </c>
      <c r="EY20" s="186">
        <v>166206</v>
      </c>
      <c r="EZ20" s="183">
        <f t="shared" si="15"/>
        <v>2462185</v>
      </c>
    </row>
    <row r="21" spans="1:156" x14ac:dyDescent="0.2">
      <c r="A21" s="182" t="s">
        <v>395</v>
      </c>
      <c r="B21" s="185">
        <v>4063060</v>
      </c>
      <c r="C21" s="188" t="s">
        <v>119</v>
      </c>
      <c r="D21" s="186" t="s">
        <v>92</v>
      </c>
      <c r="E21" s="186">
        <f>H21</f>
        <v>379508</v>
      </c>
      <c r="F21" s="186" t="s">
        <v>92</v>
      </c>
      <c r="G21" s="186">
        <v>0</v>
      </c>
      <c r="H21" s="186">
        <v>379508</v>
      </c>
      <c r="I21" s="186">
        <v>0</v>
      </c>
      <c r="J21" s="186">
        <v>0</v>
      </c>
      <c r="K21" s="186">
        <v>363499</v>
      </c>
      <c r="L21" s="186">
        <v>0</v>
      </c>
      <c r="M21" s="186"/>
      <c r="N21" s="186" t="s">
        <v>92</v>
      </c>
      <c r="O21" s="186" t="s">
        <v>92</v>
      </c>
      <c r="P21" s="186" t="s">
        <v>92</v>
      </c>
      <c r="Q21" s="186" t="s">
        <v>92</v>
      </c>
      <c r="R21" s="186" t="s">
        <v>92</v>
      </c>
      <c r="S21" s="186" t="s">
        <v>92</v>
      </c>
      <c r="T21" s="186" t="s">
        <v>92</v>
      </c>
      <c r="U21" s="186" t="s">
        <v>92</v>
      </c>
      <c r="V21" s="186" t="s">
        <v>92</v>
      </c>
      <c r="W21" s="186" t="s">
        <v>92</v>
      </c>
      <c r="X21" s="186" t="s">
        <v>92</v>
      </c>
      <c r="Y21" s="183">
        <f t="shared" si="0"/>
        <v>0</v>
      </c>
      <c r="Z21" s="186"/>
      <c r="AA21" s="186" t="s">
        <v>92</v>
      </c>
      <c r="AB21" s="186" t="s">
        <v>92</v>
      </c>
      <c r="AC21" s="186" t="s">
        <v>92</v>
      </c>
      <c r="AD21" s="186" t="s">
        <v>92</v>
      </c>
      <c r="AE21" s="186" t="s">
        <v>92</v>
      </c>
      <c r="AF21" s="186" t="s">
        <v>92</v>
      </c>
      <c r="AG21" s="186" t="s">
        <v>92</v>
      </c>
      <c r="AH21" s="186" t="s">
        <v>92</v>
      </c>
      <c r="AI21" s="186" t="s">
        <v>92</v>
      </c>
      <c r="AJ21" s="186" t="s">
        <v>92</v>
      </c>
      <c r="AK21" s="186" t="s">
        <v>92</v>
      </c>
      <c r="AL21" s="183">
        <f t="shared" si="1"/>
        <v>0</v>
      </c>
      <c r="AM21" s="186"/>
      <c r="AN21" s="186" t="s">
        <v>92</v>
      </c>
      <c r="AO21" s="186" t="s">
        <v>92</v>
      </c>
      <c r="AP21" s="186" t="s">
        <v>92</v>
      </c>
      <c r="AQ21" s="186" t="s">
        <v>92</v>
      </c>
      <c r="AR21" s="186" t="s">
        <v>92</v>
      </c>
      <c r="AS21" s="186" t="s">
        <v>92</v>
      </c>
      <c r="AT21" s="186" t="s">
        <v>92</v>
      </c>
      <c r="AU21" s="186" t="s">
        <v>92</v>
      </c>
      <c r="AV21" s="186" t="s">
        <v>92</v>
      </c>
      <c r="AW21" s="186" t="s">
        <v>92</v>
      </c>
      <c r="AX21" s="186" t="s">
        <v>92</v>
      </c>
      <c r="AY21" s="183">
        <f t="shared" si="2"/>
        <v>0</v>
      </c>
      <c r="AZ21" s="186"/>
      <c r="BA21" s="186" t="s">
        <v>92</v>
      </c>
      <c r="BB21" s="186" t="s">
        <v>92</v>
      </c>
      <c r="BC21" s="186" t="s">
        <v>92</v>
      </c>
      <c r="BD21" s="186" t="s">
        <v>92</v>
      </c>
      <c r="BE21" s="186" t="s">
        <v>92</v>
      </c>
      <c r="BF21" s="186" t="s">
        <v>92</v>
      </c>
      <c r="BG21" s="186" t="s">
        <v>92</v>
      </c>
      <c r="BH21" s="186" t="s">
        <v>92</v>
      </c>
      <c r="BI21" s="186" t="s">
        <v>92</v>
      </c>
      <c r="BJ21" s="186" t="s">
        <v>92</v>
      </c>
      <c r="BK21" s="186" t="s">
        <v>92</v>
      </c>
      <c r="BL21" s="183">
        <f>BY21</f>
        <v>51988</v>
      </c>
      <c r="BM21" s="186"/>
      <c r="BN21" s="186">
        <v>257185</v>
      </c>
      <c r="BO21" s="186">
        <v>12022</v>
      </c>
      <c r="BP21" s="186">
        <v>27125</v>
      </c>
      <c r="BQ21" s="186" t="s">
        <v>92</v>
      </c>
      <c r="BR21" s="186">
        <v>893</v>
      </c>
      <c r="BS21" s="186">
        <v>0</v>
      </c>
      <c r="BT21" s="186">
        <v>0</v>
      </c>
      <c r="BU21" s="186">
        <v>0</v>
      </c>
      <c r="BV21" s="186">
        <v>0</v>
      </c>
      <c r="BW21" s="186">
        <v>0</v>
      </c>
      <c r="BX21" s="186">
        <v>30295</v>
      </c>
      <c r="BY21" s="183">
        <f t="shared" si="4"/>
        <v>51988</v>
      </c>
      <c r="BZ21" s="186"/>
      <c r="CA21" s="186">
        <v>263187</v>
      </c>
      <c r="CB21" s="186">
        <v>10309</v>
      </c>
      <c r="CC21" s="186">
        <v>24324</v>
      </c>
      <c r="CD21" s="186" t="s">
        <v>92</v>
      </c>
      <c r="CE21" s="186">
        <v>258</v>
      </c>
      <c r="CF21" s="186">
        <v>0</v>
      </c>
      <c r="CG21" s="186">
        <v>0</v>
      </c>
      <c r="CH21" s="186">
        <v>0</v>
      </c>
      <c r="CI21" s="186">
        <v>0</v>
      </c>
      <c r="CJ21" s="186">
        <v>0</v>
      </c>
      <c r="CK21" s="186">
        <v>25369</v>
      </c>
      <c r="CL21" s="183">
        <f t="shared" si="5"/>
        <v>40052</v>
      </c>
      <c r="CM21" s="186"/>
      <c r="CN21" s="186" t="s">
        <v>92</v>
      </c>
      <c r="CO21" s="186" t="s">
        <v>92</v>
      </c>
      <c r="CP21" s="186" t="s">
        <v>92</v>
      </c>
      <c r="CQ21" s="186" t="s">
        <v>92</v>
      </c>
      <c r="CR21" s="186" t="s">
        <v>92</v>
      </c>
      <c r="CS21" s="186" t="s">
        <v>92</v>
      </c>
      <c r="CT21" s="186" t="s">
        <v>92</v>
      </c>
      <c r="CU21" s="186" t="s">
        <v>92</v>
      </c>
      <c r="CV21" s="186" t="s">
        <v>92</v>
      </c>
      <c r="CW21" s="186" t="s">
        <v>92</v>
      </c>
      <c r="CX21" s="186" t="s">
        <v>92</v>
      </c>
      <c r="CY21" s="183">
        <f t="shared" si="6"/>
        <v>0</v>
      </c>
      <c r="CZ21" s="186"/>
      <c r="DA21" s="186" t="s">
        <v>92</v>
      </c>
      <c r="DB21" s="186" t="s">
        <v>92</v>
      </c>
      <c r="DC21" s="186" t="s">
        <v>92</v>
      </c>
      <c r="DD21" s="186" t="s">
        <v>92</v>
      </c>
      <c r="DE21" s="186" t="s">
        <v>92</v>
      </c>
      <c r="DF21" s="186" t="s">
        <v>92</v>
      </c>
      <c r="DG21" s="186" t="s">
        <v>92</v>
      </c>
      <c r="DH21" s="186" t="s">
        <v>92</v>
      </c>
      <c r="DI21" s="186" t="s">
        <v>92</v>
      </c>
      <c r="DJ21" s="186" t="s">
        <v>92</v>
      </c>
      <c r="DK21" s="186" t="s">
        <v>92</v>
      </c>
      <c r="DL21" s="183">
        <f t="shared" si="7"/>
        <v>0</v>
      </c>
      <c r="DM21" s="186"/>
      <c r="DN21" s="186" t="s">
        <v>92</v>
      </c>
      <c r="DO21" s="186" t="s">
        <v>92</v>
      </c>
      <c r="DP21" s="186" t="s">
        <v>92</v>
      </c>
      <c r="DQ21" s="186" t="s">
        <v>92</v>
      </c>
      <c r="DR21" s="186" t="s">
        <v>92</v>
      </c>
      <c r="DS21" s="186" t="s">
        <v>92</v>
      </c>
      <c r="DT21" s="186" t="s">
        <v>92</v>
      </c>
      <c r="DU21" s="186" t="s">
        <v>92</v>
      </c>
      <c r="DV21" s="186" t="s">
        <v>92</v>
      </c>
      <c r="DW21" s="186" t="s">
        <v>92</v>
      </c>
      <c r="DX21" s="186" t="s">
        <v>92</v>
      </c>
      <c r="DY21" s="183">
        <f t="shared" si="8"/>
        <v>0</v>
      </c>
      <c r="DZ21" s="182"/>
      <c r="EA21" s="187">
        <f t="shared" si="9"/>
        <v>51988</v>
      </c>
      <c r="EB21" s="187">
        <f t="shared" si="9"/>
        <v>51988</v>
      </c>
      <c r="EC21" s="187">
        <f t="shared" si="9"/>
        <v>40052</v>
      </c>
      <c r="ED21" s="182"/>
      <c r="EE21" s="187" t="str">
        <f t="shared" si="10"/>
        <v>ERROR</v>
      </c>
      <c r="EF21" s="184" t="str">
        <f t="shared" si="11"/>
        <v/>
      </c>
      <c r="EG21" s="184" t="str">
        <f t="shared" si="12"/>
        <v/>
      </c>
      <c r="EH21" s="182"/>
      <c r="EI21" s="186" t="s">
        <v>92</v>
      </c>
      <c r="EJ21" s="186" t="s">
        <v>92</v>
      </c>
      <c r="EK21" s="186">
        <f>EQ21</f>
        <v>778745</v>
      </c>
      <c r="EL21" s="186" t="s">
        <v>92</v>
      </c>
      <c r="EM21" s="186" t="s">
        <v>92</v>
      </c>
      <c r="EN21" s="183">
        <f t="shared" si="13"/>
        <v>778745</v>
      </c>
      <c r="EO21" s="186" t="s">
        <v>92</v>
      </c>
      <c r="EP21" s="186" t="s">
        <v>92</v>
      </c>
      <c r="EQ21" s="186">
        <v>778745</v>
      </c>
      <c r="ER21" s="186" t="s">
        <v>92</v>
      </c>
      <c r="ES21" s="186" t="s">
        <v>92</v>
      </c>
      <c r="ET21" s="183">
        <f t="shared" si="14"/>
        <v>778745</v>
      </c>
      <c r="EU21" s="186" t="s">
        <v>92</v>
      </c>
      <c r="EV21" s="186" t="s">
        <v>92</v>
      </c>
      <c r="EW21" s="186">
        <v>714445</v>
      </c>
      <c r="EX21" s="186" t="s">
        <v>92</v>
      </c>
      <c r="EY21" s="186" t="s">
        <v>92</v>
      </c>
      <c r="EZ21" s="183">
        <f t="shared" si="15"/>
        <v>714445</v>
      </c>
    </row>
    <row r="22" spans="1:156" x14ac:dyDescent="0.2">
      <c r="A22" s="182" t="s">
        <v>396</v>
      </c>
      <c r="B22" s="185">
        <v>3004222</v>
      </c>
      <c r="C22" s="188" t="s">
        <v>119</v>
      </c>
      <c r="D22" s="186">
        <v>988787</v>
      </c>
      <c r="E22" s="186">
        <v>0</v>
      </c>
      <c r="F22" s="186">
        <v>0</v>
      </c>
      <c r="G22" s="186">
        <v>970037</v>
      </c>
      <c r="H22" s="186">
        <v>0</v>
      </c>
      <c r="I22" s="186">
        <v>0</v>
      </c>
      <c r="J22" s="186">
        <v>921181</v>
      </c>
      <c r="K22" s="186">
        <v>0</v>
      </c>
      <c r="L22" s="186">
        <v>0</v>
      </c>
      <c r="M22" s="186"/>
      <c r="N22" s="186">
        <v>534774</v>
      </c>
      <c r="O22" s="186">
        <v>66106</v>
      </c>
      <c r="P22" s="186">
        <v>83929</v>
      </c>
      <c r="Q22" s="186">
        <v>0</v>
      </c>
      <c r="R22" s="186">
        <v>17712</v>
      </c>
      <c r="S22" s="186">
        <v>0</v>
      </c>
      <c r="T22" s="186">
        <v>0</v>
      </c>
      <c r="U22" s="186">
        <v>0</v>
      </c>
      <c r="V22" s="186">
        <v>5763</v>
      </c>
      <c r="W22" s="186">
        <v>573</v>
      </c>
      <c r="X22" s="186">
        <v>108752</v>
      </c>
      <c r="Y22" s="183">
        <f t="shared" si="0"/>
        <v>172324</v>
      </c>
      <c r="Z22" s="186"/>
      <c r="AA22" s="186">
        <v>533923</v>
      </c>
      <c r="AB22" s="186">
        <v>58135</v>
      </c>
      <c r="AC22" s="186">
        <v>77383</v>
      </c>
      <c r="AD22" s="186">
        <v>0</v>
      </c>
      <c r="AE22" s="186">
        <v>4972</v>
      </c>
      <c r="AF22" s="186">
        <v>0</v>
      </c>
      <c r="AG22" s="186">
        <v>0</v>
      </c>
      <c r="AH22" s="186">
        <v>0</v>
      </c>
      <c r="AI22" s="186">
        <v>7850</v>
      </c>
      <c r="AJ22" s="186">
        <v>573</v>
      </c>
      <c r="AK22" s="186">
        <v>109170</v>
      </c>
      <c r="AL22" s="183">
        <f t="shared" si="1"/>
        <v>179177</v>
      </c>
      <c r="AM22" s="186"/>
      <c r="AN22" s="186">
        <v>489551</v>
      </c>
      <c r="AO22" s="186">
        <v>55378</v>
      </c>
      <c r="AP22" s="186">
        <v>73068</v>
      </c>
      <c r="AQ22" s="186">
        <v>0</v>
      </c>
      <c r="AR22" s="186">
        <v>6595</v>
      </c>
      <c r="AS22" s="186">
        <v>0</v>
      </c>
      <c r="AT22" s="186">
        <v>0</v>
      </c>
      <c r="AU22" s="186">
        <v>0</v>
      </c>
      <c r="AV22" s="186">
        <v>2429</v>
      </c>
      <c r="AW22" s="186">
        <v>573</v>
      </c>
      <c r="AX22" s="186">
        <v>103957</v>
      </c>
      <c r="AY22" s="183">
        <f t="shared" si="2"/>
        <v>190776</v>
      </c>
      <c r="AZ22" s="186"/>
      <c r="BA22" s="186">
        <v>0</v>
      </c>
      <c r="BB22" s="186">
        <v>0</v>
      </c>
      <c r="BC22" s="186">
        <v>0</v>
      </c>
      <c r="BD22" s="186">
        <v>0</v>
      </c>
      <c r="BE22" s="186">
        <v>0</v>
      </c>
      <c r="BF22" s="186">
        <v>0</v>
      </c>
      <c r="BG22" s="186">
        <v>0</v>
      </c>
      <c r="BH22" s="186">
        <v>0</v>
      </c>
      <c r="BI22" s="186">
        <v>0</v>
      </c>
      <c r="BJ22" s="186">
        <v>0</v>
      </c>
      <c r="BK22" s="186">
        <v>0</v>
      </c>
      <c r="BL22" s="183">
        <f t="shared" si="3"/>
        <v>0</v>
      </c>
      <c r="BM22" s="186"/>
      <c r="BN22" s="186">
        <v>0</v>
      </c>
      <c r="BO22" s="186">
        <v>0</v>
      </c>
      <c r="BP22" s="186">
        <v>0</v>
      </c>
      <c r="BQ22" s="186">
        <v>0</v>
      </c>
      <c r="BR22" s="186">
        <v>0</v>
      </c>
      <c r="BS22" s="186">
        <v>0</v>
      </c>
      <c r="BT22" s="186">
        <v>0</v>
      </c>
      <c r="BU22" s="186">
        <v>0</v>
      </c>
      <c r="BV22" s="186">
        <v>0</v>
      </c>
      <c r="BW22" s="186">
        <v>0</v>
      </c>
      <c r="BX22" s="186">
        <v>0</v>
      </c>
      <c r="BY22" s="183">
        <f t="shared" si="4"/>
        <v>0</v>
      </c>
      <c r="BZ22" s="186"/>
      <c r="CA22" s="186">
        <v>0</v>
      </c>
      <c r="CB22" s="186">
        <v>0</v>
      </c>
      <c r="CC22" s="186">
        <v>0</v>
      </c>
      <c r="CD22" s="186">
        <v>0</v>
      </c>
      <c r="CE22" s="186">
        <v>0</v>
      </c>
      <c r="CF22" s="186">
        <v>0</v>
      </c>
      <c r="CG22" s="186">
        <v>0</v>
      </c>
      <c r="CH22" s="186">
        <v>0</v>
      </c>
      <c r="CI22" s="186">
        <v>0</v>
      </c>
      <c r="CJ22" s="186">
        <v>0</v>
      </c>
      <c r="CK22" s="186">
        <v>0</v>
      </c>
      <c r="CL22" s="183">
        <f t="shared" si="5"/>
        <v>0</v>
      </c>
      <c r="CM22" s="186"/>
      <c r="CN22" s="186">
        <v>0</v>
      </c>
      <c r="CO22" s="186">
        <v>0</v>
      </c>
      <c r="CP22" s="186">
        <v>0</v>
      </c>
      <c r="CQ22" s="186">
        <v>0</v>
      </c>
      <c r="CR22" s="186">
        <v>0</v>
      </c>
      <c r="CS22" s="186">
        <v>0</v>
      </c>
      <c r="CT22" s="186">
        <v>0</v>
      </c>
      <c r="CU22" s="186">
        <v>0</v>
      </c>
      <c r="CV22" s="186">
        <v>0</v>
      </c>
      <c r="CW22" s="186">
        <v>0</v>
      </c>
      <c r="CX22" s="186">
        <v>0</v>
      </c>
      <c r="CY22" s="183">
        <f t="shared" si="6"/>
        <v>0</v>
      </c>
      <c r="CZ22" s="186"/>
      <c r="DA22" s="186">
        <v>0</v>
      </c>
      <c r="DB22" s="186">
        <v>0</v>
      </c>
      <c r="DC22" s="186">
        <v>0</v>
      </c>
      <c r="DD22" s="186">
        <v>0</v>
      </c>
      <c r="DE22" s="186">
        <v>0</v>
      </c>
      <c r="DF22" s="186">
        <v>0</v>
      </c>
      <c r="DG22" s="186">
        <v>0</v>
      </c>
      <c r="DH22" s="186">
        <v>0</v>
      </c>
      <c r="DI22" s="186">
        <v>0</v>
      </c>
      <c r="DJ22" s="186">
        <v>0</v>
      </c>
      <c r="DK22" s="186">
        <v>0</v>
      </c>
      <c r="DL22" s="183">
        <f t="shared" si="7"/>
        <v>0</v>
      </c>
      <c r="DM22" s="186"/>
      <c r="DN22" s="186">
        <v>0</v>
      </c>
      <c r="DO22" s="186">
        <v>0</v>
      </c>
      <c r="DP22" s="186">
        <v>0</v>
      </c>
      <c r="DQ22" s="186">
        <v>0</v>
      </c>
      <c r="DR22" s="186">
        <v>0</v>
      </c>
      <c r="DS22" s="186">
        <v>0</v>
      </c>
      <c r="DT22" s="186">
        <v>0</v>
      </c>
      <c r="DU22" s="186">
        <v>0</v>
      </c>
      <c r="DV22" s="186">
        <v>0</v>
      </c>
      <c r="DW22" s="186">
        <v>0</v>
      </c>
      <c r="DX22" s="186">
        <v>0</v>
      </c>
      <c r="DY22" s="183">
        <f t="shared" si="8"/>
        <v>0</v>
      </c>
      <c r="DZ22" s="182"/>
      <c r="EA22" s="187">
        <f t="shared" si="9"/>
        <v>172324</v>
      </c>
      <c r="EB22" s="187">
        <f t="shared" si="9"/>
        <v>179177</v>
      </c>
      <c r="EC22" s="187">
        <f t="shared" si="9"/>
        <v>190776</v>
      </c>
      <c r="ED22" s="182"/>
      <c r="EE22" s="187" t="str">
        <f t="shared" si="10"/>
        <v/>
      </c>
      <c r="EF22" s="184" t="str">
        <f t="shared" si="11"/>
        <v/>
      </c>
      <c r="EG22" s="184" t="str">
        <f t="shared" si="12"/>
        <v/>
      </c>
      <c r="EH22" s="182"/>
      <c r="EI22" s="186">
        <v>2515768</v>
      </c>
      <c r="EJ22" s="186">
        <v>2515768</v>
      </c>
      <c r="EK22" s="186">
        <v>0</v>
      </c>
      <c r="EL22" s="186">
        <v>0</v>
      </c>
      <c r="EM22" s="186">
        <v>0</v>
      </c>
      <c r="EN22" s="183">
        <f t="shared" si="13"/>
        <v>2515768</v>
      </c>
      <c r="EO22" s="186">
        <v>2414670</v>
      </c>
      <c r="EP22" s="186">
        <v>2414670</v>
      </c>
      <c r="EQ22" s="186">
        <v>0</v>
      </c>
      <c r="ER22" s="186">
        <v>0</v>
      </c>
      <c r="ES22" s="186">
        <v>0</v>
      </c>
      <c r="ET22" s="183">
        <f t="shared" si="14"/>
        <v>2414670</v>
      </c>
      <c r="EU22" s="186">
        <v>2228258</v>
      </c>
      <c r="EV22" s="186">
        <v>2228258</v>
      </c>
      <c r="EW22" s="186">
        <v>0</v>
      </c>
      <c r="EX22" s="186">
        <v>0</v>
      </c>
      <c r="EY22" s="186">
        <v>0</v>
      </c>
      <c r="EZ22" s="183">
        <f t="shared" si="15"/>
        <v>2228258</v>
      </c>
    </row>
    <row r="23" spans="1:156" x14ac:dyDescent="0.2">
      <c r="A23" s="182" t="s">
        <v>128</v>
      </c>
      <c r="B23" s="185">
        <v>4058371</v>
      </c>
      <c r="C23" s="182" t="s">
        <v>124</v>
      </c>
      <c r="D23" s="186">
        <v>44263</v>
      </c>
      <c r="E23" s="186">
        <v>0</v>
      </c>
      <c r="F23" s="186">
        <v>0</v>
      </c>
      <c r="G23" s="186">
        <v>44698</v>
      </c>
      <c r="H23" s="186">
        <v>0</v>
      </c>
      <c r="I23" s="186">
        <v>0</v>
      </c>
      <c r="J23" s="186">
        <v>47861</v>
      </c>
      <c r="K23" s="186">
        <v>0</v>
      </c>
      <c r="L23" s="186">
        <v>0</v>
      </c>
      <c r="M23" s="186"/>
      <c r="N23" s="186">
        <v>19751</v>
      </c>
      <c r="O23" s="186">
        <v>3905</v>
      </c>
      <c r="P23" s="186">
        <v>5868</v>
      </c>
      <c r="Q23" s="186">
        <v>0</v>
      </c>
      <c r="R23" s="186">
        <v>0</v>
      </c>
      <c r="S23" s="186">
        <v>0</v>
      </c>
      <c r="T23" s="186">
        <v>0</v>
      </c>
      <c r="U23" s="186">
        <v>0</v>
      </c>
      <c r="V23" s="186">
        <v>0</v>
      </c>
      <c r="W23" s="186">
        <v>0</v>
      </c>
      <c r="X23" s="186">
        <v>1111</v>
      </c>
      <c r="Y23" s="183">
        <f t="shared" si="0"/>
        <v>13628</v>
      </c>
      <c r="Z23" s="186"/>
      <c r="AA23" s="186">
        <v>19443</v>
      </c>
      <c r="AB23" s="186">
        <v>3822</v>
      </c>
      <c r="AC23" s="186">
        <v>5701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1067</v>
      </c>
      <c r="AL23" s="183">
        <f t="shared" si="1"/>
        <v>14665</v>
      </c>
      <c r="AM23" s="186"/>
      <c r="AN23" s="186">
        <v>19494</v>
      </c>
      <c r="AO23" s="186">
        <v>3739</v>
      </c>
      <c r="AP23" s="186">
        <v>5636</v>
      </c>
      <c r="AQ23" s="186">
        <v>0</v>
      </c>
      <c r="AR23" s="186">
        <v>0</v>
      </c>
      <c r="AS23" s="186">
        <v>0</v>
      </c>
      <c r="AT23" s="186">
        <v>0</v>
      </c>
      <c r="AU23" s="186">
        <v>0</v>
      </c>
      <c r="AV23" s="186">
        <v>0</v>
      </c>
      <c r="AW23" s="186">
        <v>0</v>
      </c>
      <c r="AX23" s="186">
        <v>1045</v>
      </c>
      <c r="AY23" s="183">
        <f t="shared" si="2"/>
        <v>17947</v>
      </c>
      <c r="AZ23" s="186"/>
      <c r="BA23" s="186">
        <v>0</v>
      </c>
      <c r="BB23" s="186"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3">
        <f t="shared" si="3"/>
        <v>0</v>
      </c>
      <c r="BM23" s="186"/>
      <c r="BN23" s="186">
        <v>0</v>
      </c>
      <c r="BO23" s="186">
        <v>0</v>
      </c>
      <c r="BP23" s="186">
        <v>0</v>
      </c>
      <c r="BQ23" s="186">
        <v>0</v>
      </c>
      <c r="BR23" s="186">
        <v>0</v>
      </c>
      <c r="BS23" s="186">
        <v>0</v>
      </c>
      <c r="BT23" s="186">
        <v>0</v>
      </c>
      <c r="BU23" s="186">
        <v>0</v>
      </c>
      <c r="BV23" s="186">
        <v>0</v>
      </c>
      <c r="BW23" s="186">
        <v>0</v>
      </c>
      <c r="BX23" s="186">
        <v>0</v>
      </c>
      <c r="BY23" s="183">
        <f t="shared" si="4"/>
        <v>0</v>
      </c>
      <c r="BZ23" s="186"/>
      <c r="CA23" s="186">
        <v>0</v>
      </c>
      <c r="CB23" s="186">
        <v>0</v>
      </c>
      <c r="CC23" s="186">
        <v>0</v>
      </c>
      <c r="CD23" s="186">
        <v>0</v>
      </c>
      <c r="CE23" s="186">
        <v>0</v>
      </c>
      <c r="CF23" s="186">
        <v>0</v>
      </c>
      <c r="CG23" s="186">
        <v>0</v>
      </c>
      <c r="CH23" s="186">
        <v>0</v>
      </c>
      <c r="CI23" s="186">
        <v>0</v>
      </c>
      <c r="CJ23" s="186">
        <v>0</v>
      </c>
      <c r="CK23" s="186">
        <v>0</v>
      </c>
      <c r="CL23" s="183">
        <f t="shared" si="5"/>
        <v>0</v>
      </c>
      <c r="CM23" s="186"/>
      <c r="CN23" s="186">
        <v>0</v>
      </c>
      <c r="CO23" s="186">
        <v>0</v>
      </c>
      <c r="CP23" s="186">
        <v>0</v>
      </c>
      <c r="CQ23" s="186">
        <v>0</v>
      </c>
      <c r="CR23" s="186">
        <v>0</v>
      </c>
      <c r="CS23" s="186">
        <v>0</v>
      </c>
      <c r="CT23" s="186">
        <v>0</v>
      </c>
      <c r="CU23" s="186">
        <v>0</v>
      </c>
      <c r="CV23" s="186">
        <v>0</v>
      </c>
      <c r="CW23" s="186">
        <v>0</v>
      </c>
      <c r="CX23" s="186">
        <v>0</v>
      </c>
      <c r="CY23" s="183">
        <f t="shared" si="6"/>
        <v>0</v>
      </c>
      <c r="CZ23" s="186"/>
      <c r="DA23" s="186">
        <v>0</v>
      </c>
      <c r="DB23" s="186">
        <v>0</v>
      </c>
      <c r="DC23" s="186">
        <v>0</v>
      </c>
      <c r="DD23" s="186">
        <v>0</v>
      </c>
      <c r="DE23" s="186">
        <v>0</v>
      </c>
      <c r="DF23" s="186">
        <v>0</v>
      </c>
      <c r="DG23" s="186">
        <v>0</v>
      </c>
      <c r="DH23" s="186">
        <v>0</v>
      </c>
      <c r="DI23" s="186">
        <v>0</v>
      </c>
      <c r="DJ23" s="186">
        <v>0</v>
      </c>
      <c r="DK23" s="186">
        <v>0</v>
      </c>
      <c r="DL23" s="183">
        <f t="shared" si="7"/>
        <v>0</v>
      </c>
      <c r="DM23" s="186"/>
      <c r="DN23" s="186">
        <v>0</v>
      </c>
      <c r="DO23" s="186">
        <v>0</v>
      </c>
      <c r="DP23" s="186">
        <v>0</v>
      </c>
      <c r="DQ23" s="186">
        <v>0</v>
      </c>
      <c r="DR23" s="186">
        <v>0</v>
      </c>
      <c r="DS23" s="186">
        <v>0</v>
      </c>
      <c r="DT23" s="186">
        <v>0</v>
      </c>
      <c r="DU23" s="186">
        <v>0</v>
      </c>
      <c r="DV23" s="186">
        <v>0</v>
      </c>
      <c r="DW23" s="186">
        <v>0</v>
      </c>
      <c r="DX23" s="186">
        <v>0</v>
      </c>
      <c r="DY23" s="183">
        <f t="shared" si="8"/>
        <v>0</v>
      </c>
      <c r="DZ23" s="182"/>
      <c r="EA23" s="187">
        <f t="shared" si="9"/>
        <v>13628</v>
      </c>
      <c r="EB23" s="187">
        <f t="shared" si="9"/>
        <v>14665</v>
      </c>
      <c r="EC23" s="187">
        <f t="shared" si="9"/>
        <v>17947</v>
      </c>
      <c r="ED23" s="182"/>
      <c r="EE23" s="187" t="str">
        <f t="shared" si="10"/>
        <v/>
      </c>
      <c r="EF23" s="184" t="str">
        <f t="shared" si="11"/>
        <v/>
      </c>
      <c r="EG23" s="184" t="str">
        <f t="shared" si="12"/>
        <v/>
      </c>
      <c r="EH23" s="182"/>
      <c r="EI23" s="186">
        <v>191850</v>
      </c>
      <c r="EJ23" s="186">
        <v>191850</v>
      </c>
      <c r="EK23" s="186">
        <v>0</v>
      </c>
      <c r="EL23" s="186">
        <v>0</v>
      </c>
      <c r="EM23" s="186">
        <v>0</v>
      </c>
      <c r="EN23" s="183">
        <f t="shared" si="13"/>
        <v>191850</v>
      </c>
      <c r="EO23" s="186">
        <v>193271</v>
      </c>
      <c r="EP23" s="186">
        <v>193271</v>
      </c>
      <c r="EQ23" s="186">
        <v>0</v>
      </c>
      <c r="ER23" s="186">
        <v>0</v>
      </c>
      <c r="ES23" s="186">
        <v>0</v>
      </c>
      <c r="ET23" s="183">
        <f t="shared" si="14"/>
        <v>193271</v>
      </c>
      <c r="EU23" s="186">
        <v>197241</v>
      </c>
      <c r="EV23" s="186">
        <v>197241</v>
      </c>
      <c r="EW23" s="186">
        <v>0</v>
      </c>
      <c r="EX23" s="186">
        <v>0</v>
      </c>
      <c r="EY23" s="186">
        <v>0</v>
      </c>
      <c r="EZ23" s="183">
        <f t="shared" si="15"/>
        <v>197241</v>
      </c>
    </row>
    <row r="24" spans="1:156" x14ac:dyDescent="0.2">
      <c r="A24" s="182" t="s">
        <v>124</v>
      </c>
      <c r="B24" s="185">
        <v>4057075</v>
      </c>
      <c r="C24" s="188" t="s">
        <v>124</v>
      </c>
      <c r="D24" s="186">
        <v>983484</v>
      </c>
      <c r="E24" s="186">
        <v>444615</v>
      </c>
      <c r="F24" s="186">
        <v>0</v>
      </c>
      <c r="G24" s="186">
        <v>986405</v>
      </c>
      <c r="H24" s="186">
        <v>430393</v>
      </c>
      <c r="I24" s="186">
        <v>0</v>
      </c>
      <c r="J24" s="186">
        <v>989932</v>
      </c>
      <c r="K24" s="186">
        <v>474190</v>
      </c>
      <c r="L24" s="186">
        <v>0</v>
      </c>
      <c r="M24" s="186"/>
      <c r="N24" s="186">
        <v>515396</v>
      </c>
      <c r="O24" s="186">
        <v>54542</v>
      </c>
      <c r="P24" s="186">
        <v>126679</v>
      </c>
      <c r="Q24" s="186">
        <v>0</v>
      </c>
      <c r="R24" s="186">
        <v>30547</v>
      </c>
      <c r="S24" s="186">
        <v>99</v>
      </c>
      <c r="T24" s="186">
        <v>0</v>
      </c>
      <c r="U24" s="186">
        <v>0</v>
      </c>
      <c r="V24" s="186">
        <v>5890</v>
      </c>
      <c r="W24" s="186">
        <v>20931</v>
      </c>
      <c r="X24" s="186">
        <v>79246</v>
      </c>
      <c r="Y24" s="183">
        <f t="shared" si="0"/>
        <v>192016</v>
      </c>
      <c r="Z24" s="186"/>
      <c r="AA24" s="186">
        <v>516699</v>
      </c>
      <c r="AB24" s="186">
        <v>49735</v>
      </c>
      <c r="AC24" s="186">
        <v>112612</v>
      </c>
      <c r="AD24" s="186">
        <v>269</v>
      </c>
      <c r="AE24" s="186">
        <v>26315</v>
      </c>
      <c r="AF24" s="186">
        <v>99</v>
      </c>
      <c r="AG24" s="186">
        <v>0</v>
      </c>
      <c r="AH24" s="186">
        <v>0</v>
      </c>
      <c r="AI24" s="186">
        <v>5030</v>
      </c>
      <c r="AJ24" s="186">
        <v>9689</v>
      </c>
      <c r="AK24" s="186">
        <v>80790</v>
      </c>
      <c r="AL24" s="183">
        <f t="shared" si="1"/>
        <v>204545</v>
      </c>
      <c r="AM24" s="186"/>
      <c r="AN24" s="186">
        <v>496458</v>
      </c>
      <c r="AO24" s="186">
        <v>56154</v>
      </c>
      <c r="AP24" s="186">
        <v>106657</v>
      </c>
      <c r="AQ24" s="186">
        <v>263</v>
      </c>
      <c r="AR24" s="186">
        <v>22966</v>
      </c>
      <c r="AS24" s="186">
        <v>99</v>
      </c>
      <c r="AT24" s="186">
        <v>0</v>
      </c>
      <c r="AU24" s="186">
        <v>0</v>
      </c>
      <c r="AV24" s="186">
        <v>4262</v>
      </c>
      <c r="AW24" s="186">
        <v>7670</v>
      </c>
      <c r="AX24" s="186">
        <v>77630</v>
      </c>
      <c r="AY24" s="183">
        <f t="shared" si="2"/>
        <v>233113</v>
      </c>
      <c r="AZ24" s="186"/>
      <c r="BA24" s="186">
        <v>303138</v>
      </c>
      <c r="BB24" s="186">
        <v>15618</v>
      </c>
      <c r="BC24" s="186">
        <v>36824</v>
      </c>
      <c r="BD24" s="186">
        <v>0</v>
      </c>
      <c r="BE24" s="186">
        <v>10079</v>
      </c>
      <c r="BF24" s="186">
        <v>0</v>
      </c>
      <c r="BG24" s="186">
        <v>0</v>
      </c>
      <c r="BH24" s="186">
        <v>0</v>
      </c>
      <c r="BI24" s="186">
        <v>1453</v>
      </c>
      <c r="BJ24" s="186">
        <v>3443</v>
      </c>
      <c r="BK24" s="186">
        <v>24984</v>
      </c>
      <c r="BL24" s="183">
        <f t="shared" si="3"/>
        <v>55962</v>
      </c>
      <c r="BM24" s="186"/>
      <c r="BN24" s="186">
        <v>288074</v>
      </c>
      <c r="BO24" s="186">
        <v>13894</v>
      </c>
      <c r="BP24" s="186">
        <v>33889</v>
      </c>
      <c r="BQ24" s="186">
        <v>0</v>
      </c>
      <c r="BR24" s="186">
        <v>8582</v>
      </c>
      <c r="BS24" s="186">
        <v>0</v>
      </c>
      <c r="BT24" s="186">
        <v>0</v>
      </c>
      <c r="BU24" s="186">
        <v>0</v>
      </c>
      <c r="BV24" s="186">
        <v>1355</v>
      </c>
      <c r="BW24" s="186">
        <v>1566</v>
      </c>
      <c r="BX24" s="186">
        <v>25145</v>
      </c>
      <c r="BY24" s="183">
        <f t="shared" si="4"/>
        <v>61020</v>
      </c>
      <c r="BZ24" s="186"/>
      <c r="CA24" s="186">
        <v>324179</v>
      </c>
      <c r="CB24" s="186">
        <v>14961</v>
      </c>
      <c r="CC24" s="186">
        <v>30577</v>
      </c>
      <c r="CD24" s="186">
        <v>0</v>
      </c>
      <c r="CE24" s="186">
        <v>7522</v>
      </c>
      <c r="CF24" s="186">
        <v>0</v>
      </c>
      <c r="CG24" s="186">
        <v>0</v>
      </c>
      <c r="CH24" s="186">
        <v>0</v>
      </c>
      <c r="CI24" s="186">
        <v>209</v>
      </c>
      <c r="CJ24" s="186">
        <v>372</v>
      </c>
      <c r="CK24" s="186">
        <v>25604</v>
      </c>
      <c r="CL24" s="183">
        <f t="shared" si="5"/>
        <v>71510</v>
      </c>
      <c r="CM24" s="186"/>
      <c r="CN24" s="186">
        <v>0</v>
      </c>
      <c r="CO24" s="186">
        <v>0</v>
      </c>
      <c r="CP24" s="186">
        <v>0</v>
      </c>
      <c r="CQ24" s="186">
        <v>0</v>
      </c>
      <c r="CR24" s="186">
        <v>0</v>
      </c>
      <c r="CS24" s="186">
        <v>0</v>
      </c>
      <c r="CT24" s="186">
        <v>0</v>
      </c>
      <c r="CU24" s="186">
        <v>0</v>
      </c>
      <c r="CV24" s="186">
        <v>0</v>
      </c>
      <c r="CW24" s="186">
        <v>0</v>
      </c>
      <c r="CX24" s="186">
        <v>0</v>
      </c>
      <c r="CY24" s="183">
        <f t="shared" si="6"/>
        <v>0</v>
      </c>
      <c r="CZ24" s="186"/>
      <c r="DA24" s="186">
        <v>0</v>
      </c>
      <c r="DB24" s="186">
        <v>0</v>
      </c>
      <c r="DC24" s="186">
        <v>0</v>
      </c>
      <c r="DD24" s="186">
        <v>0</v>
      </c>
      <c r="DE24" s="186">
        <v>0</v>
      </c>
      <c r="DF24" s="186">
        <v>0</v>
      </c>
      <c r="DG24" s="186">
        <v>0</v>
      </c>
      <c r="DH24" s="186">
        <v>0</v>
      </c>
      <c r="DI24" s="186">
        <v>0</v>
      </c>
      <c r="DJ24" s="186">
        <v>0</v>
      </c>
      <c r="DK24" s="186">
        <v>0</v>
      </c>
      <c r="DL24" s="183">
        <f t="shared" si="7"/>
        <v>0</v>
      </c>
      <c r="DM24" s="186"/>
      <c r="DN24" s="186">
        <v>0</v>
      </c>
      <c r="DO24" s="186">
        <v>0</v>
      </c>
      <c r="DP24" s="186">
        <v>0</v>
      </c>
      <c r="DQ24" s="186">
        <v>0</v>
      </c>
      <c r="DR24" s="186">
        <v>0</v>
      </c>
      <c r="DS24" s="186">
        <v>0</v>
      </c>
      <c r="DT24" s="186">
        <v>0</v>
      </c>
      <c r="DU24" s="186">
        <v>0</v>
      </c>
      <c r="DV24" s="186">
        <v>0</v>
      </c>
      <c r="DW24" s="186">
        <v>0</v>
      </c>
      <c r="DX24" s="186">
        <v>0</v>
      </c>
      <c r="DY24" s="183">
        <f t="shared" si="8"/>
        <v>0</v>
      </c>
      <c r="DZ24" s="182"/>
      <c r="EA24" s="187">
        <f t="shared" si="9"/>
        <v>247978</v>
      </c>
      <c r="EB24" s="187">
        <f t="shared" si="9"/>
        <v>265565</v>
      </c>
      <c r="EC24" s="187">
        <f t="shared" si="9"/>
        <v>304623</v>
      </c>
      <c r="ED24" s="182"/>
      <c r="EE24" s="187" t="str">
        <f t="shared" si="10"/>
        <v/>
      </c>
      <c r="EF24" s="184" t="str">
        <f t="shared" si="11"/>
        <v/>
      </c>
      <c r="EG24" s="184" t="str">
        <f t="shared" si="12"/>
        <v/>
      </c>
      <c r="EH24" s="182"/>
      <c r="EI24" s="186">
        <v>4421449</v>
      </c>
      <c r="EJ24" s="186">
        <v>2934698</v>
      </c>
      <c r="EK24" s="186">
        <v>937290</v>
      </c>
      <c r="EL24" s="186">
        <v>0</v>
      </c>
      <c r="EM24" s="186">
        <v>549461</v>
      </c>
      <c r="EN24" s="183">
        <f t="shared" si="13"/>
        <v>3871988</v>
      </c>
      <c r="EO24" s="186">
        <v>4170074</v>
      </c>
      <c r="EP24" s="186">
        <v>2829995</v>
      </c>
      <c r="EQ24" s="186">
        <v>864375</v>
      </c>
      <c r="ER24" s="186">
        <v>0</v>
      </c>
      <c r="ES24" s="186">
        <v>475704</v>
      </c>
      <c r="ET24" s="183">
        <f t="shared" si="14"/>
        <v>3694370</v>
      </c>
      <c r="EU24" s="186">
        <v>3925441</v>
      </c>
      <c r="EV24" s="186">
        <v>2705109</v>
      </c>
      <c r="EW24" s="186">
        <v>778381</v>
      </c>
      <c r="EX24" s="186">
        <v>0</v>
      </c>
      <c r="EY24" s="186">
        <v>441951</v>
      </c>
      <c r="EZ24" s="183">
        <f t="shared" si="15"/>
        <v>3483490</v>
      </c>
    </row>
    <row r="25" spans="1:156" x14ac:dyDescent="0.2">
      <c r="A25" s="182" t="s">
        <v>397</v>
      </c>
      <c r="B25" s="185">
        <v>4056995</v>
      </c>
      <c r="C25" s="182" t="s">
        <v>40</v>
      </c>
      <c r="D25" s="186">
        <v>2245370</v>
      </c>
      <c r="E25" s="186">
        <v>0</v>
      </c>
      <c r="F25" s="186">
        <v>0</v>
      </c>
      <c r="G25" s="186">
        <v>2044767</v>
      </c>
      <c r="H25" s="186">
        <v>0</v>
      </c>
      <c r="I25" s="186">
        <v>0</v>
      </c>
      <c r="J25" s="186">
        <v>2125293</v>
      </c>
      <c r="K25" s="186">
        <v>0</v>
      </c>
      <c r="L25" s="186">
        <v>0</v>
      </c>
      <c r="M25" s="186"/>
      <c r="N25" s="186">
        <v>1192233</v>
      </c>
      <c r="O25" s="186">
        <v>253830</v>
      </c>
      <c r="P25" s="186">
        <v>271774</v>
      </c>
      <c r="Q25" s="186">
        <v>8747</v>
      </c>
      <c r="R25" s="186">
        <v>25542</v>
      </c>
      <c r="S25" s="186">
        <v>2502</v>
      </c>
      <c r="T25" s="186">
        <v>2657</v>
      </c>
      <c r="U25" s="186">
        <v>0</v>
      </c>
      <c r="V25" s="186">
        <v>32871</v>
      </c>
      <c r="W25" s="186">
        <v>59336</v>
      </c>
      <c r="X25" s="186">
        <v>115500</v>
      </c>
      <c r="Y25" s="183">
        <f t="shared" si="0"/>
        <v>399050</v>
      </c>
      <c r="Z25" s="186"/>
      <c r="AA25" s="186">
        <v>1287896</v>
      </c>
      <c r="AB25" s="186">
        <v>289453</v>
      </c>
      <c r="AC25" s="186">
        <v>266350</v>
      </c>
      <c r="AD25" s="186">
        <v>2188</v>
      </c>
      <c r="AE25" s="186">
        <v>22887</v>
      </c>
      <c r="AF25" s="186">
        <v>2502</v>
      </c>
      <c r="AG25" s="186">
        <v>0</v>
      </c>
      <c r="AH25" s="186">
        <v>0</v>
      </c>
      <c r="AI25" s="186">
        <v>56258</v>
      </c>
      <c r="AJ25" s="186">
        <v>85319</v>
      </c>
      <c r="AK25" s="186">
        <v>104436</v>
      </c>
      <c r="AL25" s="183">
        <f t="shared" si="1"/>
        <v>98116</v>
      </c>
      <c r="AM25" s="186"/>
      <c r="AN25" s="186">
        <v>1128100</v>
      </c>
      <c r="AO25" s="186">
        <v>290687</v>
      </c>
      <c r="AP25" s="186">
        <v>255611</v>
      </c>
      <c r="AQ25" s="186">
        <v>2142</v>
      </c>
      <c r="AR25" s="186">
        <v>17716</v>
      </c>
      <c r="AS25" s="186">
        <v>2507</v>
      </c>
      <c r="AT25" s="186">
        <v>0</v>
      </c>
      <c r="AU25" s="186">
        <v>0</v>
      </c>
      <c r="AV25" s="186">
        <v>28923</v>
      </c>
      <c r="AW25" s="186">
        <v>57577</v>
      </c>
      <c r="AX25" s="186">
        <v>103413</v>
      </c>
      <c r="AY25" s="183">
        <f t="shared" si="2"/>
        <v>353771</v>
      </c>
      <c r="AZ25" s="186"/>
      <c r="BA25" s="186">
        <v>0</v>
      </c>
      <c r="BB25" s="186">
        <v>0</v>
      </c>
      <c r="BC25" s="186">
        <v>0</v>
      </c>
      <c r="BD25" s="186">
        <v>0</v>
      </c>
      <c r="BE25" s="186">
        <v>0</v>
      </c>
      <c r="BF25" s="186">
        <v>0</v>
      </c>
      <c r="BG25" s="186">
        <v>0</v>
      </c>
      <c r="BH25" s="186">
        <v>0</v>
      </c>
      <c r="BI25" s="186">
        <v>0</v>
      </c>
      <c r="BJ25" s="186">
        <v>0</v>
      </c>
      <c r="BK25" s="186">
        <v>0</v>
      </c>
      <c r="BL25" s="183">
        <f t="shared" si="3"/>
        <v>0</v>
      </c>
      <c r="BM25" s="186"/>
      <c r="BN25" s="186">
        <v>0</v>
      </c>
      <c r="BO25" s="186">
        <v>0</v>
      </c>
      <c r="BP25" s="186">
        <v>0</v>
      </c>
      <c r="BQ25" s="186">
        <v>0</v>
      </c>
      <c r="BR25" s="186">
        <v>0</v>
      </c>
      <c r="BS25" s="186">
        <v>0</v>
      </c>
      <c r="BT25" s="186">
        <v>0</v>
      </c>
      <c r="BU25" s="186">
        <v>0</v>
      </c>
      <c r="BV25" s="186">
        <v>0</v>
      </c>
      <c r="BW25" s="186">
        <v>0</v>
      </c>
      <c r="BX25" s="186">
        <v>0</v>
      </c>
      <c r="BY25" s="183">
        <f t="shared" si="4"/>
        <v>0</v>
      </c>
      <c r="BZ25" s="186"/>
      <c r="CA25" s="186">
        <v>0</v>
      </c>
      <c r="CB25" s="186">
        <v>0</v>
      </c>
      <c r="CC25" s="186">
        <v>0</v>
      </c>
      <c r="CD25" s="186">
        <v>0</v>
      </c>
      <c r="CE25" s="186">
        <v>0</v>
      </c>
      <c r="CF25" s="186">
        <v>0</v>
      </c>
      <c r="CG25" s="186">
        <v>0</v>
      </c>
      <c r="CH25" s="186">
        <v>0</v>
      </c>
      <c r="CI25" s="186">
        <v>0</v>
      </c>
      <c r="CJ25" s="186">
        <v>0</v>
      </c>
      <c r="CK25" s="186">
        <v>0</v>
      </c>
      <c r="CL25" s="183">
        <f t="shared" si="5"/>
        <v>0</v>
      </c>
      <c r="CM25" s="186"/>
      <c r="CN25" s="186">
        <v>0</v>
      </c>
      <c r="CO25" s="186">
        <v>0</v>
      </c>
      <c r="CP25" s="186">
        <v>0</v>
      </c>
      <c r="CQ25" s="186">
        <v>0</v>
      </c>
      <c r="CR25" s="186">
        <v>0</v>
      </c>
      <c r="CS25" s="186">
        <v>0</v>
      </c>
      <c r="CT25" s="186">
        <v>0</v>
      </c>
      <c r="CU25" s="186">
        <v>0</v>
      </c>
      <c r="CV25" s="186">
        <v>0</v>
      </c>
      <c r="CW25" s="186">
        <v>0</v>
      </c>
      <c r="CX25" s="186">
        <v>0</v>
      </c>
      <c r="CY25" s="183">
        <f t="shared" si="6"/>
        <v>0</v>
      </c>
      <c r="CZ25" s="186"/>
      <c r="DA25" s="186">
        <v>0</v>
      </c>
      <c r="DB25" s="186">
        <v>0</v>
      </c>
      <c r="DC25" s="186">
        <v>0</v>
      </c>
      <c r="DD25" s="186">
        <v>0</v>
      </c>
      <c r="DE25" s="186">
        <v>0</v>
      </c>
      <c r="DF25" s="186">
        <v>0</v>
      </c>
      <c r="DG25" s="186">
        <v>0</v>
      </c>
      <c r="DH25" s="186">
        <v>0</v>
      </c>
      <c r="DI25" s="186">
        <v>0</v>
      </c>
      <c r="DJ25" s="186">
        <v>0</v>
      </c>
      <c r="DK25" s="186">
        <v>0</v>
      </c>
      <c r="DL25" s="183">
        <f t="shared" si="7"/>
        <v>0</v>
      </c>
      <c r="DM25" s="186"/>
      <c r="DN25" s="186">
        <v>0</v>
      </c>
      <c r="DO25" s="186">
        <v>0</v>
      </c>
      <c r="DP25" s="186">
        <v>0</v>
      </c>
      <c r="DQ25" s="186">
        <v>0</v>
      </c>
      <c r="DR25" s="186">
        <v>0</v>
      </c>
      <c r="DS25" s="186">
        <v>0</v>
      </c>
      <c r="DT25" s="186">
        <v>0</v>
      </c>
      <c r="DU25" s="186">
        <v>0</v>
      </c>
      <c r="DV25" s="186">
        <v>0</v>
      </c>
      <c r="DW25" s="186">
        <v>0</v>
      </c>
      <c r="DX25" s="186">
        <v>0</v>
      </c>
      <c r="DY25" s="183">
        <f t="shared" si="8"/>
        <v>0</v>
      </c>
      <c r="DZ25" s="182"/>
      <c r="EA25" s="187">
        <f t="shared" si="9"/>
        <v>399050</v>
      </c>
      <c r="EB25" s="187">
        <f t="shared" si="9"/>
        <v>98116</v>
      </c>
      <c r="EC25" s="187">
        <f t="shared" si="9"/>
        <v>353771</v>
      </c>
      <c r="ED25" s="182"/>
      <c r="EE25" s="187" t="str">
        <f t="shared" si="10"/>
        <v/>
      </c>
      <c r="EF25" s="184" t="str">
        <f t="shared" si="11"/>
        <v/>
      </c>
      <c r="EG25" s="184" t="str">
        <f t="shared" si="12"/>
        <v/>
      </c>
      <c r="EH25" s="182"/>
      <c r="EI25" s="186">
        <v>7641861</v>
      </c>
      <c r="EJ25" s="186">
        <v>7641861</v>
      </c>
      <c r="EK25" s="186">
        <v>0</v>
      </c>
      <c r="EL25" s="186">
        <v>0</v>
      </c>
      <c r="EM25" s="186">
        <v>0</v>
      </c>
      <c r="EN25" s="183">
        <f t="shared" si="13"/>
        <v>7641861</v>
      </c>
      <c r="EO25" s="186">
        <v>7178439</v>
      </c>
      <c r="EP25" s="186">
        <v>7178439</v>
      </c>
      <c r="EQ25" s="186">
        <v>0</v>
      </c>
      <c r="ER25" s="186">
        <v>0</v>
      </c>
      <c r="ES25" s="186">
        <v>0</v>
      </c>
      <c r="ET25" s="183">
        <f t="shared" si="14"/>
        <v>7178439</v>
      </c>
      <c r="EU25" s="186">
        <v>6798843</v>
      </c>
      <c r="EV25" s="186">
        <v>6798843</v>
      </c>
      <c r="EW25" s="186">
        <v>0</v>
      </c>
      <c r="EX25" s="186">
        <v>0</v>
      </c>
      <c r="EY25" s="186">
        <v>0</v>
      </c>
      <c r="EZ25" s="183">
        <f t="shared" si="15"/>
        <v>6798843</v>
      </c>
    </row>
    <row r="26" spans="1:156" x14ac:dyDescent="0.2">
      <c r="A26" s="182" t="s">
        <v>398</v>
      </c>
      <c r="B26" s="185">
        <v>4112564</v>
      </c>
      <c r="C26" s="182" t="s">
        <v>40</v>
      </c>
      <c r="D26" s="186">
        <v>4199282</v>
      </c>
      <c r="E26" s="186">
        <v>62148</v>
      </c>
      <c r="F26" s="186">
        <v>0</v>
      </c>
      <c r="G26" s="186">
        <v>4208874</v>
      </c>
      <c r="H26" s="186">
        <v>63779</v>
      </c>
      <c r="I26" s="186">
        <v>0</v>
      </c>
      <c r="J26" s="186">
        <v>4221828</v>
      </c>
      <c r="K26" s="186">
        <v>54530</v>
      </c>
      <c r="L26" s="186">
        <v>0</v>
      </c>
      <c r="M26" s="186"/>
      <c r="N26" s="186">
        <v>2390253</v>
      </c>
      <c r="O26" s="186">
        <v>292467</v>
      </c>
      <c r="P26" s="186">
        <v>472697</v>
      </c>
      <c r="Q26" s="186">
        <v>10894</v>
      </c>
      <c r="R26" s="186">
        <v>37120</v>
      </c>
      <c r="S26" s="186">
        <v>4417</v>
      </c>
      <c r="T26" s="186">
        <v>3837</v>
      </c>
      <c r="U26" s="186">
        <v>0</v>
      </c>
      <c r="V26" s="186">
        <v>27710</v>
      </c>
      <c r="W26" s="186">
        <v>157943</v>
      </c>
      <c r="X26" s="186">
        <v>188895</v>
      </c>
      <c r="Y26" s="183">
        <f t="shared" si="0"/>
        <v>928935</v>
      </c>
      <c r="Z26" s="186"/>
      <c r="AA26" s="186">
        <v>2575767</v>
      </c>
      <c r="AB26" s="186">
        <v>303168</v>
      </c>
      <c r="AC26" s="186">
        <v>437186</v>
      </c>
      <c r="AD26" s="186">
        <v>7098</v>
      </c>
      <c r="AE26" s="186">
        <v>34180</v>
      </c>
      <c r="AF26" s="186">
        <v>4417</v>
      </c>
      <c r="AG26" s="186">
        <v>316</v>
      </c>
      <c r="AH26" s="186">
        <v>0</v>
      </c>
      <c r="AI26" s="186">
        <v>135569</v>
      </c>
      <c r="AJ26" s="186">
        <v>151296</v>
      </c>
      <c r="AK26" s="186">
        <v>178833</v>
      </c>
      <c r="AL26" s="183">
        <f t="shared" si="1"/>
        <v>683636</v>
      </c>
      <c r="AM26" s="186"/>
      <c r="AN26" s="186">
        <v>2596557</v>
      </c>
      <c r="AO26" s="186">
        <v>276627</v>
      </c>
      <c r="AP26" s="186">
        <v>420527</v>
      </c>
      <c r="AQ26" s="186">
        <v>5219</v>
      </c>
      <c r="AR26" s="186">
        <v>28004</v>
      </c>
      <c r="AS26" s="186">
        <v>4422</v>
      </c>
      <c r="AT26" s="186">
        <v>316</v>
      </c>
      <c r="AU26" s="186">
        <v>0</v>
      </c>
      <c r="AV26" s="186">
        <v>40446</v>
      </c>
      <c r="AW26" s="186">
        <v>211847</v>
      </c>
      <c r="AX26" s="186">
        <v>171199</v>
      </c>
      <c r="AY26" s="183">
        <f t="shared" si="2"/>
        <v>890358</v>
      </c>
      <c r="AZ26" s="186"/>
      <c r="BA26" s="186">
        <v>38262</v>
      </c>
      <c r="BB26" s="186">
        <v>2207</v>
      </c>
      <c r="BC26" s="186">
        <v>7232</v>
      </c>
      <c r="BD26" s="186">
        <v>0</v>
      </c>
      <c r="BE26" s="186">
        <v>722</v>
      </c>
      <c r="BF26" s="186">
        <v>0</v>
      </c>
      <c r="BG26" s="186">
        <v>26</v>
      </c>
      <c r="BH26" s="186">
        <v>0</v>
      </c>
      <c r="BI26" s="186">
        <v>1182</v>
      </c>
      <c r="BJ26" s="186">
        <v>276</v>
      </c>
      <c r="BK26" s="186">
        <v>5327</v>
      </c>
      <c r="BL26" s="183">
        <f t="shared" si="3"/>
        <v>7466</v>
      </c>
      <c r="BM26" s="186"/>
      <c r="BN26" s="186">
        <v>45031</v>
      </c>
      <c r="BO26" s="186">
        <v>2468</v>
      </c>
      <c r="BP26" s="186">
        <v>6680</v>
      </c>
      <c r="BQ26" s="186">
        <v>0</v>
      </c>
      <c r="BR26" s="186">
        <v>667</v>
      </c>
      <c r="BS26" s="186">
        <v>0</v>
      </c>
      <c r="BT26" s="186">
        <v>0</v>
      </c>
      <c r="BU26" s="186">
        <v>0</v>
      </c>
      <c r="BV26" s="186">
        <v>594</v>
      </c>
      <c r="BW26" s="186">
        <v>506</v>
      </c>
      <c r="BX26" s="186">
        <v>4911</v>
      </c>
      <c r="BY26" s="183">
        <f t="shared" si="4"/>
        <v>3934</v>
      </c>
      <c r="BZ26" s="186"/>
      <c r="CA26" s="186">
        <v>37101</v>
      </c>
      <c r="CB26" s="186">
        <v>2020</v>
      </c>
      <c r="CC26" s="186">
        <v>6053</v>
      </c>
      <c r="CD26" s="186">
        <v>0</v>
      </c>
      <c r="CE26" s="186">
        <v>605</v>
      </c>
      <c r="CF26" s="186">
        <v>0</v>
      </c>
      <c r="CG26" s="186">
        <v>0</v>
      </c>
      <c r="CH26" s="186">
        <v>0</v>
      </c>
      <c r="CI26" s="186">
        <v>52</v>
      </c>
      <c r="CJ26" s="186">
        <v>180</v>
      </c>
      <c r="CK26" s="186">
        <v>4160</v>
      </c>
      <c r="CL26" s="183">
        <f t="shared" si="5"/>
        <v>4719</v>
      </c>
      <c r="CM26" s="186"/>
      <c r="CN26" s="186">
        <v>0</v>
      </c>
      <c r="CO26" s="186">
        <v>0</v>
      </c>
      <c r="CP26" s="186">
        <v>0</v>
      </c>
      <c r="CQ26" s="186">
        <v>0</v>
      </c>
      <c r="CR26" s="186">
        <v>0</v>
      </c>
      <c r="CS26" s="186">
        <v>0</v>
      </c>
      <c r="CT26" s="186">
        <v>0</v>
      </c>
      <c r="CU26" s="186">
        <v>0</v>
      </c>
      <c r="CV26" s="186">
        <v>0</v>
      </c>
      <c r="CW26" s="186">
        <v>0</v>
      </c>
      <c r="CX26" s="186">
        <v>0</v>
      </c>
      <c r="CY26" s="183">
        <f t="shared" si="6"/>
        <v>0</v>
      </c>
      <c r="CZ26" s="186"/>
      <c r="DA26" s="186">
        <v>0</v>
      </c>
      <c r="DB26" s="186">
        <v>0</v>
      </c>
      <c r="DC26" s="186">
        <v>0</v>
      </c>
      <c r="DD26" s="186">
        <v>0</v>
      </c>
      <c r="DE26" s="186">
        <v>0</v>
      </c>
      <c r="DF26" s="186">
        <v>0</v>
      </c>
      <c r="DG26" s="186">
        <v>0</v>
      </c>
      <c r="DH26" s="186">
        <v>0</v>
      </c>
      <c r="DI26" s="186">
        <v>0</v>
      </c>
      <c r="DJ26" s="186">
        <v>0</v>
      </c>
      <c r="DK26" s="186">
        <v>0</v>
      </c>
      <c r="DL26" s="183">
        <f t="shared" si="7"/>
        <v>0</v>
      </c>
      <c r="DM26" s="186"/>
      <c r="DN26" s="186">
        <v>0</v>
      </c>
      <c r="DO26" s="186">
        <v>0</v>
      </c>
      <c r="DP26" s="186">
        <v>0</v>
      </c>
      <c r="DQ26" s="186">
        <v>0</v>
      </c>
      <c r="DR26" s="186">
        <v>0</v>
      </c>
      <c r="DS26" s="186">
        <v>0</v>
      </c>
      <c r="DT26" s="186">
        <v>0</v>
      </c>
      <c r="DU26" s="186">
        <v>0</v>
      </c>
      <c r="DV26" s="186">
        <v>0</v>
      </c>
      <c r="DW26" s="186">
        <v>0</v>
      </c>
      <c r="DX26" s="186">
        <v>0</v>
      </c>
      <c r="DY26" s="183">
        <f t="shared" si="8"/>
        <v>0</v>
      </c>
      <c r="DZ26" s="182"/>
      <c r="EA26" s="187">
        <f t="shared" si="9"/>
        <v>936401</v>
      </c>
      <c r="EB26" s="187">
        <f t="shared" si="9"/>
        <v>687570</v>
      </c>
      <c r="EC26" s="187">
        <f t="shared" si="9"/>
        <v>895077</v>
      </c>
      <c r="ED26" s="182"/>
      <c r="EE26" s="187" t="str">
        <f t="shared" si="10"/>
        <v/>
      </c>
      <c r="EF26" s="184" t="str">
        <f t="shared" si="11"/>
        <v/>
      </c>
      <c r="EG26" s="184" t="str">
        <f t="shared" si="12"/>
        <v/>
      </c>
      <c r="EH26" s="182"/>
      <c r="EI26" s="186">
        <v>15126469</v>
      </c>
      <c r="EJ26" s="186">
        <v>15002373</v>
      </c>
      <c r="EK26" s="186">
        <v>124096</v>
      </c>
      <c r="EL26" s="186">
        <v>0</v>
      </c>
      <c r="EM26" s="186">
        <v>0</v>
      </c>
      <c r="EN26" s="183">
        <f t="shared" si="13"/>
        <v>15126469</v>
      </c>
      <c r="EO26" s="186">
        <v>13755547</v>
      </c>
      <c r="EP26" s="186">
        <v>13639599</v>
      </c>
      <c r="EQ26" s="186">
        <v>115948</v>
      </c>
      <c r="ER26" s="186">
        <v>0</v>
      </c>
      <c r="ES26" s="186">
        <v>0</v>
      </c>
      <c r="ET26" s="183">
        <f t="shared" si="14"/>
        <v>13755547</v>
      </c>
      <c r="EU26" s="186">
        <v>12416420</v>
      </c>
      <c r="EV26" s="186">
        <v>12313107</v>
      </c>
      <c r="EW26" s="186">
        <v>103313</v>
      </c>
      <c r="EX26" s="186">
        <v>0</v>
      </c>
      <c r="EY26" s="186">
        <v>0</v>
      </c>
      <c r="EZ26" s="183">
        <f t="shared" si="15"/>
        <v>12416420</v>
      </c>
    </row>
    <row r="27" spans="1:156" x14ac:dyDescent="0.2">
      <c r="A27" s="182" t="s">
        <v>399</v>
      </c>
      <c r="B27" s="185">
        <v>4008616</v>
      </c>
      <c r="C27" s="182" t="s">
        <v>40</v>
      </c>
      <c r="D27" s="186">
        <v>1323043</v>
      </c>
      <c r="E27" s="186">
        <v>0</v>
      </c>
      <c r="F27" s="186">
        <v>0</v>
      </c>
      <c r="G27" s="186">
        <v>1335112</v>
      </c>
      <c r="H27" s="186">
        <v>0</v>
      </c>
      <c r="I27" s="186">
        <v>0</v>
      </c>
      <c r="J27" s="186">
        <v>1198229</v>
      </c>
      <c r="K27" s="186">
        <v>0</v>
      </c>
      <c r="L27" s="186">
        <v>0</v>
      </c>
      <c r="M27" s="186"/>
      <c r="N27" s="186">
        <v>754533</v>
      </c>
      <c r="O27" s="186">
        <v>77341</v>
      </c>
      <c r="P27" s="186">
        <v>156765</v>
      </c>
      <c r="Q27" s="186">
        <v>8</v>
      </c>
      <c r="R27" s="186">
        <v>11500</v>
      </c>
      <c r="S27" s="186">
        <v>1886</v>
      </c>
      <c r="T27" s="186">
        <v>0</v>
      </c>
      <c r="U27" s="186">
        <v>0</v>
      </c>
      <c r="V27" s="186">
        <v>23610</v>
      </c>
      <c r="W27" s="186">
        <v>8617</v>
      </c>
      <c r="X27" s="186">
        <v>105317</v>
      </c>
      <c r="Y27" s="183">
        <f t="shared" si="0"/>
        <v>200700</v>
      </c>
      <c r="Z27" s="186"/>
      <c r="AA27" s="186">
        <v>804605</v>
      </c>
      <c r="AB27" s="186">
        <v>79861</v>
      </c>
      <c r="AC27" s="186">
        <v>139659</v>
      </c>
      <c r="AD27" s="186">
        <v>-5</v>
      </c>
      <c r="AE27" s="186">
        <v>10684</v>
      </c>
      <c r="AF27" s="186">
        <v>1710</v>
      </c>
      <c r="AG27" s="186">
        <v>127238</v>
      </c>
      <c r="AH27" s="186">
        <v>0</v>
      </c>
      <c r="AI27" s="186">
        <v>25147</v>
      </c>
      <c r="AJ27" s="186">
        <v>4681</v>
      </c>
      <c r="AK27" s="186">
        <v>101999</v>
      </c>
      <c r="AL27" s="183">
        <f t="shared" si="1"/>
        <v>48895</v>
      </c>
      <c r="AM27" s="186"/>
      <c r="AN27" s="186">
        <v>683339</v>
      </c>
      <c r="AO27" s="186">
        <v>74538</v>
      </c>
      <c r="AP27" s="186">
        <v>131533</v>
      </c>
      <c r="AQ27" s="186">
        <v>-13</v>
      </c>
      <c r="AR27" s="186">
        <v>9750</v>
      </c>
      <c r="AS27" s="186">
        <v>1711</v>
      </c>
      <c r="AT27" s="186">
        <v>0</v>
      </c>
      <c r="AU27" s="186">
        <v>0</v>
      </c>
      <c r="AV27" s="186">
        <v>773</v>
      </c>
      <c r="AW27" s="186">
        <v>19906</v>
      </c>
      <c r="AX27" s="186">
        <v>95051</v>
      </c>
      <c r="AY27" s="183">
        <f t="shared" si="2"/>
        <v>221453</v>
      </c>
      <c r="AZ27" s="186"/>
      <c r="BA27" s="186">
        <v>0</v>
      </c>
      <c r="BB27" s="186">
        <v>0</v>
      </c>
      <c r="BC27" s="186">
        <v>0</v>
      </c>
      <c r="BD27" s="186">
        <v>0</v>
      </c>
      <c r="BE27" s="186">
        <v>0</v>
      </c>
      <c r="BF27" s="186">
        <v>0</v>
      </c>
      <c r="BG27" s="186">
        <v>0</v>
      </c>
      <c r="BH27" s="186">
        <v>0</v>
      </c>
      <c r="BI27" s="186">
        <v>0</v>
      </c>
      <c r="BJ27" s="186">
        <v>0</v>
      </c>
      <c r="BK27" s="186">
        <v>0</v>
      </c>
      <c r="BL27" s="183">
        <f t="shared" si="3"/>
        <v>0</v>
      </c>
      <c r="BM27" s="186"/>
      <c r="BN27" s="186">
        <v>0</v>
      </c>
      <c r="BO27" s="186">
        <v>0</v>
      </c>
      <c r="BP27" s="186">
        <v>0</v>
      </c>
      <c r="BQ27" s="186">
        <v>0</v>
      </c>
      <c r="BR27" s="186">
        <v>0</v>
      </c>
      <c r="BS27" s="186">
        <v>0</v>
      </c>
      <c r="BT27" s="186">
        <v>0</v>
      </c>
      <c r="BU27" s="186">
        <v>0</v>
      </c>
      <c r="BV27" s="186">
        <v>0</v>
      </c>
      <c r="BW27" s="186">
        <v>0</v>
      </c>
      <c r="BX27" s="186">
        <v>0</v>
      </c>
      <c r="BY27" s="183">
        <f t="shared" si="4"/>
        <v>0</v>
      </c>
      <c r="BZ27" s="186"/>
      <c r="CA27" s="186">
        <v>0</v>
      </c>
      <c r="CB27" s="186">
        <v>0</v>
      </c>
      <c r="CC27" s="186">
        <v>0</v>
      </c>
      <c r="CD27" s="186">
        <v>0</v>
      </c>
      <c r="CE27" s="186">
        <v>0</v>
      </c>
      <c r="CF27" s="186">
        <v>0</v>
      </c>
      <c r="CG27" s="186">
        <v>0</v>
      </c>
      <c r="CH27" s="186">
        <v>0</v>
      </c>
      <c r="CI27" s="186">
        <v>0</v>
      </c>
      <c r="CJ27" s="186">
        <v>0</v>
      </c>
      <c r="CK27" s="186">
        <v>0</v>
      </c>
      <c r="CL27" s="183">
        <f t="shared" si="5"/>
        <v>0</v>
      </c>
      <c r="CM27" s="186"/>
      <c r="CN27" s="186">
        <v>0</v>
      </c>
      <c r="CO27" s="186">
        <v>0</v>
      </c>
      <c r="CP27" s="186">
        <v>0</v>
      </c>
      <c r="CQ27" s="186">
        <v>0</v>
      </c>
      <c r="CR27" s="186">
        <v>0</v>
      </c>
      <c r="CS27" s="186">
        <v>0</v>
      </c>
      <c r="CT27" s="186">
        <v>0</v>
      </c>
      <c r="CU27" s="186">
        <v>0</v>
      </c>
      <c r="CV27" s="186">
        <v>0</v>
      </c>
      <c r="CW27" s="186">
        <v>0</v>
      </c>
      <c r="CX27" s="186">
        <v>0</v>
      </c>
      <c r="CY27" s="183">
        <f t="shared" si="6"/>
        <v>0</v>
      </c>
      <c r="CZ27" s="186"/>
      <c r="DA27" s="186">
        <v>0</v>
      </c>
      <c r="DB27" s="186">
        <v>0</v>
      </c>
      <c r="DC27" s="186">
        <v>0</v>
      </c>
      <c r="DD27" s="186">
        <v>0</v>
      </c>
      <c r="DE27" s="186">
        <v>0</v>
      </c>
      <c r="DF27" s="186">
        <v>0</v>
      </c>
      <c r="DG27" s="186">
        <v>0</v>
      </c>
      <c r="DH27" s="186">
        <v>0</v>
      </c>
      <c r="DI27" s="186">
        <v>0</v>
      </c>
      <c r="DJ27" s="186">
        <v>0</v>
      </c>
      <c r="DK27" s="186">
        <v>0</v>
      </c>
      <c r="DL27" s="183">
        <f t="shared" si="7"/>
        <v>0</v>
      </c>
      <c r="DM27" s="186"/>
      <c r="DN27" s="186">
        <v>0</v>
      </c>
      <c r="DO27" s="186">
        <v>0</v>
      </c>
      <c r="DP27" s="186">
        <v>0</v>
      </c>
      <c r="DQ27" s="186">
        <v>0</v>
      </c>
      <c r="DR27" s="186">
        <v>0</v>
      </c>
      <c r="DS27" s="186">
        <v>0</v>
      </c>
      <c r="DT27" s="186">
        <v>0</v>
      </c>
      <c r="DU27" s="186">
        <v>0</v>
      </c>
      <c r="DV27" s="186">
        <v>0</v>
      </c>
      <c r="DW27" s="186">
        <v>0</v>
      </c>
      <c r="DX27" s="186">
        <v>0</v>
      </c>
      <c r="DY27" s="183">
        <f t="shared" si="8"/>
        <v>0</v>
      </c>
      <c r="DZ27" s="182"/>
      <c r="EA27" s="187">
        <f t="shared" si="9"/>
        <v>200700</v>
      </c>
      <c r="EB27" s="187">
        <f t="shared" si="9"/>
        <v>48895</v>
      </c>
      <c r="EC27" s="187">
        <f t="shared" si="9"/>
        <v>221453</v>
      </c>
      <c r="ED27" s="182"/>
      <c r="EE27" s="187" t="str">
        <f t="shared" si="10"/>
        <v/>
      </c>
      <c r="EF27" s="184" t="str">
        <f t="shared" si="11"/>
        <v/>
      </c>
      <c r="EG27" s="184" t="str">
        <f t="shared" si="12"/>
        <v/>
      </c>
      <c r="EH27" s="182"/>
      <c r="EI27" s="186">
        <v>3948755</v>
      </c>
      <c r="EJ27" s="186">
        <v>3948755</v>
      </c>
      <c r="EK27" s="186">
        <v>0</v>
      </c>
      <c r="EL27" s="186">
        <v>0</v>
      </c>
      <c r="EM27" s="186">
        <v>0</v>
      </c>
      <c r="EN27" s="183">
        <f t="shared" si="13"/>
        <v>3948755</v>
      </c>
      <c r="EO27" s="186">
        <v>3330884</v>
      </c>
      <c r="EP27" s="186">
        <v>3330884</v>
      </c>
      <c r="EQ27" s="186">
        <v>0</v>
      </c>
      <c r="ER27" s="186">
        <v>0</v>
      </c>
      <c r="ES27" s="186">
        <v>0</v>
      </c>
      <c r="ET27" s="183">
        <f t="shared" si="14"/>
        <v>3330884</v>
      </c>
      <c r="EU27" s="186">
        <v>3220096</v>
      </c>
      <c r="EV27" s="186">
        <v>3220096</v>
      </c>
      <c r="EW27" s="186">
        <v>0</v>
      </c>
      <c r="EX27" s="186">
        <v>0</v>
      </c>
      <c r="EY27" s="186">
        <v>0</v>
      </c>
      <c r="EZ27" s="183">
        <f t="shared" si="15"/>
        <v>3220096</v>
      </c>
    </row>
    <row r="28" spans="1:156" x14ac:dyDescent="0.2">
      <c r="A28" s="182" t="s">
        <v>400</v>
      </c>
      <c r="B28" s="185">
        <v>4057085</v>
      </c>
      <c r="C28" s="182" t="s">
        <v>40</v>
      </c>
      <c r="D28" s="186">
        <v>581707</v>
      </c>
      <c r="E28" s="186">
        <v>91974</v>
      </c>
      <c r="F28" s="186">
        <v>0</v>
      </c>
      <c r="G28" s="186">
        <v>610991</v>
      </c>
      <c r="H28" s="186">
        <v>92831</v>
      </c>
      <c r="I28" s="186">
        <v>0</v>
      </c>
      <c r="J28" s="186">
        <v>619015</v>
      </c>
      <c r="K28" s="186">
        <v>84501</v>
      </c>
      <c r="L28" s="186">
        <v>0</v>
      </c>
      <c r="M28" s="186"/>
      <c r="N28" s="186">
        <v>408106</v>
      </c>
      <c r="O28" s="186">
        <v>14109</v>
      </c>
      <c r="P28" s="186">
        <v>41076</v>
      </c>
      <c r="Q28" s="186">
        <v>-8</v>
      </c>
      <c r="R28" s="186">
        <v>4762</v>
      </c>
      <c r="S28" s="186">
        <v>1191</v>
      </c>
      <c r="T28" s="186">
        <v>6806</v>
      </c>
      <c r="U28" s="186">
        <v>0</v>
      </c>
      <c r="V28" s="186">
        <v>11890</v>
      </c>
      <c r="W28" s="186">
        <v>9251</v>
      </c>
      <c r="X28" s="186">
        <v>47070</v>
      </c>
      <c r="Y28" s="183">
        <f t="shared" si="0"/>
        <v>55956</v>
      </c>
      <c r="Z28" s="186"/>
      <c r="AA28" s="186">
        <v>428682</v>
      </c>
      <c r="AB28" s="186">
        <v>18818</v>
      </c>
      <c r="AC28" s="186">
        <v>41729</v>
      </c>
      <c r="AD28" s="186">
        <v>-20</v>
      </c>
      <c r="AE28" s="186">
        <v>4798</v>
      </c>
      <c r="AF28" s="186">
        <v>1191</v>
      </c>
      <c r="AG28" s="186">
        <v>1363</v>
      </c>
      <c r="AH28" s="186">
        <v>0</v>
      </c>
      <c r="AI28" s="186">
        <v>12302</v>
      </c>
      <c r="AJ28" s="186">
        <v>5152</v>
      </c>
      <c r="AK28" s="186">
        <v>48381</v>
      </c>
      <c r="AL28" s="183">
        <f t="shared" si="1"/>
        <v>58899</v>
      </c>
      <c r="AM28" s="186"/>
      <c r="AN28" s="186">
        <v>430997</v>
      </c>
      <c r="AO28" s="186">
        <v>16364</v>
      </c>
      <c r="AP28" s="186">
        <v>40129</v>
      </c>
      <c r="AQ28" s="186">
        <v>-20</v>
      </c>
      <c r="AR28" s="186">
        <v>4517</v>
      </c>
      <c r="AS28" s="186">
        <v>1196</v>
      </c>
      <c r="AT28" s="186">
        <v>0</v>
      </c>
      <c r="AU28" s="186">
        <v>0</v>
      </c>
      <c r="AV28" s="186">
        <v>4727</v>
      </c>
      <c r="AW28" s="186">
        <v>4012</v>
      </c>
      <c r="AX28" s="186">
        <v>46505</v>
      </c>
      <c r="AY28" s="183">
        <f t="shared" si="2"/>
        <v>78612</v>
      </c>
      <c r="AZ28" s="186"/>
      <c r="BA28" s="186">
        <v>60454</v>
      </c>
      <c r="BB28" s="186">
        <v>3773</v>
      </c>
      <c r="BC28" s="186">
        <v>7009</v>
      </c>
      <c r="BD28" s="186">
        <v>0</v>
      </c>
      <c r="BE28" s="186">
        <v>1686</v>
      </c>
      <c r="BF28" s="186">
        <v>0</v>
      </c>
      <c r="BG28" s="186">
        <v>0</v>
      </c>
      <c r="BH28" s="186">
        <v>0</v>
      </c>
      <c r="BI28" s="186">
        <v>1261</v>
      </c>
      <c r="BJ28" s="186">
        <v>1</v>
      </c>
      <c r="BK28" s="186">
        <v>8200</v>
      </c>
      <c r="BL28" s="183">
        <f t="shared" si="3"/>
        <v>9592</v>
      </c>
      <c r="BM28" s="186"/>
      <c r="BN28" s="186">
        <v>60099</v>
      </c>
      <c r="BO28" s="186">
        <v>3735</v>
      </c>
      <c r="BP28" s="186">
        <v>6516</v>
      </c>
      <c r="BQ28" s="186">
        <v>0</v>
      </c>
      <c r="BR28" s="186">
        <v>1499</v>
      </c>
      <c r="BS28" s="186">
        <v>0</v>
      </c>
      <c r="BT28" s="186">
        <v>0</v>
      </c>
      <c r="BU28" s="186">
        <v>0</v>
      </c>
      <c r="BV28" s="186">
        <v>1261</v>
      </c>
      <c r="BW28" s="186">
        <v>3</v>
      </c>
      <c r="BX28" s="186">
        <v>7759</v>
      </c>
      <c r="BY28" s="183">
        <f t="shared" si="4"/>
        <v>11965</v>
      </c>
      <c r="BZ28" s="186"/>
      <c r="CA28" s="186">
        <v>51944</v>
      </c>
      <c r="CB28" s="186">
        <v>3261</v>
      </c>
      <c r="CC28" s="186">
        <v>5909</v>
      </c>
      <c r="CD28" s="186">
        <v>0</v>
      </c>
      <c r="CE28" s="186">
        <v>1014</v>
      </c>
      <c r="CF28" s="186">
        <v>0</v>
      </c>
      <c r="CG28" s="186">
        <v>0</v>
      </c>
      <c r="CH28" s="186">
        <v>0</v>
      </c>
      <c r="CI28" s="186">
        <v>0</v>
      </c>
      <c r="CJ28" s="186">
        <v>3</v>
      </c>
      <c r="CK28" s="186">
        <v>8085</v>
      </c>
      <c r="CL28" s="183">
        <f t="shared" si="5"/>
        <v>14291</v>
      </c>
      <c r="CM28" s="186"/>
      <c r="CN28" s="186">
        <v>0</v>
      </c>
      <c r="CO28" s="186">
        <v>0</v>
      </c>
      <c r="CP28" s="186">
        <v>0</v>
      </c>
      <c r="CQ28" s="186">
        <v>0</v>
      </c>
      <c r="CR28" s="186">
        <v>0</v>
      </c>
      <c r="CS28" s="186">
        <v>0</v>
      </c>
      <c r="CT28" s="186">
        <v>0</v>
      </c>
      <c r="CU28" s="186">
        <v>0</v>
      </c>
      <c r="CV28" s="186">
        <v>0</v>
      </c>
      <c r="CW28" s="186">
        <v>0</v>
      </c>
      <c r="CX28" s="186">
        <v>0</v>
      </c>
      <c r="CY28" s="183">
        <f t="shared" si="6"/>
        <v>0</v>
      </c>
      <c r="CZ28" s="186"/>
      <c r="DA28" s="186">
        <v>0</v>
      </c>
      <c r="DB28" s="186">
        <v>0</v>
      </c>
      <c r="DC28" s="186">
        <v>0</v>
      </c>
      <c r="DD28" s="186">
        <v>0</v>
      </c>
      <c r="DE28" s="186">
        <v>0</v>
      </c>
      <c r="DF28" s="186">
        <v>0</v>
      </c>
      <c r="DG28" s="186">
        <v>0</v>
      </c>
      <c r="DH28" s="186">
        <v>0</v>
      </c>
      <c r="DI28" s="186">
        <v>0</v>
      </c>
      <c r="DJ28" s="186">
        <v>0</v>
      </c>
      <c r="DK28" s="186">
        <v>0</v>
      </c>
      <c r="DL28" s="183">
        <f t="shared" si="7"/>
        <v>0</v>
      </c>
      <c r="DM28" s="186"/>
      <c r="DN28" s="186">
        <v>0</v>
      </c>
      <c r="DO28" s="186">
        <v>0</v>
      </c>
      <c r="DP28" s="186">
        <v>0</v>
      </c>
      <c r="DQ28" s="186">
        <v>0</v>
      </c>
      <c r="DR28" s="186">
        <v>0</v>
      </c>
      <c r="DS28" s="186">
        <v>0</v>
      </c>
      <c r="DT28" s="186">
        <v>0</v>
      </c>
      <c r="DU28" s="186">
        <v>0</v>
      </c>
      <c r="DV28" s="186">
        <v>0</v>
      </c>
      <c r="DW28" s="186">
        <v>0</v>
      </c>
      <c r="DX28" s="186">
        <v>0</v>
      </c>
      <c r="DY28" s="183">
        <f t="shared" si="8"/>
        <v>0</v>
      </c>
      <c r="DZ28" s="182"/>
      <c r="EA28" s="187">
        <f t="shared" si="9"/>
        <v>65548</v>
      </c>
      <c r="EB28" s="187">
        <f t="shared" si="9"/>
        <v>70864</v>
      </c>
      <c r="EC28" s="187">
        <f t="shared" si="9"/>
        <v>92903</v>
      </c>
      <c r="ED28" s="182"/>
      <c r="EE28" s="187" t="str">
        <f t="shared" si="10"/>
        <v/>
      </c>
      <c r="EF28" s="184" t="str">
        <f t="shared" si="11"/>
        <v/>
      </c>
      <c r="EG28" s="184" t="str">
        <f t="shared" si="12"/>
        <v/>
      </c>
      <c r="EH28" s="182"/>
      <c r="EI28" s="186">
        <v>1317887</v>
      </c>
      <c r="EJ28" s="186">
        <v>1136877</v>
      </c>
      <c r="EK28" s="186">
        <v>181011</v>
      </c>
      <c r="EL28" s="186">
        <v>0</v>
      </c>
      <c r="EM28" s="186">
        <v>0</v>
      </c>
      <c r="EN28" s="183">
        <f t="shared" si="13"/>
        <v>1317888</v>
      </c>
      <c r="EO28" s="186">
        <v>1174584</v>
      </c>
      <c r="EP28" s="186">
        <v>1008860</v>
      </c>
      <c r="EQ28" s="186">
        <v>165724</v>
      </c>
      <c r="ER28" s="186">
        <v>0</v>
      </c>
      <c r="ES28" s="186">
        <v>0</v>
      </c>
      <c r="ET28" s="183">
        <f t="shared" si="14"/>
        <v>1174584</v>
      </c>
      <c r="EU28" s="186">
        <v>1024074</v>
      </c>
      <c r="EV28" s="186">
        <v>877367</v>
      </c>
      <c r="EW28" s="186">
        <v>146707</v>
      </c>
      <c r="EX28" s="186">
        <v>0</v>
      </c>
      <c r="EY28" s="186">
        <v>0</v>
      </c>
      <c r="EZ28" s="183">
        <f t="shared" si="15"/>
        <v>1024074</v>
      </c>
    </row>
    <row r="29" spans="1:156" x14ac:dyDescent="0.2">
      <c r="A29" s="182" t="s">
        <v>401</v>
      </c>
      <c r="B29" s="185">
        <v>4199135</v>
      </c>
      <c r="C29" s="182" t="s">
        <v>40</v>
      </c>
      <c r="D29" s="186">
        <v>1400557</v>
      </c>
      <c r="E29" s="186">
        <v>0</v>
      </c>
      <c r="F29" s="186">
        <v>0</v>
      </c>
      <c r="G29" s="186">
        <v>1512363</v>
      </c>
      <c r="H29" s="186">
        <v>0</v>
      </c>
      <c r="I29" s="186">
        <v>0</v>
      </c>
      <c r="J29" s="186">
        <v>1452342</v>
      </c>
      <c r="K29" s="186">
        <v>0</v>
      </c>
      <c r="L29" s="186">
        <v>0</v>
      </c>
      <c r="M29" s="186"/>
      <c r="N29" s="186">
        <v>959167</v>
      </c>
      <c r="O29" s="186">
        <v>62021</v>
      </c>
      <c r="P29" s="186">
        <v>134009</v>
      </c>
      <c r="Q29" s="186">
        <v>-320</v>
      </c>
      <c r="R29" s="186">
        <v>19092</v>
      </c>
      <c r="S29" s="186">
        <v>0</v>
      </c>
      <c r="T29" s="186">
        <v>1750</v>
      </c>
      <c r="U29" s="186">
        <v>0</v>
      </c>
      <c r="V29" s="186">
        <v>25063</v>
      </c>
      <c r="W29" s="186">
        <v>13923</v>
      </c>
      <c r="X29" s="186">
        <v>76350</v>
      </c>
      <c r="Y29" s="183">
        <f t="shared" si="0"/>
        <v>137348</v>
      </c>
      <c r="Z29" s="186"/>
      <c r="AA29" s="186">
        <v>996287</v>
      </c>
      <c r="AB29" s="186">
        <v>59775</v>
      </c>
      <c r="AC29" s="186">
        <v>114309</v>
      </c>
      <c r="AD29" s="186">
        <v>-320</v>
      </c>
      <c r="AE29" s="186">
        <v>14239</v>
      </c>
      <c r="AF29" s="186">
        <v>0</v>
      </c>
      <c r="AG29" s="186">
        <v>0</v>
      </c>
      <c r="AH29" s="186">
        <v>0</v>
      </c>
      <c r="AI29" s="186">
        <v>83499</v>
      </c>
      <c r="AJ29" s="186">
        <v>28563</v>
      </c>
      <c r="AK29" s="186">
        <v>82016</v>
      </c>
      <c r="AL29" s="183">
        <f t="shared" si="1"/>
        <v>191121</v>
      </c>
      <c r="AM29" s="186"/>
      <c r="AN29" s="186">
        <v>1005082</v>
      </c>
      <c r="AO29" s="186">
        <v>59865</v>
      </c>
      <c r="AP29" s="186">
        <v>105455</v>
      </c>
      <c r="AQ29" s="186">
        <v>-320</v>
      </c>
      <c r="AR29" s="186">
        <v>12057</v>
      </c>
      <c r="AS29" s="186">
        <v>0</v>
      </c>
      <c r="AT29" s="186">
        <v>0</v>
      </c>
      <c r="AU29" s="186">
        <v>0</v>
      </c>
      <c r="AV29" s="186">
        <v>12127</v>
      </c>
      <c r="AW29" s="186">
        <v>1422</v>
      </c>
      <c r="AX29" s="186">
        <v>79235</v>
      </c>
      <c r="AY29" s="183">
        <f t="shared" si="2"/>
        <v>180263</v>
      </c>
      <c r="AZ29" s="186"/>
      <c r="BA29" s="186">
        <v>0</v>
      </c>
      <c r="BB29" s="186">
        <v>0</v>
      </c>
      <c r="BC29" s="186">
        <v>0</v>
      </c>
      <c r="BD29" s="186">
        <v>0</v>
      </c>
      <c r="BE29" s="186">
        <v>0</v>
      </c>
      <c r="BF29" s="186">
        <v>0</v>
      </c>
      <c r="BG29" s="186">
        <v>0</v>
      </c>
      <c r="BH29" s="186">
        <v>0</v>
      </c>
      <c r="BI29" s="186">
        <v>0</v>
      </c>
      <c r="BJ29" s="186">
        <v>0</v>
      </c>
      <c r="BK29" s="186">
        <v>0</v>
      </c>
      <c r="BL29" s="183">
        <f t="shared" si="3"/>
        <v>0</v>
      </c>
      <c r="BM29" s="186"/>
      <c r="BN29" s="186">
        <v>0</v>
      </c>
      <c r="BO29" s="186">
        <v>0</v>
      </c>
      <c r="BP29" s="186">
        <v>0</v>
      </c>
      <c r="BQ29" s="186">
        <v>0</v>
      </c>
      <c r="BR29" s="186">
        <v>0</v>
      </c>
      <c r="BS29" s="186">
        <v>0</v>
      </c>
      <c r="BT29" s="186">
        <v>0</v>
      </c>
      <c r="BU29" s="186">
        <v>0</v>
      </c>
      <c r="BV29" s="186">
        <v>0</v>
      </c>
      <c r="BW29" s="186">
        <v>0</v>
      </c>
      <c r="BX29" s="186">
        <v>0</v>
      </c>
      <c r="BY29" s="183">
        <f t="shared" si="4"/>
        <v>0</v>
      </c>
      <c r="BZ29" s="186"/>
      <c r="CA29" s="186">
        <v>0</v>
      </c>
      <c r="CB29" s="186">
        <v>0</v>
      </c>
      <c r="CC29" s="186">
        <v>0</v>
      </c>
      <c r="CD29" s="186">
        <v>0</v>
      </c>
      <c r="CE29" s="186">
        <v>0</v>
      </c>
      <c r="CF29" s="186">
        <v>0</v>
      </c>
      <c r="CG29" s="186">
        <v>0</v>
      </c>
      <c r="CH29" s="186">
        <v>0</v>
      </c>
      <c r="CI29" s="186">
        <v>0</v>
      </c>
      <c r="CJ29" s="186">
        <v>0</v>
      </c>
      <c r="CK29" s="186">
        <v>0</v>
      </c>
      <c r="CL29" s="183">
        <f t="shared" si="5"/>
        <v>0</v>
      </c>
      <c r="CM29" s="186"/>
      <c r="CN29" s="186">
        <v>0</v>
      </c>
      <c r="CO29" s="186">
        <v>0</v>
      </c>
      <c r="CP29" s="186">
        <v>0</v>
      </c>
      <c r="CQ29" s="186">
        <v>0</v>
      </c>
      <c r="CR29" s="186">
        <v>0</v>
      </c>
      <c r="CS29" s="186">
        <v>0</v>
      </c>
      <c r="CT29" s="186">
        <v>0</v>
      </c>
      <c r="CU29" s="186">
        <v>0</v>
      </c>
      <c r="CV29" s="186">
        <v>0</v>
      </c>
      <c r="CW29" s="186">
        <v>0</v>
      </c>
      <c r="CX29" s="186">
        <v>0</v>
      </c>
      <c r="CY29" s="183">
        <f t="shared" si="6"/>
        <v>0</v>
      </c>
      <c r="CZ29" s="186"/>
      <c r="DA29" s="186">
        <v>0</v>
      </c>
      <c r="DB29" s="186">
        <v>0</v>
      </c>
      <c r="DC29" s="186">
        <v>0</v>
      </c>
      <c r="DD29" s="186">
        <v>0</v>
      </c>
      <c r="DE29" s="186">
        <v>0</v>
      </c>
      <c r="DF29" s="186">
        <v>0</v>
      </c>
      <c r="DG29" s="186">
        <v>0</v>
      </c>
      <c r="DH29" s="186">
        <v>0</v>
      </c>
      <c r="DI29" s="186">
        <v>0</v>
      </c>
      <c r="DJ29" s="186">
        <v>0</v>
      </c>
      <c r="DK29" s="186">
        <v>0</v>
      </c>
      <c r="DL29" s="183">
        <f t="shared" si="7"/>
        <v>0</v>
      </c>
      <c r="DM29" s="186"/>
      <c r="DN29" s="186">
        <v>0</v>
      </c>
      <c r="DO29" s="186">
        <v>0</v>
      </c>
      <c r="DP29" s="186">
        <v>0</v>
      </c>
      <c r="DQ29" s="186">
        <v>0</v>
      </c>
      <c r="DR29" s="186">
        <v>0</v>
      </c>
      <c r="DS29" s="186">
        <v>0</v>
      </c>
      <c r="DT29" s="186">
        <v>0</v>
      </c>
      <c r="DU29" s="186">
        <v>0</v>
      </c>
      <c r="DV29" s="186">
        <v>0</v>
      </c>
      <c r="DW29" s="186">
        <v>0</v>
      </c>
      <c r="DX29" s="186">
        <v>0</v>
      </c>
      <c r="DY29" s="183">
        <f t="shared" si="8"/>
        <v>0</v>
      </c>
      <c r="DZ29" s="182"/>
      <c r="EA29" s="187">
        <f t="shared" si="9"/>
        <v>137348</v>
      </c>
      <c r="EB29" s="187">
        <f t="shared" si="9"/>
        <v>191121</v>
      </c>
      <c r="EC29" s="187">
        <f t="shared" si="9"/>
        <v>180263</v>
      </c>
      <c r="ED29" s="182"/>
      <c r="EE29" s="187" t="str">
        <f t="shared" si="10"/>
        <v/>
      </c>
      <c r="EF29" s="184" t="str">
        <f t="shared" si="11"/>
        <v/>
      </c>
      <c r="EG29" s="184" t="str">
        <f t="shared" si="12"/>
        <v/>
      </c>
      <c r="EH29" s="182"/>
      <c r="EI29" s="186">
        <v>4229505</v>
      </c>
      <c r="EJ29" s="186">
        <v>4229505</v>
      </c>
      <c r="EK29" s="186">
        <v>0</v>
      </c>
      <c r="EL29" s="186">
        <v>0</v>
      </c>
      <c r="EM29" s="186">
        <v>0</v>
      </c>
      <c r="EN29" s="183">
        <f t="shared" si="13"/>
        <v>4229505</v>
      </c>
      <c r="EO29" s="186">
        <v>3470216</v>
      </c>
      <c r="EP29" s="186">
        <v>3470216</v>
      </c>
      <c r="EQ29" s="186">
        <v>0</v>
      </c>
      <c r="ER29" s="186">
        <v>0</v>
      </c>
      <c r="ES29" s="186">
        <v>0</v>
      </c>
      <c r="ET29" s="183">
        <f t="shared" si="14"/>
        <v>3470216</v>
      </c>
      <c r="EU29" s="186">
        <v>3151967</v>
      </c>
      <c r="EV29" s="186">
        <v>3151967</v>
      </c>
      <c r="EW29" s="186">
        <v>0</v>
      </c>
      <c r="EX29" s="186">
        <v>0</v>
      </c>
      <c r="EY29" s="186">
        <v>0</v>
      </c>
      <c r="EZ29" s="183">
        <f t="shared" si="15"/>
        <v>3151967</v>
      </c>
    </row>
    <row r="30" spans="1:156" x14ac:dyDescent="0.2">
      <c r="A30" s="182" t="s">
        <v>402</v>
      </c>
      <c r="B30" s="185">
        <v>4056975</v>
      </c>
      <c r="C30" s="182" t="s">
        <v>206</v>
      </c>
      <c r="D30" s="186">
        <v>1250070</v>
      </c>
      <c r="E30" s="186">
        <v>0</v>
      </c>
      <c r="F30" s="186">
        <v>0</v>
      </c>
      <c r="G30" s="186">
        <v>1257192</v>
      </c>
      <c r="H30" s="186">
        <v>0</v>
      </c>
      <c r="I30" s="186">
        <v>0</v>
      </c>
      <c r="J30" s="186">
        <v>1199607</v>
      </c>
      <c r="K30" s="186">
        <v>0</v>
      </c>
      <c r="L30" s="186">
        <v>0</v>
      </c>
      <c r="M30" s="186"/>
      <c r="N30" s="186">
        <v>857316</v>
      </c>
      <c r="O30" s="186">
        <v>85867</v>
      </c>
      <c r="P30" s="186">
        <v>117199</v>
      </c>
      <c r="Q30" s="186">
        <v>0</v>
      </c>
      <c r="R30" s="186">
        <v>5813</v>
      </c>
      <c r="S30" s="186">
        <v>0</v>
      </c>
      <c r="T30" s="186">
        <v>0</v>
      </c>
      <c r="U30" s="186">
        <v>0</v>
      </c>
      <c r="V30" s="186">
        <v>24879</v>
      </c>
      <c r="W30" s="186">
        <v>0</v>
      </c>
      <c r="X30" s="186">
        <v>4383</v>
      </c>
      <c r="Y30" s="183">
        <f t="shared" si="0"/>
        <v>154613</v>
      </c>
      <c r="Z30" s="186"/>
      <c r="AA30" s="186">
        <v>900961</v>
      </c>
      <c r="AB30" s="186">
        <v>73018</v>
      </c>
      <c r="AC30" s="186">
        <v>92962</v>
      </c>
      <c r="AD30" s="186">
        <v>0</v>
      </c>
      <c r="AE30" s="186">
        <v>1208</v>
      </c>
      <c r="AF30" s="186">
        <v>0</v>
      </c>
      <c r="AG30" s="186">
        <v>0</v>
      </c>
      <c r="AH30" s="186">
        <v>0</v>
      </c>
      <c r="AI30" s="186">
        <v>34276</v>
      </c>
      <c r="AJ30" s="186">
        <v>0</v>
      </c>
      <c r="AK30" s="186">
        <v>5038</v>
      </c>
      <c r="AL30" s="183">
        <f t="shared" si="1"/>
        <v>149729</v>
      </c>
      <c r="AM30" s="186"/>
      <c r="AN30" s="186">
        <v>821508</v>
      </c>
      <c r="AO30" s="186">
        <v>71244</v>
      </c>
      <c r="AP30" s="186">
        <v>88285</v>
      </c>
      <c r="AQ30" s="186">
        <v>0</v>
      </c>
      <c r="AR30" s="186">
        <v>174</v>
      </c>
      <c r="AS30" s="186">
        <v>0</v>
      </c>
      <c r="AT30" s="186">
        <v>0</v>
      </c>
      <c r="AU30" s="186">
        <v>0</v>
      </c>
      <c r="AV30" s="186">
        <v>50649</v>
      </c>
      <c r="AW30" s="186">
        <v>0</v>
      </c>
      <c r="AX30" s="186">
        <v>6304</v>
      </c>
      <c r="AY30" s="183">
        <f t="shared" si="2"/>
        <v>161443</v>
      </c>
      <c r="AZ30" s="186"/>
      <c r="BA30" s="186">
        <v>0</v>
      </c>
      <c r="BB30" s="186">
        <v>0</v>
      </c>
      <c r="BC30" s="186">
        <v>0</v>
      </c>
      <c r="BD30" s="186">
        <v>0</v>
      </c>
      <c r="BE30" s="186">
        <v>0</v>
      </c>
      <c r="BF30" s="186">
        <v>0</v>
      </c>
      <c r="BG30" s="186">
        <v>0</v>
      </c>
      <c r="BH30" s="186">
        <v>0</v>
      </c>
      <c r="BI30" s="186">
        <v>0</v>
      </c>
      <c r="BJ30" s="186">
        <v>0</v>
      </c>
      <c r="BK30" s="186">
        <v>0</v>
      </c>
      <c r="BL30" s="183">
        <f t="shared" si="3"/>
        <v>0</v>
      </c>
      <c r="BM30" s="186"/>
      <c r="BN30" s="186">
        <v>0</v>
      </c>
      <c r="BO30" s="186">
        <v>0</v>
      </c>
      <c r="BP30" s="186">
        <v>0</v>
      </c>
      <c r="BQ30" s="186">
        <v>0</v>
      </c>
      <c r="BR30" s="186">
        <v>0</v>
      </c>
      <c r="BS30" s="186">
        <v>0</v>
      </c>
      <c r="BT30" s="186">
        <v>0</v>
      </c>
      <c r="BU30" s="186">
        <v>0</v>
      </c>
      <c r="BV30" s="186">
        <v>0</v>
      </c>
      <c r="BW30" s="186">
        <v>0</v>
      </c>
      <c r="BX30" s="186">
        <v>0</v>
      </c>
      <c r="BY30" s="183">
        <f t="shared" si="4"/>
        <v>0</v>
      </c>
      <c r="BZ30" s="186"/>
      <c r="CA30" s="186">
        <v>0</v>
      </c>
      <c r="CB30" s="186">
        <v>0</v>
      </c>
      <c r="CC30" s="186">
        <v>0</v>
      </c>
      <c r="CD30" s="186">
        <v>0</v>
      </c>
      <c r="CE30" s="186">
        <v>0</v>
      </c>
      <c r="CF30" s="186">
        <v>0</v>
      </c>
      <c r="CG30" s="186">
        <v>0</v>
      </c>
      <c r="CH30" s="186">
        <v>0</v>
      </c>
      <c r="CI30" s="186">
        <v>0</v>
      </c>
      <c r="CJ30" s="186">
        <v>0</v>
      </c>
      <c r="CK30" s="186">
        <v>0</v>
      </c>
      <c r="CL30" s="183">
        <f t="shared" si="5"/>
        <v>0</v>
      </c>
      <c r="CM30" s="186"/>
      <c r="CN30" s="186">
        <v>0</v>
      </c>
      <c r="CO30" s="186">
        <v>0</v>
      </c>
      <c r="CP30" s="186">
        <v>0</v>
      </c>
      <c r="CQ30" s="186">
        <v>0</v>
      </c>
      <c r="CR30" s="186">
        <v>0</v>
      </c>
      <c r="CS30" s="186">
        <v>0</v>
      </c>
      <c r="CT30" s="186">
        <v>0</v>
      </c>
      <c r="CU30" s="186">
        <v>0</v>
      </c>
      <c r="CV30" s="186">
        <v>0</v>
      </c>
      <c r="CW30" s="186">
        <v>0</v>
      </c>
      <c r="CX30" s="186">
        <v>0</v>
      </c>
      <c r="CY30" s="183">
        <f t="shared" si="6"/>
        <v>0</v>
      </c>
      <c r="CZ30" s="186"/>
      <c r="DA30" s="186">
        <v>0</v>
      </c>
      <c r="DB30" s="186">
        <v>0</v>
      </c>
      <c r="DC30" s="186">
        <v>0</v>
      </c>
      <c r="DD30" s="186">
        <v>0</v>
      </c>
      <c r="DE30" s="186">
        <v>0</v>
      </c>
      <c r="DF30" s="186">
        <v>0</v>
      </c>
      <c r="DG30" s="186">
        <v>0</v>
      </c>
      <c r="DH30" s="186">
        <v>0</v>
      </c>
      <c r="DI30" s="186">
        <v>0</v>
      </c>
      <c r="DJ30" s="186">
        <v>0</v>
      </c>
      <c r="DK30" s="186">
        <v>0</v>
      </c>
      <c r="DL30" s="183">
        <f t="shared" si="7"/>
        <v>0</v>
      </c>
      <c r="DM30" s="186"/>
      <c r="DN30" s="186">
        <v>0</v>
      </c>
      <c r="DO30" s="186">
        <v>0</v>
      </c>
      <c r="DP30" s="186">
        <v>0</v>
      </c>
      <c r="DQ30" s="186">
        <v>0</v>
      </c>
      <c r="DR30" s="186">
        <v>0</v>
      </c>
      <c r="DS30" s="186">
        <v>0</v>
      </c>
      <c r="DT30" s="186">
        <v>0</v>
      </c>
      <c r="DU30" s="186">
        <v>0</v>
      </c>
      <c r="DV30" s="186">
        <v>0</v>
      </c>
      <c r="DW30" s="186">
        <v>0</v>
      </c>
      <c r="DX30" s="186">
        <v>0</v>
      </c>
      <c r="DY30" s="183">
        <f t="shared" si="8"/>
        <v>0</v>
      </c>
      <c r="DZ30" s="182"/>
      <c r="EA30" s="187">
        <f t="shared" si="9"/>
        <v>154613</v>
      </c>
      <c r="EB30" s="187">
        <f t="shared" si="9"/>
        <v>149729</v>
      </c>
      <c r="EC30" s="187">
        <f t="shared" si="9"/>
        <v>161443</v>
      </c>
      <c r="ED30" s="182"/>
      <c r="EE30" s="187" t="str">
        <f t="shared" si="10"/>
        <v/>
      </c>
      <c r="EF30" s="184" t="str">
        <f t="shared" si="11"/>
        <v/>
      </c>
      <c r="EG30" s="184" t="str">
        <f t="shared" si="12"/>
        <v/>
      </c>
      <c r="EH30" s="182"/>
      <c r="EI30" s="186">
        <v>3511831</v>
      </c>
      <c r="EJ30" s="186">
        <v>3511831</v>
      </c>
      <c r="EK30" s="186">
        <v>0</v>
      </c>
      <c r="EL30" s="186">
        <v>0</v>
      </c>
      <c r="EM30" s="186">
        <v>0</v>
      </c>
      <c r="EN30" s="183">
        <f t="shared" si="13"/>
        <v>3511831</v>
      </c>
      <c r="EO30" s="186">
        <v>3273423</v>
      </c>
      <c r="EP30" s="186">
        <v>3273423</v>
      </c>
      <c r="EQ30" s="186">
        <v>0</v>
      </c>
      <c r="ER30" s="186">
        <v>0</v>
      </c>
      <c r="ES30" s="186">
        <v>0</v>
      </c>
      <c r="ET30" s="183">
        <f t="shared" si="14"/>
        <v>3273423</v>
      </c>
      <c r="EU30" s="186">
        <v>2989902</v>
      </c>
      <c r="EV30" s="186">
        <v>2989902</v>
      </c>
      <c r="EW30" s="186">
        <v>0</v>
      </c>
      <c r="EX30" s="186">
        <v>0</v>
      </c>
      <c r="EY30" s="186">
        <v>0</v>
      </c>
      <c r="EZ30" s="183">
        <f t="shared" si="15"/>
        <v>2989902</v>
      </c>
    </row>
    <row r="31" spans="1:156" x14ac:dyDescent="0.2">
      <c r="A31" s="182" t="s">
        <v>403</v>
      </c>
      <c r="B31" s="185">
        <v>4007784</v>
      </c>
      <c r="C31" s="182" t="s">
        <v>206</v>
      </c>
      <c r="D31" s="186">
        <v>2373317</v>
      </c>
      <c r="E31" s="186">
        <v>729257</v>
      </c>
      <c r="F31" s="186">
        <v>0</v>
      </c>
      <c r="G31" s="186">
        <v>2424266</v>
      </c>
      <c r="H31" s="186">
        <v>742800</v>
      </c>
      <c r="I31" s="186">
        <v>0</v>
      </c>
      <c r="J31" s="186">
        <v>2486100</v>
      </c>
      <c r="K31" s="186">
        <v>685307</v>
      </c>
      <c r="L31" s="186">
        <v>0</v>
      </c>
      <c r="M31" s="186"/>
      <c r="N31" s="186">
        <v>1254068</v>
      </c>
      <c r="O31" s="186">
        <v>127456</v>
      </c>
      <c r="P31" s="186">
        <v>227206</v>
      </c>
      <c r="Q31" s="186">
        <v>0</v>
      </c>
      <c r="R31" s="186">
        <v>39451</v>
      </c>
      <c r="S31" s="186">
        <v>0</v>
      </c>
      <c r="T31" s="186">
        <v>0</v>
      </c>
      <c r="U31" s="186">
        <v>0</v>
      </c>
      <c r="V31" s="186">
        <v>141444</v>
      </c>
      <c r="W31" s="186">
        <v>21097</v>
      </c>
      <c r="X31" s="186">
        <v>200013</v>
      </c>
      <c r="Y31" s="183">
        <f t="shared" si="0"/>
        <v>404776</v>
      </c>
      <c r="Z31" s="186"/>
      <c r="AA31" s="186">
        <v>1333222</v>
      </c>
      <c r="AB31" s="186">
        <v>127254</v>
      </c>
      <c r="AC31" s="186">
        <v>217151</v>
      </c>
      <c r="AD31" s="186">
        <v>0</v>
      </c>
      <c r="AE31" s="186">
        <v>35705</v>
      </c>
      <c r="AF31" s="186">
        <v>0</v>
      </c>
      <c r="AG31" s="186">
        <v>0</v>
      </c>
      <c r="AH31" s="186">
        <v>0</v>
      </c>
      <c r="AI31" s="186">
        <v>143148</v>
      </c>
      <c r="AJ31" s="186">
        <v>19707</v>
      </c>
      <c r="AK31" s="186">
        <v>198070</v>
      </c>
      <c r="AL31" s="183">
        <f t="shared" si="1"/>
        <v>389423</v>
      </c>
      <c r="AM31" s="186"/>
      <c r="AN31" s="186">
        <v>1313944</v>
      </c>
      <c r="AO31" s="186">
        <v>133355</v>
      </c>
      <c r="AP31" s="186">
        <v>203537</v>
      </c>
      <c r="AQ31" s="186">
        <v>0</v>
      </c>
      <c r="AR31" s="186">
        <v>33718</v>
      </c>
      <c r="AS31" s="186">
        <v>0</v>
      </c>
      <c r="AT31" s="186">
        <v>0</v>
      </c>
      <c r="AU31" s="186">
        <v>290</v>
      </c>
      <c r="AV31" s="186">
        <v>149142</v>
      </c>
      <c r="AW31" s="186">
        <v>19540</v>
      </c>
      <c r="AX31" s="186">
        <v>189636</v>
      </c>
      <c r="AY31" s="183">
        <f t="shared" si="2"/>
        <v>482018</v>
      </c>
      <c r="AZ31" s="186"/>
      <c r="BA31" s="186">
        <v>360042</v>
      </c>
      <c r="BB31" s="186">
        <v>61002</v>
      </c>
      <c r="BC31" s="186">
        <v>77314</v>
      </c>
      <c r="BD31" s="186">
        <v>0</v>
      </c>
      <c r="BE31" s="186">
        <v>14662</v>
      </c>
      <c r="BF31" s="186">
        <v>0</v>
      </c>
      <c r="BG31" s="186">
        <v>0</v>
      </c>
      <c r="BH31" s="186">
        <v>0</v>
      </c>
      <c r="BI31" s="186">
        <v>33421</v>
      </c>
      <c r="BJ31" s="186">
        <v>13651</v>
      </c>
      <c r="BK31" s="186">
        <v>59756</v>
      </c>
      <c r="BL31" s="183">
        <f t="shared" si="3"/>
        <v>136711</v>
      </c>
      <c r="BM31" s="186"/>
      <c r="BN31" s="186">
        <v>423325</v>
      </c>
      <c r="BO31" s="186">
        <v>62693</v>
      </c>
      <c r="BP31" s="186">
        <v>69548</v>
      </c>
      <c r="BQ31" s="186">
        <v>0</v>
      </c>
      <c r="BR31" s="186">
        <v>12858</v>
      </c>
      <c r="BS31" s="186">
        <v>0</v>
      </c>
      <c r="BT31" s="186">
        <v>0</v>
      </c>
      <c r="BU31" s="186">
        <v>0</v>
      </c>
      <c r="BV31" s="186">
        <v>29529</v>
      </c>
      <c r="BW31" s="186">
        <v>5258</v>
      </c>
      <c r="BX31" s="186">
        <v>55594</v>
      </c>
      <c r="BY31" s="183">
        <f t="shared" si="4"/>
        <v>94511</v>
      </c>
      <c r="BZ31" s="186"/>
      <c r="CA31" s="186">
        <v>340577</v>
      </c>
      <c r="CB31" s="186">
        <v>55237</v>
      </c>
      <c r="CC31" s="186">
        <v>62800</v>
      </c>
      <c r="CD31" s="186">
        <v>0</v>
      </c>
      <c r="CE31" s="186">
        <v>12000</v>
      </c>
      <c r="CF31" s="186">
        <v>0</v>
      </c>
      <c r="CG31" s="186">
        <v>0</v>
      </c>
      <c r="CH31" s="186">
        <v>0</v>
      </c>
      <c r="CI31" s="186">
        <v>30184</v>
      </c>
      <c r="CJ31" s="186">
        <v>10000</v>
      </c>
      <c r="CK31" s="186">
        <v>50551</v>
      </c>
      <c r="CL31" s="183">
        <f t="shared" si="5"/>
        <v>143958</v>
      </c>
      <c r="CM31" s="186"/>
      <c r="CN31" s="186">
        <v>0</v>
      </c>
      <c r="CO31" s="186">
        <v>0</v>
      </c>
      <c r="CP31" s="186">
        <v>0</v>
      </c>
      <c r="CQ31" s="186">
        <v>0</v>
      </c>
      <c r="CR31" s="186">
        <v>0</v>
      </c>
      <c r="CS31" s="186">
        <v>0</v>
      </c>
      <c r="CT31" s="186">
        <v>0</v>
      </c>
      <c r="CU31" s="186">
        <v>0</v>
      </c>
      <c r="CV31" s="186">
        <v>0</v>
      </c>
      <c r="CW31" s="186">
        <v>0</v>
      </c>
      <c r="CX31" s="186">
        <v>0</v>
      </c>
      <c r="CY31" s="183">
        <f t="shared" si="6"/>
        <v>0</v>
      </c>
      <c r="CZ31" s="186"/>
      <c r="DA31" s="186">
        <v>0</v>
      </c>
      <c r="DB31" s="186">
        <v>0</v>
      </c>
      <c r="DC31" s="186">
        <v>0</v>
      </c>
      <c r="DD31" s="186">
        <v>0</v>
      </c>
      <c r="DE31" s="186">
        <v>0</v>
      </c>
      <c r="DF31" s="186">
        <v>0</v>
      </c>
      <c r="DG31" s="186">
        <v>0</v>
      </c>
      <c r="DH31" s="186">
        <v>0</v>
      </c>
      <c r="DI31" s="186">
        <v>0</v>
      </c>
      <c r="DJ31" s="186">
        <v>0</v>
      </c>
      <c r="DK31" s="186">
        <v>0</v>
      </c>
      <c r="DL31" s="183">
        <f t="shared" si="7"/>
        <v>0</v>
      </c>
      <c r="DM31" s="186"/>
      <c r="DN31" s="186">
        <v>0</v>
      </c>
      <c r="DO31" s="186">
        <v>0</v>
      </c>
      <c r="DP31" s="186">
        <v>0</v>
      </c>
      <c r="DQ31" s="186">
        <v>0</v>
      </c>
      <c r="DR31" s="186">
        <v>0</v>
      </c>
      <c r="DS31" s="186">
        <v>0</v>
      </c>
      <c r="DT31" s="186">
        <v>0</v>
      </c>
      <c r="DU31" s="186">
        <v>0</v>
      </c>
      <c r="DV31" s="186">
        <v>0</v>
      </c>
      <c r="DW31" s="186">
        <v>0</v>
      </c>
      <c r="DX31" s="186">
        <v>0</v>
      </c>
      <c r="DY31" s="183">
        <f t="shared" si="8"/>
        <v>0</v>
      </c>
      <c r="DZ31" s="182"/>
      <c r="EA31" s="187">
        <f t="shared" ref="EA31:EC50" si="16">SUMIF($D$9:$DY$9,EA$9,$D31:$DY31)</f>
        <v>541487</v>
      </c>
      <c r="EB31" s="187">
        <f t="shared" si="16"/>
        <v>483934</v>
      </c>
      <c r="EC31" s="187">
        <f t="shared" si="16"/>
        <v>625976</v>
      </c>
      <c r="ED31" s="182"/>
      <c r="EE31" s="187" t="str">
        <f t="shared" si="10"/>
        <v/>
      </c>
      <c r="EF31" s="184" t="str">
        <f t="shared" si="11"/>
        <v/>
      </c>
      <c r="EG31" s="184" t="str">
        <f t="shared" si="12"/>
        <v/>
      </c>
      <c r="EH31" s="182"/>
      <c r="EI31" s="186">
        <v>8933611</v>
      </c>
      <c r="EJ31" s="186">
        <v>5716718</v>
      </c>
      <c r="EK31" s="186">
        <v>2460342</v>
      </c>
      <c r="EL31" s="186">
        <v>0</v>
      </c>
      <c r="EM31" s="186">
        <v>756551</v>
      </c>
      <c r="EN31" s="183">
        <f t="shared" si="13"/>
        <v>8177060</v>
      </c>
      <c r="EO31" s="186">
        <v>8137066</v>
      </c>
      <c r="EP31" s="186">
        <v>5351186</v>
      </c>
      <c r="EQ31" s="186">
        <v>2133827</v>
      </c>
      <c r="ER31" s="186">
        <v>0</v>
      </c>
      <c r="ES31" s="186">
        <v>652054</v>
      </c>
      <c r="ET31" s="183">
        <f t="shared" si="14"/>
        <v>7485013</v>
      </c>
      <c r="EU31" s="186">
        <v>7458712</v>
      </c>
      <c r="EV31" s="186">
        <v>5011897</v>
      </c>
      <c r="EW31" s="186">
        <v>1853557</v>
      </c>
      <c r="EX31" s="186">
        <v>0</v>
      </c>
      <c r="EY31" s="186">
        <v>593257</v>
      </c>
      <c r="EZ31" s="183">
        <f t="shared" si="15"/>
        <v>6865454</v>
      </c>
    </row>
    <row r="32" spans="1:156" x14ac:dyDescent="0.2">
      <c r="A32" s="182" t="s">
        <v>404</v>
      </c>
      <c r="B32" s="185">
        <v>4000672</v>
      </c>
      <c r="C32" s="182" t="s">
        <v>206</v>
      </c>
      <c r="D32" s="186">
        <v>5764554</v>
      </c>
      <c r="E32" s="186">
        <v>0</v>
      </c>
      <c r="F32" s="186">
        <v>0</v>
      </c>
      <c r="G32" s="186">
        <v>5863646</v>
      </c>
      <c r="H32" s="186">
        <v>0</v>
      </c>
      <c r="I32" s="186">
        <v>0</v>
      </c>
      <c r="J32" s="186">
        <v>5539460</v>
      </c>
      <c r="K32" s="186">
        <v>0</v>
      </c>
      <c r="L32" s="186">
        <v>0</v>
      </c>
      <c r="M32" s="186"/>
      <c r="N32" s="186">
        <v>2857351</v>
      </c>
      <c r="O32" s="186">
        <v>385202</v>
      </c>
      <c r="P32" s="186">
        <v>798551</v>
      </c>
      <c r="Q32" s="186">
        <v>1553</v>
      </c>
      <c r="R32" s="186">
        <v>84444</v>
      </c>
      <c r="S32" s="186">
        <v>0</v>
      </c>
      <c r="T32" s="186">
        <v>0</v>
      </c>
      <c r="U32" s="186">
        <v>0</v>
      </c>
      <c r="V32" s="186">
        <v>146934</v>
      </c>
      <c r="W32" s="186">
        <v>15869</v>
      </c>
      <c r="X32" s="186">
        <v>299935</v>
      </c>
      <c r="Y32" s="183">
        <f t="shared" si="0"/>
        <v>1206453</v>
      </c>
      <c r="Z32" s="186"/>
      <c r="AA32" s="186">
        <v>3142433</v>
      </c>
      <c r="AB32" s="186">
        <v>378189</v>
      </c>
      <c r="AC32" s="186">
        <v>736258</v>
      </c>
      <c r="AD32" s="186">
        <v>1483</v>
      </c>
      <c r="AE32" s="186">
        <v>80427</v>
      </c>
      <c r="AF32" s="186">
        <v>0</v>
      </c>
      <c r="AG32" s="186">
        <v>0</v>
      </c>
      <c r="AH32" s="186">
        <v>0</v>
      </c>
      <c r="AI32" s="186">
        <v>120428</v>
      </c>
      <c r="AJ32" s="186">
        <v>61036</v>
      </c>
      <c r="AK32" s="186">
        <v>309350</v>
      </c>
      <c r="AL32" s="183">
        <f t="shared" si="1"/>
        <v>1156114</v>
      </c>
      <c r="AM32" s="186"/>
      <c r="AN32" s="186">
        <v>2702001</v>
      </c>
      <c r="AO32" s="186">
        <v>380521</v>
      </c>
      <c r="AP32" s="186">
        <v>700017</v>
      </c>
      <c r="AQ32" s="186">
        <v>1540</v>
      </c>
      <c r="AR32" s="186">
        <v>74016</v>
      </c>
      <c r="AS32" s="186">
        <v>0</v>
      </c>
      <c r="AT32" s="186">
        <v>0</v>
      </c>
      <c r="AU32" s="186">
        <v>0</v>
      </c>
      <c r="AV32" s="186">
        <v>73378</v>
      </c>
      <c r="AW32" s="186">
        <v>38666</v>
      </c>
      <c r="AX32" s="186">
        <v>294918</v>
      </c>
      <c r="AY32" s="183">
        <f t="shared" si="2"/>
        <v>1351735</v>
      </c>
      <c r="AZ32" s="186"/>
      <c r="BA32" s="186">
        <v>0</v>
      </c>
      <c r="BB32" s="186">
        <v>0</v>
      </c>
      <c r="BC32" s="186">
        <v>0</v>
      </c>
      <c r="BD32" s="186">
        <v>0</v>
      </c>
      <c r="BE32" s="186">
        <v>0</v>
      </c>
      <c r="BF32" s="186">
        <v>0</v>
      </c>
      <c r="BG32" s="186">
        <v>0</v>
      </c>
      <c r="BH32" s="186">
        <v>0</v>
      </c>
      <c r="BI32" s="186">
        <v>0</v>
      </c>
      <c r="BJ32" s="186">
        <v>0</v>
      </c>
      <c r="BK32" s="186">
        <v>0</v>
      </c>
      <c r="BL32" s="183">
        <f t="shared" si="3"/>
        <v>0</v>
      </c>
      <c r="BM32" s="186"/>
      <c r="BN32" s="186">
        <v>0</v>
      </c>
      <c r="BO32" s="186">
        <v>0</v>
      </c>
      <c r="BP32" s="186">
        <v>0</v>
      </c>
      <c r="BQ32" s="186">
        <v>0</v>
      </c>
      <c r="BR32" s="186">
        <v>0</v>
      </c>
      <c r="BS32" s="186">
        <v>0</v>
      </c>
      <c r="BT32" s="186">
        <v>0</v>
      </c>
      <c r="BU32" s="186">
        <v>0</v>
      </c>
      <c r="BV32" s="186">
        <v>0</v>
      </c>
      <c r="BW32" s="186">
        <v>0</v>
      </c>
      <c r="BX32" s="186">
        <v>0</v>
      </c>
      <c r="BY32" s="183">
        <f t="shared" si="4"/>
        <v>0</v>
      </c>
      <c r="BZ32" s="186"/>
      <c r="CA32" s="186">
        <v>0</v>
      </c>
      <c r="CB32" s="186">
        <v>0</v>
      </c>
      <c r="CC32" s="186">
        <v>0</v>
      </c>
      <c r="CD32" s="186">
        <v>0</v>
      </c>
      <c r="CE32" s="186">
        <v>0</v>
      </c>
      <c r="CF32" s="186">
        <v>0</v>
      </c>
      <c r="CG32" s="186">
        <v>0</v>
      </c>
      <c r="CH32" s="186">
        <v>0</v>
      </c>
      <c r="CI32" s="186">
        <v>0</v>
      </c>
      <c r="CJ32" s="186">
        <v>0</v>
      </c>
      <c r="CK32" s="186">
        <v>0</v>
      </c>
      <c r="CL32" s="183">
        <f t="shared" si="5"/>
        <v>0</v>
      </c>
      <c r="CM32" s="186"/>
      <c r="CN32" s="186">
        <v>0</v>
      </c>
      <c r="CO32" s="186">
        <v>0</v>
      </c>
      <c r="CP32" s="186">
        <v>0</v>
      </c>
      <c r="CQ32" s="186">
        <v>0</v>
      </c>
      <c r="CR32" s="186">
        <v>0</v>
      </c>
      <c r="CS32" s="186">
        <v>0</v>
      </c>
      <c r="CT32" s="186">
        <v>0</v>
      </c>
      <c r="CU32" s="186">
        <v>0</v>
      </c>
      <c r="CV32" s="186">
        <v>0</v>
      </c>
      <c r="CW32" s="186">
        <v>0</v>
      </c>
      <c r="CX32" s="186">
        <v>0</v>
      </c>
      <c r="CY32" s="183">
        <f t="shared" si="6"/>
        <v>0</v>
      </c>
      <c r="CZ32" s="186"/>
      <c r="DA32" s="186">
        <v>0</v>
      </c>
      <c r="DB32" s="186">
        <v>0</v>
      </c>
      <c r="DC32" s="186">
        <v>0</v>
      </c>
      <c r="DD32" s="186">
        <v>0</v>
      </c>
      <c r="DE32" s="186">
        <v>0</v>
      </c>
      <c r="DF32" s="186">
        <v>0</v>
      </c>
      <c r="DG32" s="186">
        <v>0</v>
      </c>
      <c r="DH32" s="186">
        <v>0</v>
      </c>
      <c r="DI32" s="186">
        <v>0</v>
      </c>
      <c r="DJ32" s="186">
        <v>0</v>
      </c>
      <c r="DK32" s="186">
        <v>0</v>
      </c>
      <c r="DL32" s="183">
        <f t="shared" si="7"/>
        <v>0</v>
      </c>
      <c r="DM32" s="186"/>
      <c r="DN32" s="186">
        <v>0</v>
      </c>
      <c r="DO32" s="186">
        <v>0</v>
      </c>
      <c r="DP32" s="186">
        <v>0</v>
      </c>
      <c r="DQ32" s="186">
        <v>0</v>
      </c>
      <c r="DR32" s="186">
        <v>0</v>
      </c>
      <c r="DS32" s="186">
        <v>0</v>
      </c>
      <c r="DT32" s="186">
        <v>0</v>
      </c>
      <c r="DU32" s="186">
        <v>0</v>
      </c>
      <c r="DV32" s="186">
        <v>0</v>
      </c>
      <c r="DW32" s="186">
        <v>0</v>
      </c>
      <c r="DX32" s="186">
        <v>0</v>
      </c>
      <c r="DY32" s="183">
        <f t="shared" si="8"/>
        <v>0</v>
      </c>
      <c r="DZ32" s="182"/>
      <c r="EA32" s="187">
        <f t="shared" si="16"/>
        <v>1206453</v>
      </c>
      <c r="EB32" s="187">
        <f t="shared" si="16"/>
        <v>1156114</v>
      </c>
      <c r="EC32" s="187">
        <f t="shared" si="16"/>
        <v>1351735</v>
      </c>
      <c r="ED32" s="182"/>
      <c r="EE32" s="187" t="str">
        <f t="shared" si="10"/>
        <v/>
      </c>
      <c r="EF32" s="184" t="str">
        <f t="shared" si="11"/>
        <v/>
      </c>
      <c r="EG32" s="184" t="str">
        <f t="shared" si="12"/>
        <v/>
      </c>
      <c r="EH32" s="182"/>
      <c r="EI32" s="186">
        <v>24235133</v>
      </c>
      <c r="EJ32" s="186">
        <v>24235133</v>
      </c>
      <c r="EK32" s="186">
        <v>0</v>
      </c>
      <c r="EL32" s="186">
        <v>0</v>
      </c>
      <c r="EM32" s="186">
        <v>0</v>
      </c>
      <c r="EN32" s="183">
        <f t="shared" si="13"/>
        <v>24235133</v>
      </c>
      <c r="EO32" s="186">
        <v>23243100</v>
      </c>
      <c r="EP32" s="186">
        <v>23243100</v>
      </c>
      <c r="EQ32" s="186">
        <v>0</v>
      </c>
      <c r="ER32" s="186">
        <v>0</v>
      </c>
      <c r="ES32" s="186">
        <v>0</v>
      </c>
      <c r="ET32" s="183">
        <f t="shared" si="14"/>
        <v>23243100</v>
      </c>
      <c r="EU32" s="186">
        <v>21933121</v>
      </c>
      <c r="EV32" s="186">
        <v>21933121</v>
      </c>
      <c r="EW32" s="186">
        <v>0</v>
      </c>
      <c r="EX32" s="186">
        <v>0</v>
      </c>
      <c r="EY32" s="186">
        <v>0</v>
      </c>
      <c r="EZ32" s="183">
        <f t="shared" si="15"/>
        <v>21933121</v>
      </c>
    </row>
    <row r="33" spans="1:156" x14ac:dyDescent="0.2">
      <c r="A33" s="182" t="s">
        <v>405</v>
      </c>
      <c r="B33" s="185">
        <v>4057082</v>
      </c>
      <c r="C33" s="182" t="s">
        <v>206</v>
      </c>
      <c r="D33" s="186">
        <v>1151304</v>
      </c>
      <c r="E33" s="186">
        <v>167751</v>
      </c>
      <c r="F33" s="186">
        <v>0</v>
      </c>
      <c r="G33" s="186">
        <v>1165516</v>
      </c>
      <c r="H33" s="186">
        <v>181209</v>
      </c>
      <c r="I33" s="186">
        <v>0</v>
      </c>
      <c r="J33" s="186">
        <v>1139137</v>
      </c>
      <c r="K33" s="186">
        <v>160558</v>
      </c>
      <c r="L33" s="186">
        <v>0</v>
      </c>
      <c r="M33" s="186"/>
      <c r="N33" s="186">
        <v>675518</v>
      </c>
      <c r="O33" s="186">
        <v>65081</v>
      </c>
      <c r="P33" s="186">
        <v>127028</v>
      </c>
      <c r="Q33" s="186">
        <v>0</v>
      </c>
      <c r="R33" s="186">
        <v>5834</v>
      </c>
      <c r="S33" s="186">
        <v>1854</v>
      </c>
      <c r="T33" s="186">
        <v>0</v>
      </c>
      <c r="U33" s="186">
        <v>0</v>
      </c>
      <c r="V33" s="186">
        <v>23230</v>
      </c>
      <c r="W33" s="186">
        <v>0</v>
      </c>
      <c r="X33" s="186">
        <v>46562</v>
      </c>
      <c r="Y33" s="183">
        <f t="shared" si="0"/>
        <v>206197</v>
      </c>
      <c r="Z33" s="186"/>
      <c r="AA33" s="186">
        <v>692993</v>
      </c>
      <c r="AB33" s="186">
        <v>61944</v>
      </c>
      <c r="AC33" s="186">
        <v>119170</v>
      </c>
      <c r="AD33" s="186">
        <v>0</v>
      </c>
      <c r="AE33" s="186">
        <v>512</v>
      </c>
      <c r="AF33" s="186">
        <v>1854</v>
      </c>
      <c r="AG33" s="186">
        <v>0</v>
      </c>
      <c r="AH33" s="186">
        <v>0</v>
      </c>
      <c r="AI33" s="186">
        <v>61994</v>
      </c>
      <c r="AJ33" s="186">
        <v>0</v>
      </c>
      <c r="AK33" s="186">
        <v>46068</v>
      </c>
      <c r="AL33" s="183">
        <f t="shared" si="1"/>
        <v>180981</v>
      </c>
      <c r="AM33" s="186"/>
      <c r="AN33" s="186">
        <v>675668</v>
      </c>
      <c r="AO33" s="186">
        <v>66750</v>
      </c>
      <c r="AP33" s="186">
        <v>109717</v>
      </c>
      <c r="AQ33" s="186">
        <v>0</v>
      </c>
      <c r="AR33" s="186">
        <v>263</v>
      </c>
      <c r="AS33" s="186">
        <v>1854</v>
      </c>
      <c r="AT33" s="186">
        <v>0</v>
      </c>
      <c r="AU33" s="186">
        <v>0</v>
      </c>
      <c r="AV33" s="186">
        <v>32362</v>
      </c>
      <c r="AW33" s="186">
        <v>0</v>
      </c>
      <c r="AX33" s="186">
        <v>47203</v>
      </c>
      <c r="AY33" s="183">
        <f t="shared" si="2"/>
        <v>205320</v>
      </c>
      <c r="AZ33" s="186"/>
      <c r="BA33" s="186">
        <v>117680</v>
      </c>
      <c r="BB33" s="186">
        <v>6686</v>
      </c>
      <c r="BC33" s="186">
        <v>11409</v>
      </c>
      <c r="BD33" s="186">
        <v>0</v>
      </c>
      <c r="BE33" s="186">
        <v>918</v>
      </c>
      <c r="BF33" s="186">
        <v>0</v>
      </c>
      <c r="BG33" s="186">
        <v>0</v>
      </c>
      <c r="BH33" s="186">
        <v>0</v>
      </c>
      <c r="BI33" s="186">
        <v>1591</v>
      </c>
      <c r="BJ33" s="186">
        <v>0</v>
      </c>
      <c r="BK33" s="186">
        <v>9500</v>
      </c>
      <c r="BL33" s="183">
        <f t="shared" si="3"/>
        <v>19967</v>
      </c>
      <c r="BM33" s="186"/>
      <c r="BN33" s="186">
        <v>130580</v>
      </c>
      <c r="BO33" s="186">
        <v>7506</v>
      </c>
      <c r="BP33" s="186">
        <v>11247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1364</v>
      </c>
      <c r="BW33" s="186">
        <v>0</v>
      </c>
      <c r="BX33" s="186">
        <v>9453</v>
      </c>
      <c r="BY33" s="183">
        <f t="shared" si="4"/>
        <v>21059</v>
      </c>
      <c r="BZ33" s="186"/>
      <c r="CA33" s="186">
        <v>103982</v>
      </c>
      <c r="CB33" s="186">
        <v>4847</v>
      </c>
      <c r="CC33" s="186">
        <v>13529</v>
      </c>
      <c r="CD33" s="186">
        <v>0</v>
      </c>
      <c r="CE33" s="186">
        <v>12</v>
      </c>
      <c r="CF33" s="186">
        <v>0</v>
      </c>
      <c r="CG33" s="186">
        <v>0</v>
      </c>
      <c r="CH33" s="186">
        <v>0</v>
      </c>
      <c r="CI33" s="186">
        <v>1159</v>
      </c>
      <c r="CJ33" s="186">
        <v>0</v>
      </c>
      <c r="CK33" s="186">
        <v>8895</v>
      </c>
      <c r="CL33" s="183">
        <f t="shared" si="5"/>
        <v>28134</v>
      </c>
      <c r="CM33" s="186"/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3">
        <f t="shared" si="6"/>
        <v>0</v>
      </c>
      <c r="CZ33" s="186"/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0</v>
      </c>
      <c r="DL33" s="183">
        <f t="shared" si="7"/>
        <v>0</v>
      </c>
      <c r="DM33" s="186"/>
      <c r="DN33" s="186">
        <v>0</v>
      </c>
      <c r="DO33" s="186">
        <v>0</v>
      </c>
      <c r="DP33" s="186">
        <v>0</v>
      </c>
      <c r="DQ33" s="186">
        <v>0</v>
      </c>
      <c r="DR33" s="186">
        <v>0</v>
      </c>
      <c r="DS33" s="186">
        <v>0</v>
      </c>
      <c r="DT33" s="186">
        <v>0</v>
      </c>
      <c r="DU33" s="186">
        <v>0</v>
      </c>
      <c r="DV33" s="186">
        <v>0</v>
      </c>
      <c r="DW33" s="186">
        <v>0</v>
      </c>
      <c r="DX33" s="186">
        <v>0</v>
      </c>
      <c r="DY33" s="183">
        <f t="shared" si="8"/>
        <v>0</v>
      </c>
      <c r="DZ33" s="182"/>
      <c r="EA33" s="187">
        <f t="shared" si="16"/>
        <v>226164</v>
      </c>
      <c r="EB33" s="187">
        <f t="shared" si="16"/>
        <v>202040</v>
      </c>
      <c r="EC33" s="187">
        <f t="shared" si="16"/>
        <v>233454</v>
      </c>
      <c r="ED33" s="182"/>
      <c r="EE33" s="187" t="str">
        <f t="shared" si="10"/>
        <v/>
      </c>
      <c r="EF33" s="184" t="str">
        <f t="shared" si="11"/>
        <v/>
      </c>
      <c r="EG33" s="184" t="str">
        <f t="shared" si="12"/>
        <v/>
      </c>
      <c r="EH33" s="182"/>
      <c r="EI33" s="186">
        <v>4019412</v>
      </c>
      <c r="EJ33" s="186">
        <v>3474300</v>
      </c>
      <c r="EK33" s="186">
        <v>469922</v>
      </c>
      <c r="EL33" s="186">
        <v>0</v>
      </c>
      <c r="EM33" s="186">
        <v>75190</v>
      </c>
      <c r="EN33" s="183">
        <f t="shared" si="13"/>
        <v>3944222</v>
      </c>
      <c r="EO33" s="186">
        <v>3804917</v>
      </c>
      <c r="EP33" s="186">
        <v>3315344</v>
      </c>
      <c r="EQ33" s="186">
        <v>421088</v>
      </c>
      <c r="ER33" s="186">
        <v>0</v>
      </c>
      <c r="ES33" s="186">
        <v>68485</v>
      </c>
      <c r="ET33" s="183">
        <f t="shared" si="14"/>
        <v>3736432</v>
      </c>
      <c r="EU33" s="186">
        <v>3562223</v>
      </c>
      <c r="EV33" s="186">
        <v>3134176</v>
      </c>
      <c r="EW33" s="186">
        <v>386084</v>
      </c>
      <c r="EX33" s="186">
        <v>0</v>
      </c>
      <c r="EY33" s="186">
        <v>41963</v>
      </c>
      <c r="EZ33" s="183">
        <f t="shared" si="15"/>
        <v>3520260</v>
      </c>
    </row>
    <row r="34" spans="1:156" x14ac:dyDescent="0.2">
      <c r="A34" s="182" t="s">
        <v>406</v>
      </c>
      <c r="B34" s="185">
        <v>4062222</v>
      </c>
      <c r="C34" s="182" t="s">
        <v>206</v>
      </c>
      <c r="D34" s="186">
        <v>2488080</v>
      </c>
      <c r="E34" s="186">
        <v>611444</v>
      </c>
      <c r="F34" s="186">
        <v>0</v>
      </c>
      <c r="G34" s="186">
        <v>2469157</v>
      </c>
      <c r="H34" s="186">
        <v>569775</v>
      </c>
      <c r="I34" s="186">
        <v>0</v>
      </c>
      <c r="J34" s="186">
        <v>2374162</v>
      </c>
      <c r="K34" s="186">
        <v>495269</v>
      </c>
      <c r="L34" s="186">
        <v>0</v>
      </c>
      <c r="M34" s="186"/>
      <c r="N34" s="186">
        <v>1257250</v>
      </c>
      <c r="O34" s="186">
        <v>236300</v>
      </c>
      <c r="P34" s="186">
        <v>202497</v>
      </c>
      <c r="Q34" s="186">
        <v>0</v>
      </c>
      <c r="R34" s="186">
        <v>39718</v>
      </c>
      <c r="S34" s="186">
        <v>0</v>
      </c>
      <c r="T34" s="186">
        <v>0</v>
      </c>
      <c r="U34" s="186">
        <v>0</v>
      </c>
      <c r="V34" s="186">
        <v>17748</v>
      </c>
      <c r="W34" s="186">
        <v>0</v>
      </c>
      <c r="X34" s="186">
        <v>158180</v>
      </c>
      <c r="Y34" s="183">
        <f t="shared" si="0"/>
        <v>576387</v>
      </c>
      <c r="Z34" s="186"/>
      <c r="AA34" s="186">
        <v>1354106</v>
      </c>
      <c r="AB34" s="186">
        <v>262771</v>
      </c>
      <c r="AC34" s="186">
        <v>187352</v>
      </c>
      <c r="AD34" s="186">
        <v>0</v>
      </c>
      <c r="AE34" s="186">
        <v>32641</v>
      </c>
      <c r="AF34" s="186">
        <v>0</v>
      </c>
      <c r="AG34" s="186">
        <v>0</v>
      </c>
      <c r="AH34" s="186">
        <v>0</v>
      </c>
      <c r="AI34" s="186">
        <v>13676</v>
      </c>
      <c r="AJ34" s="186">
        <v>0</v>
      </c>
      <c r="AK34" s="186">
        <v>156233</v>
      </c>
      <c r="AL34" s="183">
        <f t="shared" si="1"/>
        <v>462378</v>
      </c>
      <c r="AM34" s="186"/>
      <c r="AN34" s="186">
        <v>1251503</v>
      </c>
      <c r="AO34" s="186">
        <v>204210</v>
      </c>
      <c r="AP34" s="186">
        <v>176903</v>
      </c>
      <c r="AQ34" s="186">
        <v>0</v>
      </c>
      <c r="AR34" s="186">
        <v>32808</v>
      </c>
      <c r="AS34" s="186">
        <v>0</v>
      </c>
      <c r="AT34" s="186">
        <v>0</v>
      </c>
      <c r="AU34" s="186">
        <v>0</v>
      </c>
      <c r="AV34" s="186">
        <v>12323</v>
      </c>
      <c r="AW34" s="186">
        <v>0</v>
      </c>
      <c r="AX34" s="186">
        <v>148068</v>
      </c>
      <c r="AY34" s="183">
        <f t="shared" si="2"/>
        <v>548347</v>
      </c>
      <c r="AZ34" s="186"/>
      <c r="BA34" s="186">
        <v>357088</v>
      </c>
      <c r="BB34" s="186">
        <v>30221</v>
      </c>
      <c r="BC34" s="186">
        <v>56413</v>
      </c>
      <c r="BD34" s="186">
        <v>0</v>
      </c>
      <c r="BE34" s="186">
        <v>7905</v>
      </c>
      <c r="BF34" s="186">
        <v>0</v>
      </c>
      <c r="BG34" s="186">
        <v>0</v>
      </c>
      <c r="BH34" s="186">
        <v>0</v>
      </c>
      <c r="BI34" s="186">
        <v>5982</v>
      </c>
      <c r="BJ34" s="186">
        <v>0</v>
      </c>
      <c r="BK34" s="186">
        <v>6976</v>
      </c>
      <c r="BL34" s="183">
        <f t="shared" si="3"/>
        <v>146859</v>
      </c>
      <c r="BM34" s="186"/>
      <c r="BN34" s="186">
        <v>336319</v>
      </c>
      <c r="BO34" s="186">
        <v>28727</v>
      </c>
      <c r="BP34" s="186">
        <v>51810</v>
      </c>
      <c r="BQ34" s="186">
        <v>0</v>
      </c>
      <c r="BR34" s="186">
        <v>6332</v>
      </c>
      <c r="BS34" s="186">
        <v>0</v>
      </c>
      <c r="BT34" s="186">
        <v>0</v>
      </c>
      <c r="BU34" s="186">
        <v>0</v>
      </c>
      <c r="BV34" s="186">
        <v>5982</v>
      </c>
      <c r="BW34" s="186">
        <v>0</v>
      </c>
      <c r="BX34" s="186">
        <v>6535</v>
      </c>
      <c r="BY34" s="183">
        <f t="shared" si="4"/>
        <v>134070</v>
      </c>
      <c r="BZ34" s="186"/>
      <c r="CA34" s="186">
        <v>281007</v>
      </c>
      <c r="CB34" s="186">
        <v>29897</v>
      </c>
      <c r="CC34" s="186">
        <v>47165</v>
      </c>
      <c r="CD34" s="186">
        <v>0</v>
      </c>
      <c r="CE34" s="186">
        <v>6695</v>
      </c>
      <c r="CF34" s="186">
        <v>0</v>
      </c>
      <c r="CG34" s="186">
        <v>0</v>
      </c>
      <c r="CH34" s="186">
        <v>0</v>
      </c>
      <c r="CI34" s="186">
        <v>5982</v>
      </c>
      <c r="CJ34" s="186">
        <v>0</v>
      </c>
      <c r="CK34" s="186">
        <v>6174</v>
      </c>
      <c r="CL34" s="183">
        <f t="shared" si="5"/>
        <v>118349</v>
      </c>
      <c r="CM34" s="186"/>
      <c r="CN34" s="186">
        <v>0</v>
      </c>
      <c r="CO34" s="186">
        <v>0</v>
      </c>
      <c r="CP34" s="186">
        <v>0</v>
      </c>
      <c r="CQ34" s="186">
        <v>0</v>
      </c>
      <c r="CR34" s="186">
        <v>0</v>
      </c>
      <c r="CS34" s="186">
        <v>0</v>
      </c>
      <c r="CT34" s="186">
        <v>0</v>
      </c>
      <c r="CU34" s="186">
        <v>0</v>
      </c>
      <c r="CV34" s="186">
        <v>0</v>
      </c>
      <c r="CW34" s="186">
        <v>0</v>
      </c>
      <c r="CX34" s="186">
        <v>0</v>
      </c>
      <c r="CY34" s="183">
        <f t="shared" si="6"/>
        <v>0</v>
      </c>
      <c r="CZ34" s="186"/>
      <c r="DA34" s="186">
        <v>0</v>
      </c>
      <c r="DB34" s="186">
        <v>0</v>
      </c>
      <c r="DC34" s="186">
        <v>0</v>
      </c>
      <c r="DD34" s="186">
        <v>0</v>
      </c>
      <c r="DE34" s="186">
        <v>0</v>
      </c>
      <c r="DF34" s="186">
        <v>0</v>
      </c>
      <c r="DG34" s="186">
        <v>0</v>
      </c>
      <c r="DH34" s="186">
        <v>0</v>
      </c>
      <c r="DI34" s="186">
        <v>0</v>
      </c>
      <c r="DJ34" s="186">
        <v>0</v>
      </c>
      <c r="DK34" s="186">
        <v>0</v>
      </c>
      <c r="DL34" s="183">
        <f t="shared" si="7"/>
        <v>0</v>
      </c>
      <c r="DM34" s="186"/>
      <c r="DN34" s="186">
        <v>0</v>
      </c>
      <c r="DO34" s="186">
        <v>0</v>
      </c>
      <c r="DP34" s="186">
        <v>0</v>
      </c>
      <c r="DQ34" s="186">
        <v>0</v>
      </c>
      <c r="DR34" s="186">
        <v>0</v>
      </c>
      <c r="DS34" s="186">
        <v>0</v>
      </c>
      <c r="DT34" s="186">
        <v>0</v>
      </c>
      <c r="DU34" s="186">
        <v>0</v>
      </c>
      <c r="DV34" s="186">
        <v>0</v>
      </c>
      <c r="DW34" s="186">
        <v>0</v>
      </c>
      <c r="DX34" s="186">
        <v>0</v>
      </c>
      <c r="DY34" s="183">
        <f t="shared" si="8"/>
        <v>0</v>
      </c>
      <c r="DZ34" s="182"/>
      <c r="EA34" s="187">
        <f t="shared" si="16"/>
        <v>723246</v>
      </c>
      <c r="EB34" s="187">
        <f t="shared" si="16"/>
        <v>596448</v>
      </c>
      <c r="EC34" s="187">
        <f t="shared" si="16"/>
        <v>666696</v>
      </c>
      <c r="ED34" s="182"/>
      <c r="EE34" s="187" t="str">
        <f t="shared" si="10"/>
        <v/>
      </c>
      <c r="EF34" s="184" t="str">
        <f t="shared" si="11"/>
        <v/>
      </c>
      <c r="EG34" s="184" t="str">
        <f t="shared" si="12"/>
        <v/>
      </c>
      <c r="EH34" s="182"/>
      <c r="EI34" s="186">
        <v>9287177</v>
      </c>
      <c r="EJ34" s="186">
        <v>6606939</v>
      </c>
      <c r="EK34" s="186">
        <v>2121912</v>
      </c>
      <c r="EL34" s="186">
        <v>0</v>
      </c>
      <c r="EM34" s="186">
        <v>558326</v>
      </c>
      <c r="EN34" s="183">
        <f t="shared" si="13"/>
        <v>8728851</v>
      </c>
      <c r="EO34" s="186">
        <v>8600080</v>
      </c>
      <c r="EP34" s="186">
        <v>6196287</v>
      </c>
      <c r="EQ34" s="186">
        <v>1931113</v>
      </c>
      <c r="ER34" s="186">
        <v>0</v>
      </c>
      <c r="ES34" s="186">
        <v>472680</v>
      </c>
      <c r="ET34" s="183">
        <f t="shared" si="14"/>
        <v>8127400</v>
      </c>
      <c r="EU34" s="186">
        <v>8041233</v>
      </c>
      <c r="EV34" s="186">
        <v>5846682</v>
      </c>
      <c r="EW34" s="186">
        <v>1776822</v>
      </c>
      <c r="EX34" s="186">
        <v>0</v>
      </c>
      <c r="EY34" s="186">
        <v>417729</v>
      </c>
      <c r="EZ34" s="183">
        <f t="shared" si="15"/>
        <v>7623504</v>
      </c>
    </row>
    <row r="35" spans="1:156" x14ac:dyDescent="0.2">
      <c r="A35" s="182" t="s">
        <v>407</v>
      </c>
      <c r="B35" s="185">
        <v>4044391</v>
      </c>
      <c r="C35" s="182" t="s">
        <v>206</v>
      </c>
      <c r="D35" s="186">
        <v>2276121</v>
      </c>
      <c r="E35" s="186">
        <v>0</v>
      </c>
      <c r="F35" s="186">
        <v>0</v>
      </c>
      <c r="G35" s="186">
        <v>2265674</v>
      </c>
      <c r="H35" s="186">
        <v>0</v>
      </c>
      <c r="I35" s="186">
        <v>0</v>
      </c>
      <c r="J35" s="186">
        <v>2175810</v>
      </c>
      <c r="K35" s="186">
        <v>0</v>
      </c>
      <c r="L35" s="186">
        <v>0</v>
      </c>
      <c r="M35" s="186"/>
      <c r="N35" s="186">
        <v>1055459</v>
      </c>
      <c r="O35" s="186">
        <v>96091</v>
      </c>
      <c r="P35" s="186">
        <v>227055</v>
      </c>
      <c r="Q35" s="186">
        <v>0</v>
      </c>
      <c r="R35" s="186">
        <v>11913</v>
      </c>
      <c r="S35" s="186">
        <v>0</v>
      </c>
      <c r="T35" s="186">
        <v>0</v>
      </c>
      <c r="U35" s="186">
        <v>19</v>
      </c>
      <c r="V35" s="186">
        <v>142302</v>
      </c>
      <c r="W35" s="186">
        <v>616</v>
      </c>
      <c r="X35" s="186">
        <v>375846</v>
      </c>
      <c r="Y35" s="183">
        <f t="shared" si="0"/>
        <v>368052</v>
      </c>
      <c r="Z35" s="186"/>
      <c r="AA35" s="186">
        <v>1151173</v>
      </c>
      <c r="AB35" s="186">
        <v>112932</v>
      </c>
      <c r="AC35" s="186">
        <v>214846</v>
      </c>
      <c r="AD35" s="186">
        <v>0</v>
      </c>
      <c r="AE35" s="186">
        <v>2587</v>
      </c>
      <c r="AF35" s="186">
        <v>0</v>
      </c>
      <c r="AG35" s="186">
        <v>0</v>
      </c>
      <c r="AH35" s="186">
        <v>0</v>
      </c>
      <c r="AI35" s="186">
        <v>57921</v>
      </c>
      <c r="AJ35" s="186">
        <v>0</v>
      </c>
      <c r="AK35" s="186">
        <v>377730</v>
      </c>
      <c r="AL35" s="183">
        <f t="shared" si="1"/>
        <v>348485</v>
      </c>
      <c r="AM35" s="186"/>
      <c r="AN35" s="186">
        <v>998460</v>
      </c>
      <c r="AO35" s="186">
        <v>108007</v>
      </c>
      <c r="AP35" s="186">
        <v>201515</v>
      </c>
      <c r="AQ35" s="186">
        <v>0</v>
      </c>
      <c r="AR35" s="186">
        <v>1008</v>
      </c>
      <c r="AS35" s="186">
        <v>0</v>
      </c>
      <c r="AT35" s="186">
        <v>0</v>
      </c>
      <c r="AU35" s="186">
        <v>0</v>
      </c>
      <c r="AV35" s="186">
        <v>102828</v>
      </c>
      <c r="AW35" s="186">
        <v>0</v>
      </c>
      <c r="AX35" s="186">
        <v>369885</v>
      </c>
      <c r="AY35" s="183">
        <f t="shared" si="2"/>
        <v>394107</v>
      </c>
      <c r="AZ35" s="186"/>
      <c r="BA35" s="186">
        <v>0</v>
      </c>
      <c r="BB35" s="186">
        <v>0</v>
      </c>
      <c r="BC35" s="186">
        <v>0</v>
      </c>
      <c r="BD35" s="186">
        <v>0</v>
      </c>
      <c r="BE35" s="186">
        <v>0</v>
      </c>
      <c r="BF35" s="186">
        <v>0</v>
      </c>
      <c r="BG35" s="186">
        <v>0</v>
      </c>
      <c r="BH35" s="186">
        <v>0</v>
      </c>
      <c r="BI35" s="186">
        <v>0</v>
      </c>
      <c r="BJ35" s="186">
        <v>0</v>
      </c>
      <c r="BK35" s="186">
        <v>0</v>
      </c>
      <c r="BL35" s="183">
        <f t="shared" si="3"/>
        <v>0</v>
      </c>
      <c r="BM35" s="186"/>
      <c r="BN35" s="186">
        <v>0</v>
      </c>
      <c r="BO35" s="186">
        <v>0</v>
      </c>
      <c r="BP35" s="186">
        <v>0</v>
      </c>
      <c r="BQ35" s="186">
        <v>0</v>
      </c>
      <c r="BR35" s="186">
        <v>0</v>
      </c>
      <c r="BS35" s="186">
        <v>0</v>
      </c>
      <c r="BT35" s="186">
        <v>0</v>
      </c>
      <c r="BU35" s="186">
        <v>0</v>
      </c>
      <c r="BV35" s="186">
        <v>0</v>
      </c>
      <c r="BW35" s="186">
        <v>0</v>
      </c>
      <c r="BX35" s="186">
        <v>0</v>
      </c>
      <c r="BY35" s="183">
        <f t="shared" si="4"/>
        <v>0</v>
      </c>
      <c r="BZ35" s="186"/>
      <c r="CA35" s="186">
        <v>0</v>
      </c>
      <c r="CB35" s="186">
        <v>0</v>
      </c>
      <c r="CC35" s="186">
        <v>0</v>
      </c>
      <c r="CD35" s="186">
        <v>0</v>
      </c>
      <c r="CE35" s="186">
        <v>0</v>
      </c>
      <c r="CF35" s="186">
        <v>0</v>
      </c>
      <c r="CG35" s="186">
        <v>0</v>
      </c>
      <c r="CH35" s="186">
        <v>0</v>
      </c>
      <c r="CI35" s="186">
        <v>0</v>
      </c>
      <c r="CJ35" s="186">
        <v>0</v>
      </c>
      <c r="CK35" s="186">
        <v>0</v>
      </c>
      <c r="CL35" s="183">
        <f t="shared" si="5"/>
        <v>0</v>
      </c>
      <c r="CM35" s="186"/>
      <c r="CN35" s="186">
        <v>0</v>
      </c>
      <c r="CO35" s="186">
        <v>0</v>
      </c>
      <c r="CP35" s="186">
        <v>0</v>
      </c>
      <c r="CQ35" s="186">
        <v>0</v>
      </c>
      <c r="CR35" s="186">
        <v>0</v>
      </c>
      <c r="CS35" s="186">
        <v>0</v>
      </c>
      <c r="CT35" s="186">
        <v>0</v>
      </c>
      <c r="CU35" s="186">
        <v>0</v>
      </c>
      <c r="CV35" s="186">
        <v>0</v>
      </c>
      <c r="CW35" s="186">
        <v>0</v>
      </c>
      <c r="CX35" s="186">
        <v>0</v>
      </c>
      <c r="CY35" s="183">
        <f t="shared" si="6"/>
        <v>0</v>
      </c>
      <c r="CZ35" s="186"/>
      <c r="DA35" s="186">
        <v>0</v>
      </c>
      <c r="DB35" s="186">
        <v>0</v>
      </c>
      <c r="DC35" s="186">
        <v>0</v>
      </c>
      <c r="DD35" s="186">
        <v>0</v>
      </c>
      <c r="DE35" s="186">
        <v>0</v>
      </c>
      <c r="DF35" s="186">
        <v>0</v>
      </c>
      <c r="DG35" s="186">
        <v>0</v>
      </c>
      <c r="DH35" s="186">
        <v>0</v>
      </c>
      <c r="DI35" s="186">
        <v>0</v>
      </c>
      <c r="DJ35" s="186">
        <v>0</v>
      </c>
      <c r="DK35" s="186">
        <v>0</v>
      </c>
      <c r="DL35" s="183">
        <f t="shared" si="7"/>
        <v>0</v>
      </c>
      <c r="DM35" s="186"/>
      <c r="DN35" s="186">
        <v>0</v>
      </c>
      <c r="DO35" s="186">
        <v>0</v>
      </c>
      <c r="DP35" s="186">
        <v>0</v>
      </c>
      <c r="DQ35" s="186">
        <v>0</v>
      </c>
      <c r="DR35" s="186">
        <v>0</v>
      </c>
      <c r="DS35" s="186">
        <v>0</v>
      </c>
      <c r="DT35" s="186">
        <v>0</v>
      </c>
      <c r="DU35" s="186">
        <v>0</v>
      </c>
      <c r="DV35" s="186">
        <v>0</v>
      </c>
      <c r="DW35" s="186">
        <v>0</v>
      </c>
      <c r="DX35" s="186">
        <v>0</v>
      </c>
      <c r="DY35" s="183">
        <f t="shared" si="8"/>
        <v>0</v>
      </c>
      <c r="DZ35" s="182"/>
      <c r="EA35" s="187">
        <f t="shared" si="16"/>
        <v>368052</v>
      </c>
      <c r="EB35" s="187">
        <f t="shared" si="16"/>
        <v>348485</v>
      </c>
      <c r="EC35" s="187">
        <f t="shared" si="16"/>
        <v>394107</v>
      </c>
      <c r="ED35" s="182"/>
      <c r="EE35" s="187" t="str">
        <f t="shared" si="10"/>
        <v/>
      </c>
      <c r="EF35" s="184" t="str">
        <f t="shared" si="11"/>
        <v/>
      </c>
      <c r="EG35" s="184" t="str">
        <f t="shared" si="12"/>
        <v/>
      </c>
      <c r="EH35" s="182"/>
      <c r="EI35" s="186">
        <v>7034958</v>
      </c>
      <c r="EJ35" s="186">
        <v>7034958</v>
      </c>
      <c r="EK35" s="186">
        <v>0</v>
      </c>
      <c r="EL35" s="186">
        <v>0</v>
      </c>
      <c r="EM35" s="186">
        <v>0</v>
      </c>
      <c r="EN35" s="183">
        <f t="shared" si="13"/>
        <v>7034958</v>
      </c>
      <c r="EO35" s="186">
        <v>6589488</v>
      </c>
      <c r="EP35" s="186">
        <v>6589488</v>
      </c>
      <c r="EQ35" s="186">
        <v>0</v>
      </c>
      <c r="ER35" s="186">
        <v>0</v>
      </c>
      <c r="ES35" s="186">
        <v>0</v>
      </c>
      <c r="ET35" s="183">
        <f t="shared" si="14"/>
        <v>6589488</v>
      </c>
      <c r="EU35" s="186">
        <v>6123142</v>
      </c>
      <c r="EV35" s="186">
        <v>6123142</v>
      </c>
      <c r="EW35" s="186">
        <v>0</v>
      </c>
      <c r="EX35" s="186">
        <v>0</v>
      </c>
      <c r="EY35" s="186">
        <v>0</v>
      </c>
      <c r="EZ35" s="183">
        <f t="shared" si="15"/>
        <v>6123142</v>
      </c>
    </row>
    <row r="36" spans="1:156" x14ac:dyDescent="0.2">
      <c r="A36" s="182" t="s">
        <v>408</v>
      </c>
      <c r="B36" s="185">
        <v>4004218</v>
      </c>
      <c r="C36" s="182" t="s">
        <v>255</v>
      </c>
      <c r="D36" s="186">
        <v>14242165</v>
      </c>
      <c r="E36" s="186">
        <v>4600534</v>
      </c>
      <c r="F36" s="186">
        <v>0</v>
      </c>
      <c r="G36" s="186">
        <v>13086062</v>
      </c>
      <c r="H36" s="186">
        <v>4251513</v>
      </c>
      <c r="I36" s="186">
        <v>0</v>
      </c>
      <c r="J36" s="186">
        <v>13283629</v>
      </c>
      <c r="K36" s="186">
        <v>4193645</v>
      </c>
      <c r="L36" s="186">
        <v>0</v>
      </c>
      <c r="M36" s="186"/>
      <c r="N36" s="186">
        <v>19399846</v>
      </c>
      <c r="O36" s="186">
        <v>1839076</v>
      </c>
      <c r="P36" s="186">
        <v>2237751</v>
      </c>
      <c r="Q36" s="186">
        <v>0</v>
      </c>
      <c r="R36" s="186">
        <v>218500</v>
      </c>
      <c r="S36" s="186">
        <v>0</v>
      </c>
      <c r="T36" s="186">
        <v>2114</v>
      </c>
      <c r="U36" s="186">
        <v>0</v>
      </c>
      <c r="V36" s="186">
        <v>3</v>
      </c>
      <c r="W36" s="186">
        <v>0</v>
      </c>
      <c r="X36" s="186">
        <v>498486</v>
      </c>
      <c r="Y36" s="183">
        <f t="shared" si="0"/>
        <v>-9953611</v>
      </c>
      <c r="Z36" s="186"/>
      <c r="AA36" s="186">
        <v>18919388</v>
      </c>
      <c r="AB36" s="186">
        <v>1071057</v>
      </c>
      <c r="AC36" s="186">
        <v>2121425</v>
      </c>
      <c r="AD36" s="186">
        <v>0</v>
      </c>
      <c r="AE36" s="186">
        <v>225407</v>
      </c>
      <c r="AF36" s="186">
        <v>0</v>
      </c>
      <c r="AG36" s="186">
        <v>2114</v>
      </c>
      <c r="AH36" s="186">
        <v>0</v>
      </c>
      <c r="AI36" s="186">
        <v>0</v>
      </c>
      <c r="AJ36" s="186">
        <v>0</v>
      </c>
      <c r="AK36" s="186">
        <v>475321</v>
      </c>
      <c r="AL36" s="183">
        <f t="shared" si="1"/>
        <v>-9728650</v>
      </c>
      <c r="AM36" s="186"/>
      <c r="AN36" s="186">
        <v>7014966</v>
      </c>
      <c r="AO36" s="186">
        <v>959259</v>
      </c>
      <c r="AP36" s="186">
        <v>1980796</v>
      </c>
      <c r="AQ36" s="186">
        <v>0</v>
      </c>
      <c r="AR36" s="186">
        <v>237269</v>
      </c>
      <c r="AS36" s="186">
        <v>0</v>
      </c>
      <c r="AT36" s="186">
        <v>116</v>
      </c>
      <c r="AU36" s="186">
        <v>0</v>
      </c>
      <c r="AV36" s="186">
        <v>-630</v>
      </c>
      <c r="AW36" s="186">
        <v>0</v>
      </c>
      <c r="AX36" s="186">
        <v>449084</v>
      </c>
      <c r="AY36" s="183">
        <f t="shared" si="2"/>
        <v>2642769</v>
      </c>
      <c r="AZ36" s="186"/>
      <c r="BA36" s="186">
        <v>2370286</v>
      </c>
      <c r="BB36" s="186">
        <v>733138</v>
      </c>
      <c r="BC36" s="186">
        <v>678027</v>
      </c>
      <c r="BD36" s="186">
        <v>0</v>
      </c>
      <c r="BE36" s="186">
        <v>93846</v>
      </c>
      <c r="BF36" s="186">
        <v>0</v>
      </c>
      <c r="BG36" s="186">
        <v>0</v>
      </c>
      <c r="BH36" s="186">
        <v>0</v>
      </c>
      <c r="BI36" s="186">
        <v>0</v>
      </c>
      <c r="BJ36" s="186">
        <v>0</v>
      </c>
      <c r="BK36" s="186">
        <v>177935</v>
      </c>
      <c r="BL36" s="183">
        <f t="shared" si="3"/>
        <v>547302</v>
      </c>
      <c r="BM36" s="186"/>
      <c r="BN36" s="186">
        <v>2171542</v>
      </c>
      <c r="BO36" s="186">
        <v>627578</v>
      </c>
      <c r="BP36" s="186">
        <v>587474</v>
      </c>
      <c r="BQ36" s="186">
        <v>0</v>
      </c>
      <c r="BR36" s="186">
        <v>98290</v>
      </c>
      <c r="BS36" s="186">
        <v>0</v>
      </c>
      <c r="BT36" s="186">
        <v>0</v>
      </c>
      <c r="BU36" s="186">
        <v>0</v>
      </c>
      <c r="BV36" s="186">
        <v>0</v>
      </c>
      <c r="BW36" s="186">
        <v>0</v>
      </c>
      <c r="BX36" s="186">
        <v>157044</v>
      </c>
      <c r="BY36" s="183">
        <f t="shared" si="4"/>
        <v>609585</v>
      </c>
      <c r="BZ36" s="186"/>
      <c r="CA36" s="186">
        <v>2339620</v>
      </c>
      <c r="CB36" s="186">
        <v>513919</v>
      </c>
      <c r="CC36" s="186">
        <v>539867</v>
      </c>
      <c r="CD36" s="186">
        <v>0</v>
      </c>
      <c r="CE36" s="186">
        <v>94737</v>
      </c>
      <c r="CF36" s="186">
        <v>0</v>
      </c>
      <c r="CG36" s="186">
        <v>0</v>
      </c>
      <c r="CH36" s="186">
        <v>0</v>
      </c>
      <c r="CI36" s="186">
        <v>0</v>
      </c>
      <c r="CJ36" s="186">
        <v>0</v>
      </c>
      <c r="CK36" s="186">
        <v>143673</v>
      </c>
      <c r="CL36" s="183">
        <f t="shared" si="5"/>
        <v>561829</v>
      </c>
      <c r="CM36" s="186"/>
      <c r="CN36" s="186">
        <v>0</v>
      </c>
      <c r="CO36" s="186">
        <v>0</v>
      </c>
      <c r="CP36" s="186">
        <v>0</v>
      </c>
      <c r="CQ36" s="186">
        <v>0</v>
      </c>
      <c r="CR36" s="186">
        <v>0</v>
      </c>
      <c r="CS36" s="186">
        <v>0</v>
      </c>
      <c r="CT36" s="186">
        <v>0</v>
      </c>
      <c r="CU36" s="186">
        <v>0</v>
      </c>
      <c r="CV36" s="186">
        <v>0</v>
      </c>
      <c r="CW36" s="186">
        <v>0</v>
      </c>
      <c r="CX36" s="186">
        <v>0</v>
      </c>
      <c r="CY36" s="183">
        <f t="shared" si="6"/>
        <v>0</v>
      </c>
      <c r="CZ36" s="186"/>
      <c r="DA36" s="186">
        <v>0</v>
      </c>
      <c r="DB36" s="186">
        <v>0</v>
      </c>
      <c r="DC36" s="186">
        <v>0</v>
      </c>
      <c r="DD36" s="186">
        <v>0</v>
      </c>
      <c r="DE36" s="186">
        <v>0</v>
      </c>
      <c r="DF36" s="186">
        <v>0</v>
      </c>
      <c r="DG36" s="186">
        <v>0</v>
      </c>
      <c r="DH36" s="186">
        <v>0</v>
      </c>
      <c r="DI36" s="186">
        <v>0</v>
      </c>
      <c r="DJ36" s="186">
        <v>0</v>
      </c>
      <c r="DK36" s="186">
        <v>0</v>
      </c>
      <c r="DL36" s="183">
        <f t="shared" si="7"/>
        <v>0</v>
      </c>
      <c r="DM36" s="186"/>
      <c r="DN36" s="186">
        <v>0</v>
      </c>
      <c r="DO36" s="186">
        <v>0</v>
      </c>
      <c r="DP36" s="186">
        <v>0</v>
      </c>
      <c r="DQ36" s="186">
        <v>0</v>
      </c>
      <c r="DR36" s="186">
        <v>0</v>
      </c>
      <c r="DS36" s="186">
        <v>0</v>
      </c>
      <c r="DT36" s="186">
        <v>0</v>
      </c>
      <c r="DU36" s="186">
        <v>0</v>
      </c>
      <c r="DV36" s="186">
        <v>0</v>
      </c>
      <c r="DW36" s="186">
        <v>0</v>
      </c>
      <c r="DX36" s="186">
        <v>0</v>
      </c>
      <c r="DY36" s="183">
        <f t="shared" si="8"/>
        <v>0</v>
      </c>
      <c r="DZ36" s="182"/>
      <c r="EA36" s="187">
        <f t="shared" si="16"/>
        <v>-9406309</v>
      </c>
      <c r="EB36" s="187">
        <f t="shared" si="16"/>
        <v>-9119065</v>
      </c>
      <c r="EC36" s="187">
        <f t="shared" si="16"/>
        <v>3204598</v>
      </c>
      <c r="ED36" s="182"/>
      <c r="EE36" s="187" t="str">
        <f t="shared" si="10"/>
        <v/>
      </c>
      <c r="EF36" s="184" t="str">
        <f t="shared" si="11"/>
        <v/>
      </c>
      <c r="EG36" s="184" t="str">
        <f t="shared" si="12"/>
        <v/>
      </c>
      <c r="EH36" s="182"/>
      <c r="EI36" s="186">
        <v>57083450</v>
      </c>
      <c r="EJ36" s="186">
        <v>40435082</v>
      </c>
      <c r="EK36" s="186">
        <v>12247682</v>
      </c>
      <c r="EL36" s="186">
        <v>0</v>
      </c>
      <c r="EM36" s="186">
        <v>4400685</v>
      </c>
      <c r="EN36" s="183">
        <f t="shared" si="13"/>
        <v>52682764</v>
      </c>
      <c r="EO36" s="186">
        <v>52175772</v>
      </c>
      <c r="EP36" s="186">
        <v>36028470</v>
      </c>
      <c r="EQ36" s="186">
        <v>11740725</v>
      </c>
      <c r="ER36" s="186">
        <v>0</v>
      </c>
      <c r="ES36" s="186">
        <v>4406576</v>
      </c>
      <c r="ET36" s="183">
        <f t="shared" si="14"/>
        <v>47769195</v>
      </c>
      <c r="EU36" s="186">
        <v>47790592</v>
      </c>
      <c r="EV36" s="186">
        <v>33239725</v>
      </c>
      <c r="EW36" s="186">
        <v>10232816</v>
      </c>
      <c r="EX36" s="186">
        <v>0</v>
      </c>
      <c r="EY36" s="186">
        <v>4318052</v>
      </c>
      <c r="EZ36" s="183">
        <f t="shared" si="15"/>
        <v>43472541</v>
      </c>
    </row>
    <row r="37" spans="1:156" x14ac:dyDescent="0.2">
      <c r="A37" s="182" t="s">
        <v>409</v>
      </c>
      <c r="B37" s="185">
        <v>4042397</v>
      </c>
      <c r="C37" s="182" t="s">
        <v>274</v>
      </c>
      <c r="D37" s="186">
        <v>1739801</v>
      </c>
      <c r="E37" s="186">
        <v>0</v>
      </c>
      <c r="F37" s="186">
        <v>0</v>
      </c>
      <c r="G37" s="186">
        <v>1759605</v>
      </c>
      <c r="H37" s="186">
        <v>0</v>
      </c>
      <c r="I37" s="186">
        <v>0</v>
      </c>
      <c r="J37" s="186">
        <v>1744333</v>
      </c>
      <c r="K37" s="186">
        <v>0</v>
      </c>
      <c r="L37" s="186">
        <v>0</v>
      </c>
      <c r="M37" s="186"/>
      <c r="N37" s="186">
        <v>749618</v>
      </c>
      <c r="O37" s="186">
        <v>142961</v>
      </c>
      <c r="P37" s="186">
        <v>288636</v>
      </c>
      <c r="Q37" s="186">
        <v>0</v>
      </c>
      <c r="R37" s="186">
        <v>17184</v>
      </c>
      <c r="S37" s="186">
        <v>0</v>
      </c>
      <c r="T37" s="186">
        <v>0</v>
      </c>
      <c r="U37" s="186">
        <v>0</v>
      </c>
      <c r="V37" s="186">
        <v>9337</v>
      </c>
      <c r="W37" s="186">
        <v>0</v>
      </c>
      <c r="X37" s="186">
        <v>45460</v>
      </c>
      <c r="Y37" s="183">
        <f t="shared" si="0"/>
        <v>486605</v>
      </c>
      <c r="Z37" s="186"/>
      <c r="AA37" s="186">
        <v>826317</v>
      </c>
      <c r="AB37" s="186">
        <v>143871</v>
      </c>
      <c r="AC37" s="186">
        <v>254859</v>
      </c>
      <c r="AD37" s="186">
        <v>0</v>
      </c>
      <c r="AE37" s="186">
        <v>18379</v>
      </c>
      <c r="AF37" s="186">
        <v>0</v>
      </c>
      <c r="AG37" s="186">
        <v>0</v>
      </c>
      <c r="AH37" s="186">
        <v>0</v>
      </c>
      <c r="AI37" s="186">
        <v>5174</v>
      </c>
      <c r="AJ37" s="186">
        <v>0</v>
      </c>
      <c r="AK37" s="186">
        <v>43930</v>
      </c>
      <c r="AL37" s="183">
        <f t="shared" si="1"/>
        <v>467075</v>
      </c>
      <c r="AM37" s="186"/>
      <c r="AN37" s="186">
        <v>808972</v>
      </c>
      <c r="AO37" s="186">
        <v>124242</v>
      </c>
      <c r="AP37" s="186">
        <v>238531</v>
      </c>
      <c r="AQ37" s="186">
        <v>0</v>
      </c>
      <c r="AR37" s="186">
        <v>15572</v>
      </c>
      <c r="AS37" s="186">
        <v>0</v>
      </c>
      <c r="AT37" s="186">
        <v>0</v>
      </c>
      <c r="AU37" s="186">
        <v>0</v>
      </c>
      <c r="AV37" s="186">
        <v>925</v>
      </c>
      <c r="AW37" s="186">
        <v>0</v>
      </c>
      <c r="AX37" s="186">
        <v>41521</v>
      </c>
      <c r="AY37" s="183">
        <f t="shared" si="2"/>
        <v>514570</v>
      </c>
      <c r="AZ37" s="186"/>
      <c r="BA37" s="186">
        <v>0</v>
      </c>
      <c r="BB37" s="186">
        <v>0</v>
      </c>
      <c r="BC37" s="186">
        <v>0</v>
      </c>
      <c r="BD37" s="186">
        <v>0</v>
      </c>
      <c r="BE37" s="186">
        <v>0</v>
      </c>
      <c r="BF37" s="186">
        <v>0</v>
      </c>
      <c r="BG37" s="186">
        <v>0</v>
      </c>
      <c r="BH37" s="186">
        <v>0</v>
      </c>
      <c r="BI37" s="186">
        <v>0</v>
      </c>
      <c r="BJ37" s="186">
        <v>0</v>
      </c>
      <c r="BK37" s="186">
        <v>0</v>
      </c>
      <c r="BL37" s="183">
        <f t="shared" si="3"/>
        <v>0</v>
      </c>
      <c r="BM37" s="186"/>
      <c r="BN37" s="186">
        <v>0</v>
      </c>
      <c r="BO37" s="186">
        <v>0</v>
      </c>
      <c r="BP37" s="186">
        <v>0</v>
      </c>
      <c r="BQ37" s="186">
        <v>0</v>
      </c>
      <c r="BR37" s="186">
        <v>0</v>
      </c>
      <c r="BS37" s="186">
        <v>0</v>
      </c>
      <c r="BT37" s="186">
        <v>0</v>
      </c>
      <c r="BU37" s="186">
        <v>0</v>
      </c>
      <c r="BV37" s="186">
        <v>0</v>
      </c>
      <c r="BW37" s="186">
        <v>0</v>
      </c>
      <c r="BX37" s="186">
        <v>0</v>
      </c>
      <c r="BY37" s="183">
        <f t="shared" si="4"/>
        <v>0</v>
      </c>
      <c r="BZ37" s="186"/>
      <c r="CA37" s="186">
        <v>0</v>
      </c>
      <c r="CB37" s="186">
        <v>0</v>
      </c>
      <c r="CC37" s="186">
        <v>0</v>
      </c>
      <c r="CD37" s="186">
        <v>0</v>
      </c>
      <c r="CE37" s="186">
        <v>0</v>
      </c>
      <c r="CF37" s="186">
        <v>0</v>
      </c>
      <c r="CG37" s="186">
        <v>0</v>
      </c>
      <c r="CH37" s="186">
        <v>0</v>
      </c>
      <c r="CI37" s="186">
        <v>0</v>
      </c>
      <c r="CJ37" s="186">
        <v>0</v>
      </c>
      <c r="CK37" s="186">
        <v>0</v>
      </c>
      <c r="CL37" s="183">
        <f t="shared" si="5"/>
        <v>0</v>
      </c>
      <c r="CM37" s="186"/>
      <c r="CN37" s="186">
        <v>0</v>
      </c>
      <c r="CO37" s="186">
        <v>0</v>
      </c>
      <c r="CP37" s="186">
        <v>0</v>
      </c>
      <c r="CQ37" s="186">
        <v>0</v>
      </c>
      <c r="CR37" s="186">
        <v>0</v>
      </c>
      <c r="CS37" s="186">
        <v>0</v>
      </c>
      <c r="CT37" s="186">
        <v>0</v>
      </c>
      <c r="CU37" s="186">
        <v>0</v>
      </c>
      <c r="CV37" s="186">
        <v>0</v>
      </c>
      <c r="CW37" s="186">
        <v>0</v>
      </c>
      <c r="CX37" s="186">
        <v>0</v>
      </c>
      <c r="CY37" s="183">
        <f t="shared" si="6"/>
        <v>0</v>
      </c>
      <c r="CZ37" s="186"/>
      <c r="DA37" s="186">
        <v>0</v>
      </c>
      <c r="DB37" s="186">
        <v>0</v>
      </c>
      <c r="DC37" s="186">
        <v>0</v>
      </c>
      <c r="DD37" s="186">
        <v>0</v>
      </c>
      <c r="DE37" s="186">
        <v>0</v>
      </c>
      <c r="DF37" s="186">
        <v>0</v>
      </c>
      <c r="DG37" s="186">
        <v>0</v>
      </c>
      <c r="DH37" s="186">
        <v>0</v>
      </c>
      <c r="DI37" s="186">
        <v>0</v>
      </c>
      <c r="DJ37" s="186">
        <v>0</v>
      </c>
      <c r="DK37" s="186">
        <v>0</v>
      </c>
      <c r="DL37" s="183">
        <f t="shared" si="7"/>
        <v>0</v>
      </c>
      <c r="DM37" s="186"/>
      <c r="DN37" s="186">
        <v>0</v>
      </c>
      <c r="DO37" s="186">
        <v>0</v>
      </c>
      <c r="DP37" s="186">
        <v>0</v>
      </c>
      <c r="DQ37" s="186">
        <v>0</v>
      </c>
      <c r="DR37" s="186">
        <v>0</v>
      </c>
      <c r="DS37" s="186">
        <v>0</v>
      </c>
      <c r="DT37" s="186">
        <v>0</v>
      </c>
      <c r="DU37" s="186">
        <v>0</v>
      </c>
      <c r="DV37" s="186">
        <v>0</v>
      </c>
      <c r="DW37" s="186">
        <v>0</v>
      </c>
      <c r="DX37" s="186">
        <v>0</v>
      </c>
      <c r="DY37" s="183">
        <f t="shared" si="8"/>
        <v>0</v>
      </c>
      <c r="DZ37" s="182"/>
      <c r="EA37" s="187">
        <f t="shared" si="16"/>
        <v>486605</v>
      </c>
      <c r="EB37" s="187">
        <f t="shared" si="16"/>
        <v>467075</v>
      </c>
      <c r="EC37" s="187">
        <f t="shared" si="16"/>
        <v>514570</v>
      </c>
      <c r="ED37" s="182"/>
      <c r="EE37" s="187" t="str">
        <f t="shared" si="10"/>
        <v/>
      </c>
      <c r="EF37" s="184" t="str">
        <f t="shared" si="11"/>
        <v/>
      </c>
      <c r="EG37" s="184" t="str">
        <f t="shared" si="12"/>
        <v/>
      </c>
      <c r="EH37" s="182"/>
      <c r="EI37" s="186">
        <v>6912080</v>
      </c>
      <c r="EJ37" s="186">
        <v>6912080</v>
      </c>
      <c r="EK37" s="186">
        <v>0</v>
      </c>
      <c r="EL37" s="186">
        <v>0</v>
      </c>
      <c r="EM37" s="186">
        <v>0</v>
      </c>
      <c r="EN37" s="183">
        <f t="shared" si="13"/>
        <v>6912080</v>
      </c>
      <c r="EO37" s="186">
        <v>6633217</v>
      </c>
      <c r="EP37" s="186">
        <v>6633217</v>
      </c>
      <c r="EQ37" s="186">
        <v>0</v>
      </c>
      <c r="ER37" s="186">
        <v>0</v>
      </c>
      <c r="ES37" s="186">
        <v>0</v>
      </c>
      <c r="ET37" s="183">
        <f t="shared" si="14"/>
        <v>6633217</v>
      </c>
      <c r="EU37" s="186">
        <v>6360210</v>
      </c>
      <c r="EV37" s="186">
        <v>6360210</v>
      </c>
      <c r="EW37" s="186">
        <v>0</v>
      </c>
      <c r="EX37" s="186">
        <v>0</v>
      </c>
      <c r="EY37" s="186">
        <v>0</v>
      </c>
      <c r="EZ37" s="183">
        <f t="shared" si="15"/>
        <v>6360210</v>
      </c>
    </row>
    <row r="38" spans="1:156" x14ac:dyDescent="0.2">
      <c r="A38" s="182" t="s">
        <v>410</v>
      </c>
      <c r="B38" s="185">
        <v>4057090</v>
      </c>
      <c r="C38" s="182" t="s">
        <v>274</v>
      </c>
      <c r="D38" s="186">
        <v>1178961</v>
      </c>
      <c r="E38" s="186">
        <v>330363</v>
      </c>
      <c r="F38" s="186">
        <v>0</v>
      </c>
      <c r="G38" s="186">
        <v>1167787</v>
      </c>
      <c r="H38" s="186">
        <v>324611</v>
      </c>
      <c r="I38" s="186">
        <v>0</v>
      </c>
      <c r="J38" s="186">
        <v>1144299</v>
      </c>
      <c r="K38" s="186">
        <v>311929</v>
      </c>
      <c r="L38" s="186">
        <v>0</v>
      </c>
      <c r="M38" s="186"/>
      <c r="N38" s="186">
        <v>530735</v>
      </c>
      <c r="O38" s="186">
        <v>94491</v>
      </c>
      <c r="P38" s="186">
        <v>179675</v>
      </c>
      <c r="Q38" s="186">
        <v>0</v>
      </c>
      <c r="R38" s="186">
        <v>11156</v>
      </c>
      <c r="S38" s="186">
        <v>0</v>
      </c>
      <c r="T38" s="186">
        <v>0</v>
      </c>
      <c r="U38" s="186">
        <v>0</v>
      </c>
      <c r="V38" s="186">
        <v>1161</v>
      </c>
      <c r="W38" s="186">
        <v>0</v>
      </c>
      <c r="X38" s="186">
        <v>35376</v>
      </c>
      <c r="Y38" s="183">
        <f t="shared" si="0"/>
        <v>326367</v>
      </c>
      <c r="Z38" s="186"/>
      <c r="AA38" s="186">
        <v>560246</v>
      </c>
      <c r="AB38" s="186">
        <v>91614</v>
      </c>
      <c r="AC38" s="186">
        <v>145001</v>
      </c>
      <c r="AD38" s="186">
        <v>0</v>
      </c>
      <c r="AE38" s="186">
        <v>12363</v>
      </c>
      <c r="AF38" s="186">
        <v>0</v>
      </c>
      <c r="AG38" s="186">
        <v>0</v>
      </c>
      <c r="AH38" s="186">
        <v>0</v>
      </c>
      <c r="AI38" s="186">
        <v>574</v>
      </c>
      <c r="AJ38" s="186">
        <v>0</v>
      </c>
      <c r="AK38" s="186">
        <v>33779</v>
      </c>
      <c r="AL38" s="183">
        <f t="shared" si="1"/>
        <v>324210</v>
      </c>
      <c r="AM38" s="186"/>
      <c r="AN38" s="186">
        <v>538705</v>
      </c>
      <c r="AO38" s="186">
        <v>80960</v>
      </c>
      <c r="AP38" s="186">
        <v>136461</v>
      </c>
      <c r="AQ38" s="186">
        <v>0</v>
      </c>
      <c r="AR38" s="186">
        <v>10225</v>
      </c>
      <c r="AS38" s="186">
        <v>0</v>
      </c>
      <c r="AT38" s="186">
        <v>0</v>
      </c>
      <c r="AU38" s="186">
        <v>0</v>
      </c>
      <c r="AV38" s="186">
        <v>326</v>
      </c>
      <c r="AW38" s="186">
        <v>0</v>
      </c>
      <c r="AX38" s="186">
        <v>31439</v>
      </c>
      <c r="AY38" s="183">
        <f t="shared" si="2"/>
        <v>346183</v>
      </c>
      <c r="AZ38" s="186"/>
      <c r="BA38" s="186">
        <v>186903</v>
      </c>
      <c r="BB38" s="186">
        <v>25607</v>
      </c>
      <c r="BC38" s="186">
        <v>33547</v>
      </c>
      <c r="BD38" s="186">
        <v>0</v>
      </c>
      <c r="BE38" s="186">
        <v>5012</v>
      </c>
      <c r="BF38" s="186">
        <v>0</v>
      </c>
      <c r="BG38" s="186">
        <v>0</v>
      </c>
      <c r="BH38" s="186">
        <v>0</v>
      </c>
      <c r="BI38" s="186">
        <v>0</v>
      </c>
      <c r="BJ38" s="186">
        <v>0</v>
      </c>
      <c r="BK38" s="186">
        <v>12030</v>
      </c>
      <c r="BL38" s="183">
        <f t="shared" si="3"/>
        <v>67264</v>
      </c>
      <c r="BM38" s="186"/>
      <c r="BN38" s="186">
        <v>195435</v>
      </c>
      <c r="BO38" s="186">
        <v>20312</v>
      </c>
      <c r="BP38" s="186">
        <v>31841</v>
      </c>
      <c r="BQ38" s="186">
        <v>0</v>
      </c>
      <c r="BR38" s="186">
        <v>5554</v>
      </c>
      <c r="BS38" s="186">
        <v>0</v>
      </c>
      <c r="BT38" s="186">
        <v>0</v>
      </c>
      <c r="BU38" s="186">
        <v>0</v>
      </c>
      <c r="BV38" s="186">
        <v>0</v>
      </c>
      <c r="BW38" s="186">
        <v>0</v>
      </c>
      <c r="BX38" s="186">
        <v>11316</v>
      </c>
      <c r="BY38" s="183">
        <f t="shared" si="4"/>
        <v>60153</v>
      </c>
      <c r="BZ38" s="186"/>
      <c r="CA38" s="186">
        <v>175582</v>
      </c>
      <c r="CB38" s="186">
        <v>16968</v>
      </c>
      <c r="CC38" s="186">
        <v>31701</v>
      </c>
      <c r="CD38" s="186">
        <v>0</v>
      </c>
      <c r="CE38" s="186">
        <v>4594</v>
      </c>
      <c r="CF38" s="186">
        <v>0</v>
      </c>
      <c r="CG38" s="186">
        <v>0</v>
      </c>
      <c r="CH38" s="186">
        <v>0</v>
      </c>
      <c r="CI38" s="186">
        <v>0</v>
      </c>
      <c r="CJ38" s="186">
        <v>0</v>
      </c>
      <c r="CK38" s="186">
        <v>10414</v>
      </c>
      <c r="CL38" s="183">
        <f t="shared" si="5"/>
        <v>72670</v>
      </c>
      <c r="CM38" s="186"/>
      <c r="CN38" s="186">
        <v>0</v>
      </c>
      <c r="CO38" s="186">
        <v>0</v>
      </c>
      <c r="CP38" s="186">
        <v>0</v>
      </c>
      <c r="CQ38" s="186">
        <v>0</v>
      </c>
      <c r="CR38" s="186">
        <v>0</v>
      </c>
      <c r="CS38" s="186">
        <v>0</v>
      </c>
      <c r="CT38" s="186">
        <v>0</v>
      </c>
      <c r="CU38" s="186">
        <v>0</v>
      </c>
      <c r="CV38" s="186">
        <v>0</v>
      </c>
      <c r="CW38" s="186">
        <v>0</v>
      </c>
      <c r="CX38" s="186">
        <v>0</v>
      </c>
      <c r="CY38" s="183">
        <f t="shared" si="6"/>
        <v>0</v>
      </c>
      <c r="CZ38" s="186"/>
      <c r="DA38" s="186">
        <v>0</v>
      </c>
      <c r="DB38" s="186">
        <v>0</v>
      </c>
      <c r="DC38" s="186">
        <v>0</v>
      </c>
      <c r="DD38" s="186">
        <v>0</v>
      </c>
      <c r="DE38" s="186">
        <v>0</v>
      </c>
      <c r="DF38" s="186">
        <v>0</v>
      </c>
      <c r="DG38" s="186">
        <v>0</v>
      </c>
      <c r="DH38" s="186">
        <v>0</v>
      </c>
      <c r="DI38" s="186">
        <v>0</v>
      </c>
      <c r="DJ38" s="186">
        <v>0</v>
      </c>
      <c r="DK38" s="186">
        <v>0</v>
      </c>
      <c r="DL38" s="183">
        <f t="shared" si="7"/>
        <v>0</v>
      </c>
      <c r="DM38" s="186"/>
      <c r="DN38" s="186">
        <v>0</v>
      </c>
      <c r="DO38" s="186">
        <v>0</v>
      </c>
      <c r="DP38" s="186">
        <v>0</v>
      </c>
      <c r="DQ38" s="186">
        <v>0</v>
      </c>
      <c r="DR38" s="186">
        <v>0</v>
      </c>
      <c r="DS38" s="186">
        <v>0</v>
      </c>
      <c r="DT38" s="186">
        <v>0</v>
      </c>
      <c r="DU38" s="186">
        <v>0</v>
      </c>
      <c r="DV38" s="186">
        <v>0</v>
      </c>
      <c r="DW38" s="186">
        <v>0</v>
      </c>
      <c r="DX38" s="186">
        <v>0</v>
      </c>
      <c r="DY38" s="183">
        <f t="shared" si="8"/>
        <v>0</v>
      </c>
      <c r="DZ38" s="182"/>
      <c r="EA38" s="187">
        <f t="shared" si="16"/>
        <v>393631</v>
      </c>
      <c r="EB38" s="187">
        <f t="shared" si="16"/>
        <v>384363</v>
      </c>
      <c r="EC38" s="187">
        <f t="shared" si="16"/>
        <v>418853</v>
      </c>
      <c r="ED38" s="182"/>
      <c r="EE38" s="187" t="str">
        <f t="shared" si="10"/>
        <v/>
      </c>
      <c r="EF38" s="184" t="str">
        <f t="shared" si="11"/>
        <v/>
      </c>
      <c r="EG38" s="184" t="str">
        <f t="shared" si="12"/>
        <v/>
      </c>
      <c r="EH38" s="182"/>
      <c r="EI38" s="186">
        <v>5588169</v>
      </c>
      <c r="EJ38" s="186">
        <v>4392913</v>
      </c>
      <c r="EK38" s="186">
        <v>1016646</v>
      </c>
      <c r="EL38" s="186">
        <v>0</v>
      </c>
      <c r="EM38" s="186">
        <v>178610</v>
      </c>
      <c r="EN38" s="183">
        <f t="shared" si="13"/>
        <v>5409559</v>
      </c>
      <c r="EO38" s="186">
        <v>5331986</v>
      </c>
      <c r="EP38" s="186">
        <v>4246131</v>
      </c>
      <c r="EQ38" s="186">
        <v>933915</v>
      </c>
      <c r="ER38" s="186">
        <v>0</v>
      </c>
      <c r="ES38" s="186">
        <v>151940</v>
      </c>
      <c r="ET38" s="183">
        <f t="shared" si="14"/>
        <v>5180046</v>
      </c>
      <c r="EU38" s="186">
        <v>5008891</v>
      </c>
      <c r="EV38" s="186">
        <v>3985205</v>
      </c>
      <c r="EW38" s="186">
        <v>874742</v>
      </c>
      <c r="EX38" s="186">
        <v>0</v>
      </c>
      <c r="EY38" s="186">
        <v>148944</v>
      </c>
      <c r="EZ38" s="183">
        <f t="shared" si="15"/>
        <v>4859947</v>
      </c>
    </row>
    <row r="39" spans="1:156" x14ac:dyDescent="0.2">
      <c r="A39" s="182" t="s">
        <v>411</v>
      </c>
      <c r="B39" s="185">
        <v>4057021</v>
      </c>
      <c r="C39" s="182" t="s">
        <v>274</v>
      </c>
      <c r="D39" s="186">
        <v>2534191</v>
      </c>
      <c r="E39" s="186">
        <v>0</v>
      </c>
      <c r="F39" s="186">
        <v>0</v>
      </c>
      <c r="G39" s="186">
        <v>2468330</v>
      </c>
      <c r="H39" s="186">
        <v>0</v>
      </c>
      <c r="I39" s="186">
        <v>0</v>
      </c>
      <c r="J39" s="186">
        <v>2312809</v>
      </c>
      <c r="K39" s="186">
        <v>0</v>
      </c>
      <c r="L39" s="186">
        <v>0</v>
      </c>
      <c r="M39" s="186"/>
      <c r="N39" s="186">
        <v>1149578</v>
      </c>
      <c r="O39" s="186">
        <v>126130</v>
      </c>
      <c r="P39" s="186">
        <v>333507</v>
      </c>
      <c r="Q39" s="186">
        <v>0</v>
      </c>
      <c r="R39" s="186">
        <v>51658</v>
      </c>
      <c r="S39" s="186">
        <v>0</v>
      </c>
      <c r="T39" s="186">
        <v>0</v>
      </c>
      <c r="U39" s="186">
        <v>0</v>
      </c>
      <c r="V39" s="186">
        <v>7386</v>
      </c>
      <c r="W39" s="186">
        <v>0</v>
      </c>
      <c r="X39" s="186">
        <v>117509</v>
      </c>
      <c r="Y39" s="183">
        <f t="shared" si="0"/>
        <v>748423</v>
      </c>
      <c r="Z39" s="186"/>
      <c r="AA39" s="186">
        <v>1124617</v>
      </c>
      <c r="AB39" s="186">
        <v>131744</v>
      </c>
      <c r="AC39" s="186">
        <v>304407</v>
      </c>
      <c r="AD39" s="186">
        <v>0</v>
      </c>
      <c r="AE39" s="186">
        <v>47309</v>
      </c>
      <c r="AF39" s="186">
        <v>0</v>
      </c>
      <c r="AG39" s="186">
        <v>0</v>
      </c>
      <c r="AH39" s="186">
        <v>0</v>
      </c>
      <c r="AI39" s="186">
        <v>40395</v>
      </c>
      <c r="AJ39" s="186">
        <v>0</v>
      </c>
      <c r="AK39" s="186">
        <v>114353</v>
      </c>
      <c r="AL39" s="183">
        <f t="shared" si="1"/>
        <v>705505</v>
      </c>
      <c r="AM39" s="186"/>
      <c r="AN39" s="186">
        <v>1041651</v>
      </c>
      <c r="AO39" s="186">
        <v>119275</v>
      </c>
      <c r="AP39" s="186">
        <v>266334</v>
      </c>
      <c r="AQ39" s="186">
        <v>0</v>
      </c>
      <c r="AR39" s="186">
        <v>42277</v>
      </c>
      <c r="AS39" s="186">
        <v>0</v>
      </c>
      <c r="AT39" s="186">
        <v>0</v>
      </c>
      <c r="AU39" s="186">
        <v>0</v>
      </c>
      <c r="AV39" s="186">
        <v>15424</v>
      </c>
      <c r="AW39" s="186">
        <v>0</v>
      </c>
      <c r="AX39" s="186">
        <v>112070</v>
      </c>
      <c r="AY39" s="183">
        <f t="shared" si="2"/>
        <v>715778</v>
      </c>
      <c r="AZ39" s="186"/>
      <c r="BA39" s="186">
        <v>0</v>
      </c>
      <c r="BB39" s="186">
        <v>0</v>
      </c>
      <c r="BC39" s="186">
        <v>0</v>
      </c>
      <c r="BD39" s="186">
        <v>0</v>
      </c>
      <c r="BE39" s="186">
        <v>0</v>
      </c>
      <c r="BF39" s="186">
        <v>0</v>
      </c>
      <c r="BG39" s="186">
        <v>0</v>
      </c>
      <c r="BH39" s="186">
        <v>0</v>
      </c>
      <c r="BI39" s="186">
        <v>0</v>
      </c>
      <c r="BJ39" s="186">
        <v>0</v>
      </c>
      <c r="BK39" s="186">
        <v>0</v>
      </c>
      <c r="BL39" s="183">
        <f t="shared" si="3"/>
        <v>0</v>
      </c>
      <c r="BM39" s="186"/>
      <c r="BN39" s="186">
        <v>0</v>
      </c>
      <c r="BO39" s="186">
        <v>0</v>
      </c>
      <c r="BP39" s="186">
        <v>0</v>
      </c>
      <c r="BQ39" s="186">
        <v>0</v>
      </c>
      <c r="BR39" s="186">
        <v>0</v>
      </c>
      <c r="BS39" s="186">
        <v>0</v>
      </c>
      <c r="BT39" s="186">
        <v>0</v>
      </c>
      <c r="BU39" s="186">
        <v>0</v>
      </c>
      <c r="BV39" s="186">
        <v>0</v>
      </c>
      <c r="BW39" s="186">
        <v>0</v>
      </c>
      <c r="BX39" s="186">
        <v>0</v>
      </c>
      <c r="BY39" s="183">
        <f t="shared" si="4"/>
        <v>0</v>
      </c>
      <c r="BZ39" s="186"/>
      <c r="CA39" s="186">
        <v>0</v>
      </c>
      <c r="CB39" s="186">
        <v>0</v>
      </c>
      <c r="CC39" s="186">
        <v>0</v>
      </c>
      <c r="CD39" s="186">
        <v>0</v>
      </c>
      <c r="CE39" s="186">
        <v>0</v>
      </c>
      <c r="CF39" s="186">
        <v>0</v>
      </c>
      <c r="CG39" s="186">
        <v>0</v>
      </c>
      <c r="CH39" s="186">
        <v>0</v>
      </c>
      <c r="CI39" s="186">
        <v>0</v>
      </c>
      <c r="CJ39" s="186">
        <v>0</v>
      </c>
      <c r="CK39" s="186">
        <v>0</v>
      </c>
      <c r="CL39" s="183">
        <f t="shared" si="5"/>
        <v>0</v>
      </c>
      <c r="CM39" s="186"/>
      <c r="CN39" s="186">
        <v>0</v>
      </c>
      <c r="CO39" s="186">
        <v>0</v>
      </c>
      <c r="CP39" s="186">
        <v>0</v>
      </c>
      <c r="CQ39" s="186">
        <v>0</v>
      </c>
      <c r="CR39" s="186">
        <v>0</v>
      </c>
      <c r="CS39" s="186">
        <v>0</v>
      </c>
      <c r="CT39" s="186">
        <v>0</v>
      </c>
      <c r="CU39" s="186">
        <v>0</v>
      </c>
      <c r="CV39" s="186">
        <v>0</v>
      </c>
      <c r="CW39" s="186">
        <v>0</v>
      </c>
      <c r="CX39" s="186">
        <v>0</v>
      </c>
      <c r="CY39" s="183">
        <f t="shared" si="6"/>
        <v>0</v>
      </c>
      <c r="CZ39" s="186"/>
      <c r="DA39" s="186">
        <v>0</v>
      </c>
      <c r="DB39" s="186">
        <v>0</v>
      </c>
      <c r="DC39" s="186">
        <v>0</v>
      </c>
      <c r="DD39" s="186">
        <v>0</v>
      </c>
      <c r="DE39" s="186">
        <v>0</v>
      </c>
      <c r="DF39" s="186">
        <v>0</v>
      </c>
      <c r="DG39" s="186">
        <v>0</v>
      </c>
      <c r="DH39" s="186">
        <v>0</v>
      </c>
      <c r="DI39" s="186">
        <v>0</v>
      </c>
      <c r="DJ39" s="186">
        <v>0</v>
      </c>
      <c r="DK39" s="186">
        <v>0</v>
      </c>
      <c r="DL39" s="183">
        <f t="shared" si="7"/>
        <v>0</v>
      </c>
      <c r="DM39" s="186"/>
      <c r="DN39" s="186">
        <v>0</v>
      </c>
      <c r="DO39" s="186">
        <v>0</v>
      </c>
      <c r="DP39" s="186">
        <v>0</v>
      </c>
      <c r="DQ39" s="186">
        <v>0</v>
      </c>
      <c r="DR39" s="186">
        <v>0</v>
      </c>
      <c r="DS39" s="186">
        <v>0</v>
      </c>
      <c r="DT39" s="186">
        <v>0</v>
      </c>
      <c r="DU39" s="186">
        <v>0</v>
      </c>
      <c r="DV39" s="186">
        <v>0</v>
      </c>
      <c r="DW39" s="186">
        <v>0</v>
      </c>
      <c r="DX39" s="186">
        <v>0</v>
      </c>
      <c r="DY39" s="183">
        <f t="shared" si="8"/>
        <v>0</v>
      </c>
      <c r="DZ39" s="182"/>
      <c r="EA39" s="187">
        <f t="shared" si="16"/>
        <v>748423</v>
      </c>
      <c r="EB39" s="187">
        <f t="shared" si="16"/>
        <v>705505</v>
      </c>
      <c r="EC39" s="187">
        <f t="shared" si="16"/>
        <v>715778</v>
      </c>
      <c r="ED39" s="182"/>
      <c r="EE39" s="187" t="str">
        <f t="shared" si="10"/>
        <v/>
      </c>
      <c r="EF39" s="184" t="str">
        <f t="shared" si="11"/>
        <v/>
      </c>
      <c r="EG39" s="184" t="str">
        <f t="shared" si="12"/>
        <v/>
      </c>
      <c r="EH39" s="182"/>
      <c r="EI39" s="186">
        <v>10588358</v>
      </c>
      <c r="EJ39" s="186">
        <v>10588358</v>
      </c>
      <c r="EK39" s="186">
        <v>0</v>
      </c>
      <c r="EL39" s="186">
        <v>0</v>
      </c>
      <c r="EM39" s="186">
        <v>0</v>
      </c>
      <c r="EN39" s="183">
        <f t="shared" si="13"/>
        <v>10588358</v>
      </c>
      <c r="EO39" s="186">
        <v>9817936</v>
      </c>
      <c r="EP39" s="186">
        <v>9817936</v>
      </c>
      <c r="EQ39" s="186">
        <v>0</v>
      </c>
      <c r="ER39" s="186">
        <v>0</v>
      </c>
      <c r="ES39" s="186">
        <v>0</v>
      </c>
      <c r="ET39" s="183">
        <f t="shared" si="14"/>
        <v>9817936</v>
      </c>
      <c r="EU39" s="186">
        <v>8944249</v>
      </c>
      <c r="EV39" s="186">
        <v>8944249</v>
      </c>
      <c r="EW39" s="186">
        <v>0</v>
      </c>
      <c r="EX39" s="186">
        <v>0</v>
      </c>
      <c r="EY39" s="186">
        <v>0</v>
      </c>
      <c r="EZ39" s="183">
        <f t="shared" si="15"/>
        <v>8944249</v>
      </c>
    </row>
    <row r="40" spans="1:156" x14ac:dyDescent="0.2">
      <c r="A40" s="182" t="s">
        <v>412</v>
      </c>
      <c r="B40" s="185">
        <v>4057095</v>
      </c>
      <c r="C40" s="182" t="s">
        <v>280</v>
      </c>
      <c r="D40" s="186">
        <v>4506775</v>
      </c>
      <c r="E40" s="186">
        <v>1882506</v>
      </c>
      <c r="F40" s="186">
        <v>0</v>
      </c>
      <c r="G40" s="186">
        <v>4459814</v>
      </c>
      <c r="H40" s="186">
        <v>1790946</v>
      </c>
      <c r="I40" s="186">
        <v>0</v>
      </c>
      <c r="J40" s="186">
        <v>4364037</v>
      </c>
      <c r="K40" s="186">
        <v>1747800</v>
      </c>
      <c r="L40" s="186">
        <v>0</v>
      </c>
      <c r="M40" s="186"/>
      <c r="N40" s="186">
        <v>2396123</v>
      </c>
      <c r="O40" s="186">
        <v>175776</v>
      </c>
      <c r="P40" s="186">
        <v>582122</v>
      </c>
      <c r="Q40" s="186">
        <v>0</v>
      </c>
      <c r="R40" s="186">
        <v>15672</v>
      </c>
      <c r="S40" s="186">
        <v>0</v>
      </c>
      <c r="T40" s="186">
        <v>1011</v>
      </c>
      <c r="U40" s="186">
        <v>0</v>
      </c>
      <c r="V40" s="186">
        <v>22655</v>
      </c>
      <c r="W40" s="186">
        <v>0</v>
      </c>
      <c r="X40" s="186">
        <v>38152</v>
      </c>
      <c r="Y40" s="183">
        <f t="shared" si="0"/>
        <v>1275264</v>
      </c>
      <c r="Z40" s="186"/>
      <c r="AA40" s="186">
        <v>2312411</v>
      </c>
      <c r="AB40" s="186">
        <v>199851</v>
      </c>
      <c r="AC40" s="186">
        <v>541351</v>
      </c>
      <c r="AD40" s="186">
        <v>0</v>
      </c>
      <c r="AE40" s="186">
        <v>12392</v>
      </c>
      <c r="AF40" s="186">
        <v>0</v>
      </c>
      <c r="AG40" s="186">
        <v>1011</v>
      </c>
      <c r="AH40" s="186">
        <v>0</v>
      </c>
      <c r="AI40" s="186">
        <v>23855</v>
      </c>
      <c r="AJ40" s="186">
        <v>0</v>
      </c>
      <c r="AK40" s="186">
        <v>35218</v>
      </c>
      <c r="AL40" s="183">
        <f t="shared" si="1"/>
        <v>1333725</v>
      </c>
      <c r="AM40" s="186"/>
      <c r="AN40" s="186">
        <v>2231911</v>
      </c>
      <c r="AO40" s="186">
        <v>180761</v>
      </c>
      <c r="AP40" s="186">
        <v>486288</v>
      </c>
      <c r="AQ40" s="186">
        <v>0</v>
      </c>
      <c r="AR40" s="186">
        <v>9241</v>
      </c>
      <c r="AS40" s="186">
        <v>0</v>
      </c>
      <c r="AT40" s="186">
        <v>1017</v>
      </c>
      <c r="AU40" s="186">
        <v>0</v>
      </c>
      <c r="AV40" s="186">
        <v>23326</v>
      </c>
      <c r="AW40" s="186">
        <v>0</v>
      </c>
      <c r="AX40" s="186">
        <v>34535</v>
      </c>
      <c r="AY40" s="183">
        <f t="shared" si="2"/>
        <v>1396958</v>
      </c>
      <c r="AZ40" s="186"/>
      <c r="BA40" s="186">
        <v>1270310</v>
      </c>
      <c r="BB40" s="186">
        <v>37075</v>
      </c>
      <c r="BC40" s="186">
        <v>166474</v>
      </c>
      <c r="BD40" s="186">
        <v>0</v>
      </c>
      <c r="BE40" s="186">
        <v>11774</v>
      </c>
      <c r="BF40" s="186">
        <v>0</v>
      </c>
      <c r="BG40" s="186">
        <v>0</v>
      </c>
      <c r="BH40" s="186">
        <v>0</v>
      </c>
      <c r="BI40" s="186">
        <v>51237</v>
      </c>
      <c r="BJ40" s="186">
        <v>0</v>
      </c>
      <c r="BK40" s="186">
        <v>17712</v>
      </c>
      <c r="BL40" s="183">
        <f t="shared" si="3"/>
        <v>327924</v>
      </c>
      <c r="BM40" s="186"/>
      <c r="BN40" s="186">
        <v>1197349</v>
      </c>
      <c r="BO40" s="186">
        <v>37620</v>
      </c>
      <c r="BP40" s="186">
        <v>151969</v>
      </c>
      <c r="BQ40" s="186">
        <v>0</v>
      </c>
      <c r="BR40" s="186">
        <v>9446</v>
      </c>
      <c r="BS40" s="186">
        <v>0</v>
      </c>
      <c r="BT40" s="186">
        <v>0</v>
      </c>
      <c r="BU40" s="186">
        <v>0</v>
      </c>
      <c r="BV40" s="186">
        <v>54665</v>
      </c>
      <c r="BW40" s="186">
        <v>0</v>
      </c>
      <c r="BX40" s="186">
        <v>19175</v>
      </c>
      <c r="BY40" s="183">
        <f t="shared" si="4"/>
        <v>320722</v>
      </c>
      <c r="BZ40" s="186"/>
      <c r="CA40" s="186">
        <v>1162441</v>
      </c>
      <c r="CB40" s="186">
        <v>39208</v>
      </c>
      <c r="CC40" s="186">
        <v>134631</v>
      </c>
      <c r="CD40" s="186">
        <v>0</v>
      </c>
      <c r="CE40" s="186">
        <v>7176</v>
      </c>
      <c r="CF40" s="186">
        <v>0</v>
      </c>
      <c r="CG40" s="186">
        <v>0</v>
      </c>
      <c r="CH40" s="186">
        <v>0</v>
      </c>
      <c r="CI40" s="186">
        <v>29385</v>
      </c>
      <c r="CJ40" s="186">
        <v>0</v>
      </c>
      <c r="CK40" s="186">
        <v>18038</v>
      </c>
      <c r="CL40" s="183">
        <f t="shared" si="5"/>
        <v>356921</v>
      </c>
      <c r="CM40" s="186"/>
      <c r="CN40" s="186">
        <v>0</v>
      </c>
      <c r="CO40" s="186">
        <v>0</v>
      </c>
      <c r="CP40" s="186">
        <v>0</v>
      </c>
      <c r="CQ40" s="186">
        <v>0</v>
      </c>
      <c r="CR40" s="186">
        <v>0</v>
      </c>
      <c r="CS40" s="186">
        <v>0</v>
      </c>
      <c r="CT40" s="186">
        <v>0</v>
      </c>
      <c r="CU40" s="186">
        <v>0</v>
      </c>
      <c r="CV40" s="186">
        <v>0</v>
      </c>
      <c r="CW40" s="186">
        <v>0</v>
      </c>
      <c r="CX40" s="186">
        <v>0</v>
      </c>
      <c r="CY40" s="183">
        <f t="shared" si="6"/>
        <v>0</v>
      </c>
      <c r="CZ40" s="186"/>
      <c r="DA40" s="186">
        <v>0</v>
      </c>
      <c r="DB40" s="186">
        <v>0</v>
      </c>
      <c r="DC40" s="186">
        <v>0</v>
      </c>
      <c r="DD40" s="186">
        <v>0</v>
      </c>
      <c r="DE40" s="186">
        <v>0</v>
      </c>
      <c r="DF40" s="186">
        <v>0</v>
      </c>
      <c r="DG40" s="186">
        <v>0</v>
      </c>
      <c r="DH40" s="186">
        <v>0</v>
      </c>
      <c r="DI40" s="186">
        <v>0</v>
      </c>
      <c r="DJ40" s="186">
        <v>0</v>
      </c>
      <c r="DK40" s="186">
        <v>0</v>
      </c>
      <c r="DL40" s="183">
        <f t="shared" si="7"/>
        <v>0</v>
      </c>
      <c r="DM40" s="186"/>
      <c r="DN40" s="186">
        <v>0</v>
      </c>
      <c r="DO40" s="186">
        <v>0</v>
      </c>
      <c r="DP40" s="186">
        <v>0</v>
      </c>
      <c r="DQ40" s="186">
        <v>0</v>
      </c>
      <c r="DR40" s="186">
        <v>0</v>
      </c>
      <c r="DS40" s="186">
        <v>0</v>
      </c>
      <c r="DT40" s="186">
        <v>0</v>
      </c>
      <c r="DU40" s="186">
        <v>0</v>
      </c>
      <c r="DV40" s="186">
        <v>0</v>
      </c>
      <c r="DW40" s="186">
        <v>0</v>
      </c>
      <c r="DX40" s="186">
        <v>0</v>
      </c>
      <c r="DY40" s="183">
        <f t="shared" si="8"/>
        <v>0</v>
      </c>
      <c r="DZ40" s="182"/>
      <c r="EA40" s="187">
        <f t="shared" si="16"/>
        <v>1603188</v>
      </c>
      <c r="EB40" s="187">
        <f t="shared" si="16"/>
        <v>1654447</v>
      </c>
      <c r="EC40" s="187">
        <f t="shared" si="16"/>
        <v>1753879</v>
      </c>
      <c r="ED40" s="182"/>
      <c r="EE40" s="187" t="str">
        <f t="shared" si="10"/>
        <v/>
      </c>
      <c r="EF40" s="184" t="str">
        <f t="shared" si="11"/>
        <v/>
      </c>
      <c r="EG40" s="184" t="str">
        <f t="shared" si="12"/>
        <v/>
      </c>
      <c r="EH40" s="182"/>
      <c r="EI40" s="186">
        <v>27625081</v>
      </c>
      <c r="EJ40" s="186">
        <v>20861095</v>
      </c>
      <c r="EK40" s="186">
        <v>6391230</v>
      </c>
      <c r="EL40" s="186">
        <v>97505</v>
      </c>
      <c r="EM40" s="186">
        <v>275253</v>
      </c>
      <c r="EN40" s="183">
        <f t="shared" si="13"/>
        <v>27349830</v>
      </c>
      <c r="EO40" s="186">
        <v>25615739</v>
      </c>
      <c r="EP40" s="186">
        <v>19482544</v>
      </c>
      <c r="EQ40" s="186">
        <v>5847087</v>
      </c>
      <c r="ER40" s="186">
        <v>0</v>
      </c>
      <c r="ES40" s="186">
        <v>286109</v>
      </c>
      <c r="ET40" s="183">
        <f t="shared" si="14"/>
        <v>25329631</v>
      </c>
      <c r="EU40" s="186">
        <v>23229602</v>
      </c>
      <c r="EV40" s="186">
        <v>17803922</v>
      </c>
      <c r="EW40" s="186">
        <v>5105032</v>
      </c>
      <c r="EX40" s="186">
        <v>0</v>
      </c>
      <c r="EY40" s="186">
        <v>320648</v>
      </c>
      <c r="EZ40" s="183">
        <f t="shared" si="15"/>
        <v>22908954</v>
      </c>
    </row>
    <row r="41" spans="1:156" x14ac:dyDescent="0.2">
      <c r="A41" s="182" t="s">
        <v>413</v>
      </c>
      <c r="B41" s="185">
        <v>4122218</v>
      </c>
      <c r="C41" s="182" t="s">
        <v>312</v>
      </c>
      <c r="D41" s="186" t="s">
        <v>92</v>
      </c>
      <c r="E41" s="186">
        <f>H41</f>
        <v>148416</v>
      </c>
      <c r="F41" s="186" t="s">
        <v>92</v>
      </c>
      <c r="G41" s="186">
        <v>0</v>
      </c>
      <c r="H41" s="186">
        <v>148416</v>
      </c>
      <c r="I41" s="186">
        <v>0</v>
      </c>
      <c r="J41" s="186">
        <v>0</v>
      </c>
      <c r="K41" s="186">
        <v>138566</v>
      </c>
      <c r="L41" s="186">
        <v>0</v>
      </c>
      <c r="M41" s="186"/>
      <c r="N41" s="186" t="s">
        <v>92</v>
      </c>
      <c r="O41" s="186" t="s">
        <v>92</v>
      </c>
      <c r="P41" s="186" t="s">
        <v>92</v>
      </c>
      <c r="Q41" s="186" t="s">
        <v>92</v>
      </c>
      <c r="R41" s="186" t="s">
        <v>92</v>
      </c>
      <c r="S41" s="186" t="s">
        <v>92</v>
      </c>
      <c r="T41" s="186" t="s">
        <v>92</v>
      </c>
      <c r="U41" s="186" t="s">
        <v>92</v>
      </c>
      <c r="V41" s="186" t="s">
        <v>92</v>
      </c>
      <c r="W41" s="186" t="s">
        <v>92</v>
      </c>
      <c r="X41" s="186" t="s">
        <v>92</v>
      </c>
      <c r="Y41" s="183">
        <f t="shared" si="0"/>
        <v>0</v>
      </c>
      <c r="Z41" s="186"/>
      <c r="AA41" s="186" t="s">
        <v>92</v>
      </c>
      <c r="AB41" s="186" t="s">
        <v>92</v>
      </c>
      <c r="AC41" s="186" t="s">
        <v>92</v>
      </c>
      <c r="AD41" s="186" t="s">
        <v>92</v>
      </c>
      <c r="AE41" s="186" t="s">
        <v>92</v>
      </c>
      <c r="AF41" s="186" t="s">
        <v>92</v>
      </c>
      <c r="AG41" s="186" t="s">
        <v>92</v>
      </c>
      <c r="AH41" s="186" t="s">
        <v>92</v>
      </c>
      <c r="AI41" s="186" t="s">
        <v>92</v>
      </c>
      <c r="AJ41" s="186" t="s">
        <v>92</v>
      </c>
      <c r="AK41" s="186" t="s">
        <v>92</v>
      </c>
      <c r="AL41" s="183">
        <f t="shared" si="1"/>
        <v>0</v>
      </c>
      <c r="AM41" s="186"/>
      <c r="AN41" s="186" t="s">
        <v>92</v>
      </c>
      <c r="AO41" s="186" t="s">
        <v>92</v>
      </c>
      <c r="AP41" s="186" t="s">
        <v>92</v>
      </c>
      <c r="AQ41" s="186" t="s">
        <v>92</v>
      </c>
      <c r="AR41" s="186" t="s">
        <v>92</v>
      </c>
      <c r="AS41" s="186" t="s">
        <v>92</v>
      </c>
      <c r="AT41" s="186" t="s">
        <v>92</v>
      </c>
      <c r="AU41" s="186" t="s">
        <v>92</v>
      </c>
      <c r="AV41" s="186" t="s">
        <v>92</v>
      </c>
      <c r="AW41" s="186" t="s">
        <v>92</v>
      </c>
      <c r="AX41" s="186" t="s">
        <v>92</v>
      </c>
      <c r="AY41" s="183">
        <f t="shared" si="2"/>
        <v>0</v>
      </c>
      <c r="AZ41" s="186"/>
      <c r="BA41" s="186" t="s">
        <v>92</v>
      </c>
      <c r="BB41" s="186" t="s">
        <v>92</v>
      </c>
      <c r="BC41" s="186" t="s">
        <v>92</v>
      </c>
      <c r="BD41" s="186" t="s">
        <v>92</v>
      </c>
      <c r="BE41" s="186" t="s">
        <v>92</v>
      </c>
      <c r="BF41" s="186" t="s">
        <v>92</v>
      </c>
      <c r="BG41" s="186" t="s">
        <v>92</v>
      </c>
      <c r="BH41" s="186" t="s">
        <v>92</v>
      </c>
      <c r="BI41" s="186" t="s">
        <v>92</v>
      </c>
      <c r="BJ41" s="186" t="s">
        <v>92</v>
      </c>
      <c r="BK41" s="186" t="s">
        <v>92</v>
      </c>
      <c r="BL41" s="183">
        <f>BY41</f>
        <v>26197</v>
      </c>
      <c r="BM41" s="186"/>
      <c r="BN41" s="186">
        <v>100165</v>
      </c>
      <c r="BO41" s="186">
        <v>3541</v>
      </c>
      <c r="BP41" s="186">
        <v>10415</v>
      </c>
      <c r="BQ41" s="186" t="s">
        <v>92</v>
      </c>
      <c r="BR41" s="186">
        <v>2124</v>
      </c>
      <c r="BS41" s="186">
        <v>0</v>
      </c>
      <c r="BT41" s="186">
        <v>0</v>
      </c>
      <c r="BU41" s="186">
        <v>0</v>
      </c>
      <c r="BV41" s="186">
        <v>0</v>
      </c>
      <c r="BW41" s="186">
        <v>0</v>
      </c>
      <c r="BX41" s="186">
        <v>5974</v>
      </c>
      <c r="BY41" s="183">
        <f t="shared" si="4"/>
        <v>26197</v>
      </c>
      <c r="BZ41" s="186"/>
      <c r="CA41" s="186">
        <v>96737</v>
      </c>
      <c r="CB41" s="186">
        <v>2215</v>
      </c>
      <c r="CC41" s="186">
        <v>10016</v>
      </c>
      <c r="CD41" s="186" t="s">
        <v>92</v>
      </c>
      <c r="CE41" s="186">
        <v>1695</v>
      </c>
      <c r="CF41" s="186">
        <v>0</v>
      </c>
      <c r="CG41" s="186">
        <v>0</v>
      </c>
      <c r="CH41" s="186">
        <v>0</v>
      </c>
      <c r="CI41" s="186">
        <v>0</v>
      </c>
      <c r="CJ41" s="186">
        <v>0</v>
      </c>
      <c r="CK41" s="186">
        <v>5785</v>
      </c>
      <c r="CL41" s="183">
        <f t="shared" si="5"/>
        <v>22118</v>
      </c>
      <c r="CM41" s="186"/>
      <c r="CN41" s="186" t="s">
        <v>92</v>
      </c>
      <c r="CO41" s="186" t="s">
        <v>92</v>
      </c>
      <c r="CP41" s="186" t="s">
        <v>92</v>
      </c>
      <c r="CQ41" s="186" t="s">
        <v>92</v>
      </c>
      <c r="CR41" s="186" t="s">
        <v>92</v>
      </c>
      <c r="CS41" s="186" t="s">
        <v>92</v>
      </c>
      <c r="CT41" s="186" t="s">
        <v>92</v>
      </c>
      <c r="CU41" s="186" t="s">
        <v>92</v>
      </c>
      <c r="CV41" s="186" t="s">
        <v>92</v>
      </c>
      <c r="CW41" s="186" t="s">
        <v>92</v>
      </c>
      <c r="CX41" s="186" t="s">
        <v>92</v>
      </c>
      <c r="CY41" s="183">
        <f t="shared" si="6"/>
        <v>0</v>
      </c>
      <c r="CZ41" s="186"/>
      <c r="DA41" s="186" t="s">
        <v>92</v>
      </c>
      <c r="DB41" s="186" t="s">
        <v>92</v>
      </c>
      <c r="DC41" s="186" t="s">
        <v>92</v>
      </c>
      <c r="DD41" s="186" t="s">
        <v>92</v>
      </c>
      <c r="DE41" s="186" t="s">
        <v>92</v>
      </c>
      <c r="DF41" s="186" t="s">
        <v>92</v>
      </c>
      <c r="DG41" s="186" t="s">
        <v>92</v>
      </c>
      <c r="DH41" s="186" t="s">
        <v>92</v>
      </c>
      <c r="DI41" s="186" t="s">
        <v>92</v>
      </c>
      <c r="DJ41" s="186" t="s">
        <v>92</v>
      </c>
      <c r="DK41" s="186" t="s">
        <v>92</v>
      </c>
      <c r="DL41" s="183">
        <f t="shared" si="7"/>
        <v>0</v>
      </c>
      <c r="DM41" s="186"/>
      <c r="DN41" s="186" t="s">
        <v>92</v>
      </c>
      <c r="DO41" s="186" t="s">
        <v>92</v>
      </c>
      <c r="DP41" s="186" t="s">
        <v>92</v>
      </c>
      <c r="DQ41" s="186" t="s">
        <v>92</v>
      </c>
      <c r="DR41" s="186" t="s">
        <v>92</v>
      </c>
      <c r="DS41" s="186" t="s">
        <v>92</v>
      </c>
      <c r="DT41" s="186" t="s">
        <v>92</v>
      </c>
      <c r="DU41" s="186" t="s">
        <v>92</v>
      </c>
      <c r="DV41" s="186" t="s">
        <v>92</v>
      </c>
      <c r="DW41" s="186" t="s">
        <v>92</v>
      </c>
      <c r="DX41" s="186" t="s">
        <v>92</v>
      </c>
      <c r="DY41" s="183">
        <f t="shared" si="8"/>
        <v>0</v>
      </c>
      <c r="DZ41" s="182"/>
      <c r="EA41" s="187">
        <f t="shared" si="16"/>
        <v>26197</v>
      </c>
      <c r="EB41" s="187">
        <f t="shared" si="16"/>
        <v>26197</v>
      </c>
      <c r="EC41" s="187">
        <f t="shared" si="16"/>
        <v>22118</v>
      </c>
      <c r="ED41" s="182"/>
      <c r="EE41" s="187" t="str">
        <f t="shared" si="10"/>
        <v>ERROR</v>
      </c>
      <c r="EF41" s="184" t="str">
        <f t="shared" si="11"/>
        <v/>
      </c>
      <c r="EG41" s="184" t="str">
        <f t="shared" si="12"/>
        <v/>
      </c>
      <c r="EH41" s="189"/>
      <c r="EI41" s="186" t="s">
        <v>92</v>
      </c>
      <c r="EJ41" s="186" t="s">
        <v>92</v>
      </c>
      <c r="EK41" s="186">
        <f>EQ41</f>
        <v>247079</v>
      </c>
      <c r="EL41" s="186" t="s">
        <v>92</v>
      </c>
      <c r="EM41" s="186" t="s">
        <v>92</v>
      </c>
      <c r="EN41" s="183">
        <f t="shared" si="13"/>
        <v>247079</v>
      </c>
      <c r="EO41" s="186" t="s">
        <v>92</v>
      </c>
      <c r="EP41" s="186" t="s">
        <v>92</v>
      </c>
      <c r="EQ41" s="186">
        <v>247079</v>
      </c>
      <c r="ER41" s="186" t="s">
        <v>92</v>
      </c>
      <c r="ES41" s="186" t="s">
        <v>92</v>
      </c>
      <c r="ET41" s="183">
        <f t="shared" si="14"/>
        <v>247079</v>
      </c>
      <c r="EU41" s="186" t="s">
        <v>92</v>
      </c>
      <c r="EV41" s="186" t="s">
        <v>92</v>
      </c>
      <c r="EW41" s="186">
        <v>224049</v>
      </c>
      <c r="EX41" s="186" t="s">
        <v>92</v>
      </c>
      <c r="EY41" s="186" t="s">
        <v>92</v>
      </c>
      <c r="EZ41" s="183">
        <f t="shared" si="15"/>
        <v>224049</v>
      </c>
    </row>
    <row r="42" spans="1:156" x14ac:dyDescent="0.2">
      <c r="A42" s="182" t="s">
        <v>414</v>
      </c>
      <c r="B42" s="185">
        <v>4140737</v>
      </c>
      <c r="C42" s="182" t="s">
        <v>312</v>
      </c>
      <c r="D42" s="186" t="s">
        <v>92</v>
      </c>
      <c r="E42" s="186">
        <f t="shared" ref="E42:E46" si="17">H42</f>
        <v>273279</v>
      </c>
      <c r="F42" s="186" t="s">
        <v>92</v>
      </c>
      <c r="G42" s="186">
        <v>0</v>
      </c>
      <c r="H42" s="186">
        <v>273279</v>
      </c>
      <c r="I42" s="186">
        <v>0</v>
      </c>
      <c r="J42" s="186">
        <v>0</v>
      </c>
      <c r="K42" s="186">
        <v>257013</v>
      </c>
      <c r="L42" s="186">
        <v>0</v>
      </c>
      <c r="M42" s="186"/>
      <c r="N42" s="186" t="s">
        <v>92</v>
      </c>
      <c r="O42" s="186" t="s">
        <v>92</v>
      </c>
      <c r="P42" s="186" t="s">
        <v>92</v>
      </c>
      <c r="Q42" s="186" t="s">
        <v>92</v>
      </c>
      <c r="R42" s="186" t="s">
        <v>92</v>
      </c>
      <c r="S42" s="186" t="s">
        <v>92</v>
      </c>
      <c r="T42" s="186" t="s">
        <v>92</v>
      </c>
      <c r="U42" s="186" t="s">
        <v>92</v>
      </c>
      <c r="V42" s="186" t="s">
        <v>92</v>
      </c>
      <c r="W42" s="186" t="s">
        <v>92</v>
      </c>
      <c r="X42" s="186" t="s">
        <v>92</v>
      </c>
      <c r="Y42" s="183">
        <f t="shared" si="0"/>
        <v>0</v>
      </c>
      <c r="Z42" s="186"/>
      <c r="AA42" s="186" t="s">
        <v>92</v>
      </c>
      <c r="AB42" s="186" t="s">
        <v>92</v>
      </c>
      <c r="AC42" s="186" t="s">
        <v>92</v>
      </c>
      <c r="AD42" s="186" t="s">
        <v>92</v>
      </c>
      <c r="AE42" s="186" t="s">
        <v>92</v>
      </c>
      <c r="AF42" s="186" t="s">
        <v>92</v>
      </c>
      <c r="AG42" s="186" t="s">
        <v>92</v>
      </c>
      <c r="AH42" s="186" t="s">
        <v>92</v>
      </c>
      <c r="AI42" s="186" t="s">
        <v>92</v>
      </c>
      <c r="AJ42" s="186" t="s">
        <v>92</v>
      </c>
      <c r="AK42" s="186" t="s">
        <v>92</v>
      </c>
      <c r="AL42" s="183">
        <f t="shared" si="1"/>
        <v>0</v>
      </c>
      <c r="AM42" s="186"/>
      <c r="AN42" s="186" t="s">
        <v>92</v>
      </c>
      <c r="AO42" s="186" t="s">
        <v>92</v>
      </c>
      <c r="AP42" s="186" t="s">
        <v>92</v>
      </c>
      <c r="AQ42" s="186" t="s">
        <v>92</v>
      </c>
      <c r="AR42" s="186" t="s">
        <v>92</v>
      </c>
      <c r="AS42" s="186" t="s">
        <v>92</v>
      </c>
      <c r="AT42" s="186" t="s">
        <v>92</v>
      </c>
      <c r="AU42" s="186" t="s">
        <v>92</v>
      </c>
      <c r="AV42" s="186" t="s">
        <v>92</v>
      </c>
      <c r="AW42" s="186" t="s">
        <v>92</v>
      </c>
      <c r="AX42" s="186" t="s">
        <v>92</v>
      </c>
      <c r="AY42" s="183">
        <f t="shared" si="2"/>
        <v>0</v>
      </c>
      <c r="AZ42" s="186"/>
      <c r="BA42" s="186" t="s">
        <v>92</v>
      </c>
      <c r="BB42" s="186" t="s">
        <v>92</v>
      </c>
      <c r="BC42" s="186" t="s">
        <v>92</v>
      </c>
      <c r="BD42" s="186" t="s">
        <v>92</v>
      </c>
      <c r="BE42" s="186" t="s">
        <v>92</v>
      </c>
      <c r="BF42" s="186" t="s">
        <v>92</v>
      </c>
      <c r="BG42" s="186" t="s">
        <v>92</v>
      </c>
      <c r="BH42" s="186" t="s">
        <v>92</v>
      </c>
      <c r="BI42" s="186" t="s">
        <v>92</v>
      </c>
      <c r="BJ42" s="186" t="s">
        <v>92</v>
      </c>
      <c r="BK42" s="186" t="s">
        <v>92</v>
      </c>
      <c r="BL42" s="183">
        <f>BY42</f>
        <v>37547</v>
      </c>
      <c r="BM42" s="186"/>
      <c r="BN42" s="186">
        <v>196226</v>
      </c>
      <c r="BO42" s="186">
        <v>4455</v>
      </c>
      <c r="BP42" s="186">
        <v>9794</v>
      </c>
      <c r="BQ42" s="186" t="s">
        <v>92</v>
      </c>
      <c r="BR42" s="186">
        <v>1756</v>
      </c>
      <c r="BS42" s="186">
        <v>0</v>
      </c>
      <c r="BT42" s="186">
        <v>0</v>
      </c>
      <c r="BU42" s="186">
        <v>15277</v>
      </c>
      <c r="BV42" s="186">
        <v>0</v>
      </c>
      <c r="BW42" s="186">
        <v>0</v>
      </c>
      <c r="BX42" s="186">
        <v>8224</v>
      </c>
      <c r="BY42" s="183">
        <f t="shared" si="4"/>
        <v>37547</v>
      </c>
      <c r="BZ42" s="186"/>
      <c r="CA42" s="186">
        <v>184358</v>
      </c>
      <c r="CB42" s="186">
        <v>4472</v>
      </c>
      <c r="CC42" s="186">
        <v>11756</v>
      </c>
      <c r="CD42" s="186" t="s">
        <v>92</v>
      </c>
      <c r="CE42" s="186">
        <v>1316</v>
      </c>
      <c r="CF42" s="186">
        <v>0</v>
      </c>
      <c r="CG42" s="186">
        <v>0</v>
      </c>
      <c r="CH42" s="186">
        <v>15479</v>
      </c>
      <c r="CI42" s="186">
        <v>0</v>
      </c>
      <c r="CJ42" s="186">
        <v>0</v>
      </c>
      <c r="CK42" s="186">
        <v>12322</v>
      </c>
      <c r="CL42" s="183">
        <f t="shared" si="5"/>
        <v>27310</v>
      </c>
      <c r="CM42" s="186"/>
      <c r="CN42" s="186" t="s">
        <v>92</v>
      </c>
      <c r="CO42" s="186" t="s">
        <v>92</v>
      </c>
      <c r="CP42" s="186" t="s">
        <v>92</v>
      </c>
      <c r="CQ42" s="186" t="s">
        <v>92</v>
      </c>
      <c r="CR42" s="186" t="s">
        <v>92</v>
      </c>
      <c r="CS42" s="186" t="s">
        <v>92</v>
      </c>
      <c r="CT42" s="186" t="s">
        <v>92</v>
      </c>
      <c r="CU42" s="186" t="s">
        <v>92</v>
      </c>
      <c r="CV42" s="186" t="s">
        <v>92</v>
      </c>
      <c r="CW42" s="186" t="s">
        <v>92</v>
      </c>
      <c r="CX42" s="186" t="s">
        <v>92</v>
      </c>
      <c r="CY42" s="183">
        <f t="shared" si="6"/>
        <v>0</v>
      </c>
      <c r="CZ42" s="186"/>
      <c r="DA42" s="186" t="s">
        <v>92</v>
      </c>
      <c r="DB42" s="186" t="s">
        <v>92</v>
      </c>
      <c r="DC42" s="186" t="s">
        <v>92</v>
      </c>
      <c r="DD42" s="186" t="s">
        <v>92</v>
      </c>
      <c r="DE42" s="186" t="s">
        <v>92</v>
      </c>
      <c r="DF42" s="186" t="s">
        <v>92</v>
      </c>
      <c r="DG42" s="186" t="s">
        <v>92</v>
      </c>
      <c r="DH42" s="186" t="s">
        <v>92</v>
      </c>
      <c r="DI42" s="186" t="s">
        <v>92</v>
      </c>
      <c r="DJ42" s="186" t="s">
        <v>92</v>
      </c>
      <c r="DK42" s="186" t="s">
        <v>92</v>
      </c>
      <c r="DL42" s="183">
        <f t="shared" si="7"/>
        <v>0</v>
      </c>
      <c r="DM42" s="186"/>
      <c r="DN42" s="186" t="s">
        <v>92</v>
      </c>
      <c r="DO42" s="186" t="s">
        <v>92</v>
      </c>
      <c r="DP42" s="186" t="s">
        <v>92</v>
      </c>
      <c r="DQ42" s="186" t="s">
        <v>92</v>
      </c>
      <c r="DR42" s="186" t="s">
        <v>92</v>
      </c>
      <c r="DS42" s="186" t="s">
        <v>92</v>
      </c>
      <c r="DT42" s="186" t="s">
        <v>92</v>
      </c>
      <c r="DU42" s="186" t="s">
        <v>92</v>
      </c>
      <c r="DV42" s="186" t="s">
        <v>92</v>
      </c>
      <c r="DW42" s="186" t="s">
        <v>92</v>
      </c>
      <c r="DX42" s="186" t="s">
        <v>92</v>
      </c>
      <c r="DY42" s="183">
        <f t="shared" si="8"/>
        <v>0</v>
      </c>
      <c r="DZ42" s="182"/>
      <c r="EA42" s="187">
        <f t="shared" si="16"/>
        <v>37547</v>
      </c>
      <c r="EB42" s="187">
        <f t="shared" si="16"/>
        <v>37547</v>
      </c>
      <c r="EC42" s="187">
        <f t="shared" si="16"/>
        <v>27310</v>
      </c>
      <c r="ED42" s="182"/>
      <c r="EE42" s="187" t="str">
        <f t="shared" si="10"/>
        <v>ERROR</v>
      </c>
      <c r="EF42" s="184" t="str">
        <f t="shared" si="11"/>
        <v/>
      </c>
      <c r="EG42" s="184" t="str">
        <f t="shared" si="12"/>
        <v/>
      </c>
      <c r="EH42" s="189"/>
      <c r="EI42" s="186" t="s">
        <v>92</v>
      </c>
      <c r="EJ42" s="186" t="s">
        <v>92</v>
      </c>
      <c r="EK42" s="186" t="s">
        <v>92</v>
      </c>
      <c r="EL42" s="186" t="s">
        <v>92</v>
      </c>
      <c r="EM42" s="186" t="s">
        <v>92</v>
      </c>
      <c r="EN42" s="183">
        <f t="shared" si="13"/>
        <v>0</v>
      </c>
      <c r="EO42" s="186" t="s">
        <v>92</v>
      </c>
      <c r="EP42" s="186" t="s">
        <v>92</v>
      </c>
      <c r="EQ42" s="186" t="s">
        <v>92</v>
      </c>
      <c r="ER42" s="186" t="s">
        <v>92</v>
      </c>
      <c r="ES42" s="186" t="s">
        <v>92</v>
      </c>
      <c r="ET42" s="183">
        <f t="shared" si="14"/>
        <v>0</v>
      </c>
      <c r="EU42" s="186" t="s">
        <v>92</v>
      </c>
      <c r="EV42" s="186" t="s">
        <v>92</v>
      </c>
      <c r="EW42" s="186" t="s">
        <v>92</v>
      </c>
      <c r="EX42" s="186" t="s">
        <v>92</v>
      </c>
      <c r="EY42" s="186" t="s">
        <v>92</v>
      </c>
      <c r="EZ42" s="183">
        <f t="shared" si="15"/>
        <v>0</v>
      </c>
    </row>
    <row r="43" spans="1:156" x14ac:dyDescent="0.2">
      <c r="A43" s="182" t="s">
        <v>415</v>
      </c>
      <c r="B43" s="185">
        <v>4057130</v>
      </c>
      <c r="C43" s="182" t="s">
        <v>312</v>
      </c>
      <c r="D43" s="186" t="s">
        <v>92</v>
      </c>
      <c r="E43" s="186">
        <f t="shared" si="17"/>
        <v>191591</v>
      </c>
      <c r="F43" s="186" t="s">
        <v>92</v>
      </c>
      <c r="G43" s="186">
        <v>0</v>
      </c>
      <c r="H43" s="186">
        <v>191591</v>
      </c>
      <c r="I43" s="186">
        <v>0</v>
      </c>
      <c r="J43" s="186">
        <v>0</v>
      </c>
      <c r="K43" s="186">
        <v>186145</v>
      </c>
      <c r="L43" s="186">
        <v>0</v>
      </c>
      <c r="M43" s="186"/>
      <c r="N43" s="186" t="s">
        <v>92</v>
      </c>
      <c r="O43" s="186" t="s">
        <v>92</v>
      </c>
      <c r="P43" s="186" t="s">
        <v>92</v>
      </c>
      <c r="Q43" s="186" t="s">
        <v>92</v>
      </c>
      <c r="R43" s="186" t="s">
        <v>92</v>
      </c>
      <c r="S43" s="186" t="s">
        <v>92</v>
      </c>
      <c r="T43" s="186" t="s">
        <v>92</v>
      </c>
      <c r="U43" s="186" t="s">
        <v>92</v>
      </c>
      <c r="V43" s="186" t="s">
        <v>92</v>
      </c>
      <c r="W43" s="186" t="s">
        <v>92</v>
      </c>
      <c r="X43" s="186" t="s">
        <v>92</v>
      </c>
      <c r="Y43" s="183">
        <f t="shared" si="0"/>
        <v>0</v>
      </c>
      <c r="Z43" s="186"/>
      <c r="AA43" s="186" t="s">
        <v>92</v>
      </c>
      <c r="AB43" s="186" t="s">
        <v>92</v>
      </c>
      <c r="AC43" s="186" t="s">
        <v>92</v>
      </c>
      <c r="AD43" s="186" t="s">
        <v>92</v>
      </c>
      <c r="AE43" s="186" t="s">
        <v>92</v>
      </c>
      <c r="AF43" s="186" t="s">
        <v>92</v>
      </c>
      <c r="AG43" s="186" t="s">
        <v>92</v>
      </c>
      <c r="AH43" s="186" t="s">
        <v>92</v>
      </c>
      <c r="AI43" s="186" t="s">
        <v>92</v>
      </c>
      <c r="AJ43" s="186" t="s">
        <v>92</v>
      </c>
      <c r="AK43" s="186" t="s">
        <v>92</v>
      </c>
      <c r="AL43" s="183">
        <f t="shared" si="1"/>
        <v>0</v>
      </c>
      <c r="AM43" s="186"/>
      <c r="AN43" s="186" t="s">
        <v>92</v>
      </c>
      <c r="AO43" s="186" t="s">
        <v>92</v>
      </c>
      <c r="AP43" s="186" t="s">
        <v>92</v>
      </c>
      <c r="AQ43" s="186" t="s">
        <v>92</v>
      </c>
      <c r="AR43" s="186" t="s">
        <v>92</v>
      </c>
      <c r="AS43" s="186" t="s">
        <v>92</v>
      </c>
      <c r="AT43" s="186" t="s">
        <v>92</v>
      </c>
      <c r="AU43" s="186" t="s">
        <v>92</v>
      </c>
      <c r="AV43" s="186" t="s">
        <v>92</v>
      </c>
      <c r="AW43" s="186" t="s">
        <v>92</v>
      </c>
      <c r="AX43" s="186" t="s">
        <v>92</v>
      </c>
      <c r="AY43" s="183">
        <f t="shared" si="2"/>
        <v>0</v>
      </c>
      <c r="AZ43" s="186"/>
      <c r="BA43" s="186" t="s">
        <v>92</v>
      </c>
      <c r="BB43" s="186" t="s">
        <v>92</v>
      </c>
      <c r="BC43" s="186" t="s">
        <v>92</v>
      </c>
      <c r="BD43" s="186" t="s">
        <v>92</v>
      </c>
      <c r="BE43" s="186" t="s">
        <v>92</v>
      </c>
      <c r="BF43" s="186" t="s">
        <v>92</v>
      </c>
      <c r="BG43" s="186" t="s">
        <v>92</v>
      </c>
      <c r="BH43" s="186" t="s">
        <v>92</v>
      </c>
      <c r="BI43" s="186" t="s">
        <v>92</v>
      </c>
      <c r="BJ43" s="186" t="s">
        <v>92</v>
      </c>
      <c r="BK43" s="186" t="s">
        <v>92</v>
      </c>
      <c r="BL43" s="183">
        <f>BY43</f>
        <v>24734</v>
      </c>
      <c r="BM43" s="186"/>
      <c r="BN43" s="186">
        <v>142923</v>
      </c>
      <c r="BO43" s="186">
        <v>4670</v>
      </c>
      <c r="BP43" s="186">
        <v>13788</v>
      </c>
      <c r="BQ43" s="186" t="s">
        <v>92</v>
      </c>
      <c r="BR43" s="186">
        <v>2562</v>
      </c>
      <c r="BS43" s="186">
        <v>0</v>
      </c>
      <c r="BT43" s="186">
        <v>0</v>
      </c>
      <c r="BU43" s="186">
        <v>0</v>
      </c>
      <c r="BV43" s="186">
        <v>0</v>
      </c>
      <c r="BW43" s="186">
        <v>0</v>
      </c>
      <c r="BX43" s="186">
        <v>2914</v>
      </c>
      <c r="BY43" s="183">
        <f t="shared" si="4"/>
        <v>24734</v>
      </c>
      <c r="BZ43" s="186"/>
      <c r="CA43" s="186">
        <v>136967</v>
      </c>
      <c r="CB43" s="186">
        <v>4385</v>
      </c>
      <c r="CC43" s="186">
        <v>12748</v>
      </c>
      <c r="CD43" s="186" t="s">
        <v>92</v>
      </c>
      <c r="CE43" s="186">
        <v>1962</v>
      </c>
      <c r="CF43" s="186">
        <v>0</v>
      </c>
      <c r="CG43" s="186">
        <v>0</v>
      </c>
      <c r="CH43" s="186">
        <v>0</v>
      </c>
      <c r="CI43" s="186">
        <v>0</v>
      </c>
      <c r="CJ43" s="186">
        <v>0</v>
      </c>
      <c r="CK43" s="186">
        <v>3575</v>
      </c>
      <c r="CL43" s="183">
        <f t="shared" si="5"/>
        <v>26508</v>
      </c>
      <c r="CM43" s="186"/>
      <c r="CN43" s="186" t="s">
        <v>92</v>
      </c>
      <c r="CO43" s="186" t="s">
        <v>92</v>
      </c>
      <c r="CP43" s="186" t="s">
        <v>92</v>
      </c>
      <c r="CQ43" s="186" t="s">
        <v>92</v>
      </c>
      <c r="CR43" s="186" t="s">
        <v>92</v>
      </c>
      <c r="CS43" s="186" t="s">
        <v>92</v>
      </c>
      <c r="CT43" s="186" t="s">
        <v>92</v>
      </c>
      <c r="CU43" s="186" t="s">
        <v>92</v>
      </c>
      <c r="CV43" s="186" t="s">
        <v>92</v>
      </c>
      <c r="CW43" s="186" t="s">
        <v>92</v>
      </c>
      <c r="CX43" s="186" t="s">
        <v>92</v>
      </c>
      <c r="CY43" s="183">
        <f t="shared" si="6"/>
        <v>0</v>
      </c>
      <c r="CZ43" s="186"/>
      <c r="DA43" s="186" t="s">
        <v>92</v>
      </c>
      <c r="DB43" s="186" t="s">
        <v>92</v>
      </c>
      <c r="DC43" s="186" t="s">
        <v>92</v>
      </c>
      <c r="DD43" s="186" t="s">
        <v>92</v>
      </c>
      <c r="DE43" s="186" t="s">
        <v>92</v>
      </c>
      <c r="DF43" s="186" t="s">
        <v>92</v>
      </c>
      <c r="DG43" s="186" t="s">
        <v>92</v>
      </c>
      <c r="DH43" s="186" t="s">
        <v>92</v>
      </c>
      <c r="DI43" s="186" t="s">
        <v>92</v>
      </c>
      <c r="DJ43" s="186" t="s">
        <v>92</v>
      </c>
      <c r="DK43" s="186" t="s">
        <v>92</v>
      </c>
      <c r="DL43" s="183">
        <f t="shared" si="7"/>
        <v>0</v>
      </c>
      <c r="DM43" s="186"/>
      <c r="DN43" s="186" t="s">
        <v>92</v>
      </c>
      <c r="DO43" s="186" t="s">
        <v>92</v>
      </c>
      <c r="DP43" s="186" t="s">
        <v>92</v>
      </c>
      <c r="DQ43" s="186" t="s">
        <v>92</v>
      </c>
      <c r="DR43" s="186" t="s">
        <v>92</v>
      </c>
      <c r="DS43" s="186" t="s">
        <v>92</v>
      </c>
      <c r="DT43" s="186" t="s">
        <v>92</v>
      </c>
      <c r="DU43" s="186" t="s">
        <v>92</v>
      </c>
      <c r="DV43" s="186" t="s">
        <v>92</v>
      </c>
      <c r="DW43" s="186" t="s">
        <v>92</v>
      </c>
      <c r="DX43" s="186" t="s">
        <v>92</v>
      </c>
      <c r="DY43" s="183">
        <f t="shared" si="8"/>
        <v>0</v>
      </c>
      <c r="DZ43" s="182"/>
      <c r="EA43" s="187">
        <f t="shared" si="16"/>
        <v>24734</v>
      </c>
      <c r="EB43" s="187">
        <f t="shared" si="16"/>
        <v>24734</v>
      </c>
      <c r="EC43" s="187">
        <f t="shared" si="16"/>
        <v>26508</v>
      </c>
      <c r="ED43" s="182"/>
      <c r="EE43" s="187" t="str">
        <f t="shared" si="10"/>
        <v>ERROR</v>
      </c>
      <c r="EF43" s="184" t="str">
        <f t="shared" si="11"/>
        <v/>
      </c>
      <c r="EG43" s="184" t="str">
        <f t="shared" si="12"/>
        <v/>
      </c>
      <c r="EH43" s="189"/>
      <c r="EI43" s="186" t="s">
        <v>92</v>
      </c>
      <c r="EJ43" s="186" t="s">
        <v>92</v>
      </c>
      <c r="EK43" s="186">
        <f t="shared" ref="EK43:EK46" si="18">EQ43</f>
        <v>418899</v>
      </c>
      <c r="EL43" s="186" t="s">
        <v>92</v>
      </c>
      <c r="EM43" s="186" t="s">
        <v>92</v>
      </c>
      <c r="EN43" s="183">
        <f t="shared" si="13"/>
        <v>418899</v>
      </c>
      <c r="EO43" s="186" t="s">
        <v>92</v>
      </c>
      <c r="EP43" s="186" t="s">
        <v>92</v>
      </c>
      <c r="EQ43" s="186">
        <v>418899</v>
      </c>
      <c r="ER43" s="186" t="s">
        <v>92</v>
      </c>
      <c r="ES43" s="186" t="s">
        <v>92</v>
      </c>
      <c r="ET43" s="183">
        <f t="shared" si="14"/>
        <v>418899</v>
      </c>
      <c r="EU43" s="186" t="s">
        <v>92</v>
      </c>
      <c r="EV43" s="186" t="s">
        <v>92</v>
      </c>
      <c r="EW43" s="186">
        <v>376964</v>
      </c>
      <c r="EX43" s="186" t="s">
        <v>92</v>
      </c>
      <c r="EY43" s="186" t="s">
        <v>92</v>
      </c>
      <c r="EZ43" s="183">
        <f t="shared" si="15"/>
        <v>376964</v>
      </c>
    </row>
    <row r="44" spans="1:156" x14ac:dyDescent="0.2">
      <c r="A44" s="182" t="s">
        <v>416</v>
      </c>
      <c r="B44" s="185">
        <v>4057135</v>
      </c>
      <c r="C44" s="182" t="s">
        <v>312</v>
      </c>
      <c r="D44" s="186" t="s">
        <v>92</v>
      </c>
      <c r="E44" s="186">
        <f t="shared" si="17"/>
        <v>1208229</v>
      </c>
      <c r="F44" s="186" t="s">
        <v>92</v>
      </c>
      <c r="G44" s="186">
        <v>0</v>
      </c>
      <c r="H44" s="186">
        <v>1208229</v>
      </c>
      <c r="I44" s="186">
        <v>84</v>
      </c>
      <c r="J44" s="186">
        <v>0</v>
      </c>
      <c r="K44" s="186">
        <v>1169118</v>
      </c>
      <c r="L44" s="186">
        <v>111</v>
      </c>
      <c r="M44" s="186"/>
      <c r="N44" s="186" t="s">
        <v>92</v>
      </c>
      <c r="O44" s="186" t="s">
        <v>92</v>
      </c>
      <c r="P44" s="186" t="s">
        <v>92</v>
      </c>
      <c r="Q44" s="186" t="s">
        <v>92</v>
      </c>
      <c r="R44" s="186" t="s">
        <v>92</v>
      </c>
      <c r="S44" s="186" t="s">
        <v>92</v>
      </c>
      <c r="T44" s="186" t="s">
        <v>92</v>
      </c>
      <c r="U44" s="186" t="s">
        <v>92</v>
      </c>
      <c r="V44" s="186" t="s">
        <v>92</v>
      </c>
      <c r="W44" s="186" t="s">
        <v>92</v>
      </c>
      <c r="X44" s="186" t="s">
        <v>92</v>
      </c>
      <c r="Y44" s="183">
        <f t="shared" si="0"/>
        <v>0</v>
      </c>
      <c r="Z44" s="186"/>
      <c r="AA44" s="186" t="s">
        <v>92</v>
      </c>
      <c r="AB44" s="186" t="s">
        <v>92</v>
      </c>
      <c r="AC44" s="186" t="s">
        <v>92</v>
      </c>
      <c r="AD44" s="186" t="s">
        <v>92</v>
      </c>
      <c r="AE44" s="186" t="s">
        <v>92</v>
      </c>
      <c r="AF44" s="186" t="s">
        <v>92</v>
      </c>
      <c r="AG44" s="186" t="s">
        <v>92</v>
      </c>
      <c r="AH44" s="186" t="s">
        <v>92</v>
      </c>
      <c r="AI44" s="186" t="s">
        <v>92</v>
      </c>
      <c r="AJ44" s="186" t="s">
        <v>92</v>
      </c>
      <c r="AK44" s="186" t="s">
        <v>92</v>
      </c>
      <c r="AL44" s="183">
        <f t="shared" si="1"/>
        <v>0</v>
      </c>
      <c r="AM44" s="186"/>
      <c r="AN44" s="186" t="s">
        <v>92</v>
      </c>
      <c r="AO44" s="186" t="s">
        <v>92</v>
      </c>
      <c r="AP44" s="186" t="s">
        <v>92</v>
      </c>
      <c r="AQ44" s="186" t="s">
        <v>92</v>
      </c>
      <c r="AR44" s="186" t="s">
        <v>92</v>
      </c>
      <c r="AS44" s="186" t="s">
        <v>92</v>
      </c>
      <c r="AT44" s="186" t="s">
        <v>92</v>
      </c>
      <c r="AU44" s="186" t="s">
        <v>92</v>
      </c>
      <c r="AV44" s="186" t="s">
        <v>92</v>
      </c>
      <c r="AW44" s="186" t="s">
        <v>92</v>
      </c>
      <c r="AX44" s="186" t="s">
        <v>92</v>
      </c>
      <c r="AY44" s="183">
        <f t="shared" si="2"/>
        <v>0</v>
      </c>
      <c r="AZ44" s="186"/>
      <c r="BA44" s="186" t="s">
        <v>92</v>
      </c>
      <c r="BB44" s="186" t="s">
        <v>92</v>
      </c>
      <c r="BC44" s="186" t="s">
        <v>92</v>
      </c>
      <c r="BD44" s="186" t="s">
        <v>92</v>
      </c>
      <c r="BE44" s="186" t="s">
        <v>92</v>
      </c>
      <c r="BF44" s="186" t="s">
        <v>92</v>
      </c>
      <c r="BG44" s="186" t="s">
        <v>92</v>
      </c>
      <c r="BH44" s="186" t="s">
        <v>92</v>
      </c>
      <c r="BI44" s="186" t="s">
        <v>92</v>
      </c>
      <c r="BJ44" s="186" t="s">
        <v>92</v>
      </c>
      <c r="BK44" s="186" t="s">
        <v>92</v>
      </c>
      <c r="BL44" s="183">
        <f>BY44</f>
        <v>233072</v>
      </c>
      <c r="BM44" s="186"/>
      <c r="BN44" s="186">
        <v>731777</v>
      </c>
      <c r="BO44" s="186">
        <v>62384</v>
      </c>
      <c r="BP44" s="186">
        <v>139041</v>
      </c>
      <c r="BQ44" s="186" t="s">
        <v>92</v>
      </c>
      <c r="BR44" s="186">
        <v>14898</v>
      </c>
      <c r="BS44" s="186">
        <v>0</v>
      </c>
      <c r="BT44" s="186">
        <v>0</v>
      </c>
      <c r="BU44" s="186">
        <v>0</v>
      </c>
      <c r="BV44" s="186">
        <v>0</v>
      </c>
      <c r="BW44" s="186">
        <v>0</v>
      </c>
      <c r="BX44" s="186">
        <v>27057</v>
      </c>
      <c r="BY44" s="183">
        <f t="shared" si="4"/>
        <v>233072</v>
      </c>
      <c r="BZ44" s="186"/>
      <c r="CA44" s="186">
        <v>695967</v>
      </c>
      <c r="CB44" s="186">
        <v>56247</v>
      </c>
      <c r="CC44" s="186">
        <v>127156</v>
      </c>
      <c r="CD44" s="186" t="s">
        <v>92</v>
      </c>
      <c r="CE44" s="186">
        <v>10666</v>
      </c>
      <c r="CF44" s="186">
        <v>0</v>
      </c>
      <c r="CG44" s="186">
        <v>0</v>
      </c>
      <c r="CH44" s="186">
        <v>0</v>
      </c>
      <c r="CI44" s="186">
        <v>0</v>
      </c>
      <c r="CJ44" s="186">
        <v>0</v>
      </c>
      <c r="CK44" s="186">
        <v>25807</v>
      </c>
      <c r="CL44" s="183">
        <f t="shared" si="5"/>
        <v>253275</v>
      </c>
      <c r="CM44" s="186"/>
      <c r="CN44" s="186" t="s">
        <v>92</v>
      </c>
      <c r="CO44" s="186" t="s">
        <v>92</v>
      </c>
      <c r="CP44" s="186" t="s">
        <v>92</v>
      </c>
      <c r="CQ44" s="186" t="s">
        <v>92</v>
      </c>
      <c r="CR44" s="186" t="s">
        <v>92</v>
      </c>
      <c r="CS44" s="186" t="s">
        <v>92</v>
      </c>
      <c r="CT44" s="186" t="s">
        <v>92</v>
      </c>
      <c r="CU44" s="186" t="s">
        <v>92</v>
      </c>
      <c r="CV44" s="186" t="s">
        <v>92</v>
      </c>
      <c r="CW44" s="186" t="s">
        <v>92</v>
      </c>
      <c r="CX44" s="186" t="s">
        <v>92</v>
      </c>
      <c r="CY44" s="183">
        <f t="shared" si="6"/>
        <v>0</v>
      </c>
      <c r="CZ44" s="186"/>
      <c r="DA44" s="186" t="s">
        <v>92</v>
      </c>
      <c r="DB44" s="186" t="s">
        <v>92</v>
      </c>
      <c r="DC44" s="186" t="s">
        <v>92</v>
      </c>
      <c r="DD44" s="186" t="s">
        <v>92</v>
      </c>
      <c r="DE44" s="186" t="s">
        <v>92</v>
      </c>
      <c r="DF44" s="186" t="s">
        <v>92</v>
      </c>
      <c r="DG44" s="186" t="s">
        <v>92</v>
      </c>
      <c r="DH44" s="186" t="s">
        <v>92</v>
      </c>
      <c r="DI44" s="186" t="s">
        <v>92</v>
      </c>
      <c r="DJ44" s="186" t="s">
        <v>92</v>
      </c>
      <c r="DK44" s="186" t="s">
        <v>92</v>
      </c>
      <c r="DL44" s="183">
        <f t="shared" si="7"/>
        <v>84</v>
      </c>
      <c r="DM44" s="186"/>
      <c r="DN44" s="186" t="s">
        <v>92</v>
      </c>
      <c r="DO44" s="186" t="s">
        <v>92</v>
      </c>
      <c r="DP44" s="186" t="s">
        <v>92</v>
      </c>
      <c r="DQ44" s="186" t="s">
        <v>92</v>
      </c>
      <c r="DR44" s="186" t="s">
        <v>92</v>
      </c>
      <c r="DS44" s="186" t="s">
        <v>92</v>
      </c>
      <c r="DT44" s="186" t="s">
        <v>92</v>
      </c>
      <c r="DU44" s="186" t="s">
        <v>92</v>
      </c>
      <c r="DV44" s="186" t="s">
        <v>92</v>
      </c>
      <c r="DW44" s="186" t="s">
        <v>92</v>
      </c>
      <c r="DX44" s="186" t="s">
        <v>92</v>
      </c>
      <c r="DY44" s="183">
        <f t="shared" si="8"/>
        <v>111</v>
      </c>
      <c r="DZ44" s="182"/>
      <c r="EA44" s="187">
        <f t="shared" si="16"/>
        <v>233072</v>
      </c>
      <c r="EB44" s="187">
        <f t="shared" si="16"/>
        <v>233156</v>
      </c>
      <c r="EC44" s="187">
        <f t="shared" si="16"/>
        <v>253386</v>
      </c>
      <c r="ED44" s="182"/>
      <c r="EE44" s="187" t="str">
        <f t="shared" si="10"/>
        <v>ERROR</v>
      </c>
      <c r="EF44" s="184" t="str">
        <f t="shared" si="11"/>
        <v/>
      </c>
      <c r="EG44" s="184" t="str">
        <f t="shared" si="12"/>
        <v/>
      </c>
      <c r="EH44" s="189"/>
      <c r="EI44" s="186" t="s">
        <v>92</v>
      </c>
      <c r="EJ44" s="186" t="s">
        <v>92</v>
      </c>
      <c r="EK44" s="186">
        <f t="shared" si="18"/>
        <v>3692292</v>
      </c>
      <c r="EL44" s="186" t="s">
        <v>92</v>
      </c>
      <c r="EM44" s="186" t="s">
        <v>92</v>
      </c>
      <c r="EN44" s="183">
        <f t="shared" si="13"/>
        <v>3692292</v>
      </c>
      <c r="EO44" s="186" t="s">
        <v>92</v>
      </c>
      <c r="EP44" s="186" t="s">
        <v>92</v>
      </c>
      <c r="EQ44" s="186">
        <v>3692292</v>
      </c>
      <c r="ER44" s="186" t="s">
        <v>92</v>
      </c>
      <c r="ES44" s="186" t="s">
        <v>92</v>
      </c>
      <c r="ET44" s="183">
        <f t="shared" si="14"/>
        <v>3692292</v>
      </c>
      <c r="EU44" s="186" t="s">
        <v>92</v>
      </c>
      <c r="EV44" s="186" t="s">
        <v>92</v>
      </c>
      <c r="EW44" s="186">
        <v>3480473</v>
      </c>
      <c r="EX44" s="186" t="s">
        <v>92</v>
      </c>
      <c r="EY44" s="186" t="s">
        <v>92</v>
      </c>
      <c r="EZ44" s="183">
        <f t="shared" si="15"/>
        <v>3480473</v>
      </c>
    </row>
    <row r="45" spans="1:156" x14ac:dyDescent="0.2">
      <c r="A45" s="182" t="s">
        <v>417</v>
      </c>
      <c r="B45" s="185">
        <v>4057105</v>
      </c>
      <c r="C45" s="182" t="s">
        <v>312</v>
      </c>
      <c r="D45" s="186">
        <v>3084933</v>
      </c>
      <c r="E45" s="186">
        <v>402587</v>
      </c>
      <c r="F45" s="186">
        <v>23313</v>
      </c>
      <c r="G45" s="186">
        <v>3211814</v>
      </c>
      <c r="H45" s="186">
        <v>409060</v>
      </c>
      <c r="I45" s="186">
        <v>24108</v>
      </c>
      <c r="J45" s="186">
        <v>3321419</v>
      </c>
      <c r="K45" s="186">
        <v>378055</v>
      </c>
      <c r="L45" s="186">
        <v>23362</v>
      </c>
      <c r="M45" s="186"/>
      <c r="N45" s="186">
        <v>2125113</v>
      </c>
      <c r="O45" s="186">
        <v>153761</v>
      </c>
      <c r="P45" s="186">
        <v>242624</v>
      </c>
      <c r="Q45" s="186">
        <v>0</v>
      </c>
      <c r="R45" s="186">
        <v>42297</v>
      </c>
      <c r="S45" s="186">
        <v>545</v>
      </c>
      <c r="T45" s="186">
        <v>40953</v>
      </c>
      <c r="U45" s="186">
        <v>0</v>
      </c>
      <c r="V45" s="186">
        <v>0</v>
      </c>
      <c r="W45" s="186">
        <v>0</v>
      </c>
      <c r="X45" s="186">
        <v>115970</v>
      </c>
      <c r="Y45" s="183">
        <f t="shared" si="0"/>
        <v>363670</v>
      </c>
      <c r="Z45" s="186"/>
      <c r="AA45" s="186">
        <v>2252164</v>
      </c>
      <c r="AB45" s="186">
        <v>167802</v>
      </c>
      <c r="AC45" s="186">
        <v>271966</v>
      </c>
      <c r="AD45" s="186">
        <v>0</v>
      </c>
      <c r="AE45" s="186">
        <v>38599</v>
      </c>
      <c r="AF45" s="186">
        <v>545</v>
      </c>
      <c r="AG45" s="186">
        <v>3604</v>
      </c>
      <c r="AH45" s="186">
        <v>0</v>
      </c>
      <c r="AI45" s="186">
        <v>0</v>
      </c>
      <c r="AJ45" s="186">
        <v>0</v>
      </c>
      <c r="AK45" s="186">
        <v>119118</v>
      </c>
      <c r="AL45" s="183">
        <f t="shared" si="1"/>
        <v>358016</v>
      </c>
      <c r="AM45" s="186"/>
      <c r="AN45" s="186">
        <v>2124968</v>
      </c>
      <c r="AO45" s="186">
        <v>190819</v>
      </c>
      <c r="AP45" s="186">
        <v>265936</v>
      </c>
      <c r="AQ45" s="186">
        <v>0</v>
      </c>
      <c r="AR45" s="186">
        <v>28015</v>
      </c>
      <c r="AS45" s="186">
        <v>545</v>
      </c>
      <c r="AT45" s="186">
        <v>1924</v>
      </c>
      <c r="AU45" s="186">
        <v>0</v>
      </c>
      <c r="AV45" s="186">
        <v>0</v>
      </c>
      <c r="AW45" s="186">
        <v>0</v>
      </c>
      <c r="AX45" s="186">
        <v>119456</v>
      </c>
      <c r="AY45" s="183">
        <f t="shared" si="2"/>
        <v>589756</v>
      </c>
      <c r="AZ45" s="186"/>
      <c r="BA45" s="186">
        <v>293759</v>
      </c>
      <c r="BB45" s="186">
        <v>7880</v>
      </c>
      <c r="BC45" s="186">
        <v>25443</v>
      </c>
      <c r="BD45" s="186">
        <v>0</v>
      </c>
      <c r="BE45" s="186">
        <v>8572</v>
      </c>
      <c r="BF45" s="186">
        <v>0</v>
      </c>
      <c r="BG45" s="186">
        <v>0</v>
      </c>
      <c r="BH45" s="186">
        <v>0</v>
      </c>
      <c r="BI45" s="186">
        <v>0</v>
      </c>
      <c r="BJ45" s="186">
        <v>0</v>
      </c>
      <c r="BK45" s="186">
        <v>5975</v>
      </c>
      <c r="BL45" s="183">
        <f t="shared" si="3"/>
        <v>60958</v>
      </c>
      <c r="BM45" s="186"/>
      <c r="BN45" s="186">
        <v>307519</v>
      </c>
      <c r="BO45" s="186">
        <v>7692</v>
      </c>
      <c r="BP45" s="186">
        <v>23739</v>
      </c>
      <c r="BQ45" s="186">
        <v>0</v>
      </c>
      <c r="BR45" s="186">
        <v>6660</v>
      </c>
      <c r="BS45" s="186">
        <v>0</v>
      </c>
      <c r="BT45" s="186">
        <v>0</v>
      </c>
      <c r="BU45" s="186">
        <v>0</v>
      </c>
      <c r="BV45" s="186">
        <v>0</v>
      </c>
      <c r="BW45" s="186">
        <v>0</v>
      </c>
      <c r="BX45" s="186">
        <v>5297</v>
      </c>
      <c r="BY45" s="183">
        <f t="shared" si="4"/>
        <v>58153</v>
      </c>
      <c r="BZ45" s="186"/>
      <c r="CA45" s="186">
        <v>288422</v>
      </c>
      <c r="CB45" s="186">
        <v>7535</v>
      </c>
      <c r="CC45" s="186">
        <v>22074</v>
      </c>
      <c r="CD45" s="186">
        <v>0</v>
      </c>
      <c r="CE45" s="186">
        <v>10413</v>
      </c>
      <c r="CF45" s="186">
        <v>0</v>
      </c>
      <c r="CG45" s="186">
        <v>0</v>
      </c>
      <c r="CH45" s="186">
        <v>0</v>
      </c>
      <c r="CI45" s="186">
        <v>0</v>
      </c>
      <c r="CJ45" s="186">
        <v>0</v>
      </c>
      <c r="CK45" s="186">
        <v>4864</v>
      </c>
      <c r="CL45" s="183">
        <f t="shared" si="5"/>
        <v>44747</v>
      </c>
      <c r="CM45" s="186"/>
      <c r="CN45" s="186">
        <v>11657</v>
      </c>
      <c r="CO45" s="186">
        <v>5010</v>
      </c>
      <c r="CP45" s="186">
        <v>2660</v>
      </c>
      <c r="CQ45" s="186">
        <v>0</v>
      </c>
      <c r="CR45" s="186">
        <v>568</v>
      </c>
      <c r="CS45" s="186">
        <v>0</v>
      </c>
      <c r="CT45" s="186">
        <v>0</v>
      </c>
      <c r="CU45" s="186">
        <v>0</v>
      </c>
      <c r="CV45" s="186">
        <v>0</v>
      </c>
      <c r="CW45" s="186">
        <v>0</v>
      </c>
      <c r="CX45" s="186">
        <v>1106</v>
      </c>
      <c r="CY45" s="183">
        <f t="shared" si="6"/>
        <v>2312</v>
      </c>
      <c r="CZ45" s="186"/>
      <c r="DA45" s="186">
        <v>12590</v>
      </c>
      <c r="DB45" s="186">
        <v>7632</v>
      </c>
      <c r="DC45" s="186">
        <v>2550</v>
      </c>
      <c r="DD45" s="186">
        <v>0</v>
      </c>
      <c r="DE45" s="186">
        <v>409</v>
      </c>
      <c r="DF45" s="186">
        <v>0</v>
      </c>
      <c r="DG45" s="186">
        <v>0</v>
      </c>
      <c r="DH45" s="186">
        <v>0</v>
      </c>
      <c r="DI45" s="186">
        <v>0</v>
      </c>
      <c r="DJ45" s="186">
        <v>0</v>
      </c>
      <c r="DK45" s="186">
        <v>1049</v>
      </c>
      <c r="DL45" s="183">
        <f t="shared" si="7"/>
        <v>-122</v>
      </c>
      <c r="DM45" s="186"/>
      <c r="DN45" s="186">
        <v>12020</v>
      </c>
      <c r="DO45" s="186">
        <v>5059</v>
      </c>
      <c r="DP45" s="186">
        <v>2458</v>
      </c>
      <c r="DQ45" s="186">
        <v>0</v>
      </c>
      <c r="DR45" s="186">
        <v>234</v>
      </c>
      <c r="DS45" s="186">
        <v>0</v>
      </c>
      <c r="DT45" s="186">
        <v>0</v>
      </c>
      <c r="DU45" s="186">
        <v>0</v>
      </c>
      <c r="DV45" s="186">
        <v>0</v>
      </c>
      <c r="DW45" s="186">
        <v>0</v>
      </c>
      <c r="DX45" s="186">
        <v>1087</v>
      </c>
      <c r="DY45" s="183">
        <f t="shared" si="8"/>
        <v>2504</v>
      </c>
      <c r="DZ45" s="182"/>
      <c r="EA45" s="187">
        <f t="shared" si="16"/>
        <v>426940</v>
      </c>
      <c r="EB45" s="187">
        <f t="shared" si="16"/>
        <v>416047</v>
      </c>
      <c r="EC45" s="187">
        <f t="shared" si="16"/>
        <v>637007</v>
      </c>
      <c r="ED45" s="182"/>
      <c r="EE45" s="187" t="str">
        <f t="shared" si="10"/>
        <v/>
      </c>
      <c r="EF45" s="184" t="str">
        <f t="shared" si="11"/>
        <v/>
      </c>
      <c r="EG45" s="184" t="str">
        <f t="shared" si="12"/>
        <v/>
      </c>
      <c r="EH45" s="189"/>
      <c r="EI45" s="186">
        <v>8781329</v>
      </c>
      <c r="EJ45" s="186">
        <v>7575318</v>
      </c>
      <c r="EK45" s="186">
        <v>799718</v>
      </c>
      <c r="EL45" s="186">
        <v>30015</v>
      </c>
      <c r="EM45" s="186">
        <v>376278</v>
      </c>
      <c r="EN45" s="183">
        <f t="shared" si="13"/>
        <v>8405051</v>
      </c>
      <c r="EO45" s="186">
        <v>8745874</v>
      </c>
      <c r="EP45" s="186">
        <v>7671453</v>
      </c>
      <c r="EQ45" s="186">
        <v>715287</v>
      </c>
      <c r="ER45" s="186">
        <v>28749</v>
      </c>
      <c r="ES45" s="186">
        <v>330385</v>
      </c>
      <c r="ET45" s="183">
        <f t="shared" si="14"/>
        <v>8415489</v>
      </c>
      <c r="EU45" s="186">
        <v>9110908</v>
      </c>
      <c r="EV45" s="186">
        <v>8206039</v>
      </c>
      <c r="EW45" s="186">
        <v>625902</v>
      </c>
      <c r="EX45" s="186">
        <v>29054</v>
      </c>
      <c r="EY45" s="186">
        <v>249914</v>
      </c>
      <c r="EZ45" s="183">
        <f t="shared" si="15"/>
        <v>8860995</v>
      </c>
    </row>
    <row r="46" spans="1:156" x14ac:dyDescent="0.2">
      <c r="A46" s="182" t="s">
        <v>418</v>
      </c>
      <c r="B46" s="185">
        <v>4008752</v>
      </c>
      <c r="C46" s="182" t="s">
        <v>312</v>
      </c>
      <c r="D46" s="186" t="s">
        <v>92</v>
      </c>
      <c r="E46" s="186">
        <f t="shared" si="17"/>
        <v>649589</v>
      </c>
      <c r="F46" s="186" t="s">
        <v>92</v>
      </c>
      <c r="G46" s="186">
        <v>0</v>
      </c>
      <c r="H46" s="186">
        <v>649589</v>
      </c>
      <c r="I46" s="186">
        <v>0</v>
      </c>
      <c r="J46" s="186">
        <v>0</v>
      </c>
      <c r="K46" s="186">
        <v>614278</v>
      </c>
      <c r="L46" s="186">
        <v>0</v>
      </c>
      <c r="M46" s="186"/>
      <c r="N46" s="186" t="s">
        <v>92</v>
      </c>
      <c r="O46" s="186" t="s">
        <v>92</v>
      </c>
      <c r="P46" s="186" t="s">
        <v>92</v>
      </c>
      <c r="Q46" s="186" t="s">
        <v>92</v>
      </c>
      <c r="R46" s="186" t="s">
        <v>92</v>
      </c>
      <c r="S46" s="186" t="s">
        <v>92</v>
      </c>
      <c r="T46" s="186" t="s">
        <v>92</v>
      </c>
      <c r="U46" s="186" t="s">
        <v>92</v>
      </c>
      <c r="V46" s="186" t="s">
        <v>92</v>
      </c>
      <c r="W46" s="186" t="s">
        <v>92</v>
      </c>
      <c r="X46" s="186" t="s">
        <v>92</v>
      </c>
      <c r="Y46" s="183">
        <f t="shared" si="0"/>
        <v>0</v>
      </c>
      <c r="Z46" s="186"/>
      <c r="AA46" s="186" t="s">
        <v>92</v>
      </c>
      <c r="AB46" s="186" t="s">
        <v>92</v>
      </c>
      <c r="AC46" s="186" t="s">
        <v>92</v>
      </c>
      <c r="AD46" s="186" t="s">
        <v>92</v>
      </c>
      <c r="AE46" s="186" t="s">
        <v>92</v>
      </c>
      <c r="AF46" s="186" t="s">
        <v>92</v>
      </c>
      <c r="AG46" s="186" t="s">
        <v>92</v>
      </c>
      <c r="AH46" s="186" t="s">
        <v>92</v>
      </c>
      <c r="AI46" s="186" t="s">
        <v>92</v>
      </c>
      <c r="AJ46" s="186" t="s">
        <v>92</v>
      </c>
      <c r="AK46" s="186" t="s">
        <v>92</v>
      </c>
      <c r="AL46" s="183">
        <f t="shared" si="1"/>
        <v>0</v>
      </c>
      <c r="AM46" s="186"/>
      <c r="AN46" s="186" t="s">
        <v>92</v>
      </c>
      <c r="AO46" s="186" t="s">
        <v>92</v>
      </c>
      <c r="AP46" s="186" t="s">
        <v>92</v>
      </c>
      <c r="AQ46" s="186" t="s">
        <v>92</v>
      </c>
      <c r="AR46" s="186" t="s">
        <v>92</v>
      </c>
      <c r="AS46" s="186" t="s">
        <v>92</v>
      </c>
      <c r="AT46" s="186" t="s">
        <v>92</v>
      </c>
      <c r="AU46" s="186" t="s">
        <v>92</v>
      </c>
      <c r="AV46" s="186" t="s">
        <v>92</v>
      </c>
      <c r="AW46" s="186" t="s">
        <v>92</v>
      </c>
      <c r="AX46" s="186" t="s">
        <v>92</v>
      </c>
      <c r="AY46" s="183">
        <f t="shared" si="2"/>
        <v>0</v>
      </c>
      <c r="AZ46" s="186"/>
      <c r="BA46" s="186" t="s">
        <v>92</v>
      </c>
      <c r="BB46" s="186" t="s">
        <v>92</v>
      </c>
      <c r="BC46" s="186" t="s">
        <v>92</v>
      </c>
      <c r="BD46" s="186" t="s">
        <v>92</v>
      </c>
      <c r="BE46" s="186" t="s">
        <v>92</v>
      </c>
      <c r="BF46" s="186" t="s">
        <v>92</v>
      </c>
      <c r="BG46" s="186" t="s">
        <v>92</v>
      </c>
      <c r="BH46" s="186" t="s">
        <v>92</v>
      </c>
      <c r="BI46" s="186" t="s">
        <v>92</v>
      </c>
      <c r="BJ46" s="186" t="s">
        <v>92</v>
      </c>
      <c r="BK46" s="186" t="s">
        <v>92</v>
      </c>
      <c r="BL46" s="183">
        <f>BY46</f>
        <v>134642</v>
      </c>
      <c r="BM46" s="186"/>
      <c r="BN46" s="186">
        <v>441933</v>
      </c>
      <c r="BO46" s="186">
        <v>12271</v>
      </c>
      <c r="BP46" s="186">
        <v>44716</v>
      </c>
      <c r="BQ46" s="186" t="s">
        <v>92</v>
      </c>
      <c r="BR46" s="186">
        <v>7090</v>
      </c>
      <c r="BS46" s="186">
        <v>0</v>
      </c>
      <c r="BT46" s="186">
        <v>0</v>
      </c>
      <c r="BU46" s="186">
        <v>0</v>
      </c>
      <c r="BV46" s="186">
        <v>0</v>
      </c>
      <c r="BW46" s="186">
        <v>0</v>
      </c>
      <c r="BX46" s="186">
        <v>8937</v>
      </c>
      <c r="BY46" s="183">
        <f t="shared" si="4"/>
        <v>134642</v>
      </c>
      <c r="BZ46" s="186"/>
      <c r="CA46" s="186">
        <v>404539</v>
      </c>
      <c r="CB46" s="186">
        <v>12015</v>
      </c>
      <c r="CC46" s="186">
        <v>42145</v>
      </c>
      <c r="CD46" s="186" t="s">
        <v>92</v>
      </c>
      <c r="CE46" s="186">
        <v>6495</v>
      </c>
      <c r="CF46" s="186">
        <v>0</v>
      </c>
      <c r="CG46" s="186">
        <v>0</v>
      </c>
      <c r="CH46" s="186">
        <v>0</v>
      </c>
      <c r="CI46" s="186">
        <v>0</v>
      </c>
      <c r="CJ46" s="186">
        <v>0</v>
      </c>
      <c r="CK46" s="186">
        <v>8040</v>
      </c>
      <c r="CL46" s="183">
        <f t="shared" si="5"/>
        <v>141044</v>
      </c>
      <c r="CM46" s="186"/>
      <c r="CN46" s="186" t="s">
        <v>92</v>
      </c>
      <c r="CO46" s="186" t="s">
        <v>92</v>
      </c>
      <c r="CP46" s="186" t="s">
        <v>92</v>
      </c>
      <c r="CQ46" s="186" t="s">
        <v>92</v>
      </c>
      <c r="CR46" s="186" t="s">
        <v>92</v>
      </c>
      <c r="CS46" s="186" t="s">
        <v>92</v>
      </c>
      <c r="CT46" s="186" t="s">
        <v>92</v>
      </c>
      <c r="CU46" s="186" t="s">
        <v>92</v>
      </c>
      <c r="CV46" s="186" t="s">
        <v>92</v>
      </c>
      <c r="CW46" s="186" t="s">
        <v>92</v>
      </c>
      <c r="CX46" s="186" t="s">
        <v>92</v>
      </c>
      <c r="CY46" s="183">
        <f t="shared" si="6"/>
        <v>0</v>
      </c>
      <c r="CZ46" s="186"/>
      <c r="DA46" s="186" t="s">
        <v>92</v>
      </c>
      <c r="DB46" s="186" t="s">
        <v>92</v>
      </c>
      <c r="DC46" s="186" t="s">
        <v>92</v>
      </c>
      <c r="DD46" s="186" t="s">
        <v>92</v>
      </c>
      <c r="DE46" s="186" t="s">
        <v>92</v>
      </c>
      <c r="DF46" s="186" t="s">
        <v>92</v>
      </c>
      <c r="DG46" s="186" t="s">
        <v>92</v>
      </c>
      <c r="DH46" s="186" t="s">
        <v>92</v>
      </c>
      <c r="DI46" s="186" t="s">
        <v>92</v>
      </c>
      <c r="DJ46" s="186" t="s">
        <v>92</v>
      </c>
      <c r="DK46" s="186" t="s">
        <v>92</v>
      </c>
      <c r="DL46" s="183">
        <f t="shared" si="7"/>
        <v>0</v>
      </c>
      <c r="DM46" s="186"/>
      <c r="DN46" s="186" t="s">
        <v>92</v>
      </c>
      <c r="DO46" s="186" t="s">
        <v>92</v>
      </c>
      <c r="DP46" s="186" t="s">
        <v>92</v>
      </c>
      <c r="DQ46" s="186" t="s">
        <v>92</v>
      </c>
      <c r="DR46" s="186" t="s">
        <v>92</v>
      </c>
      <c r="DS46" s="186" t="s">
        <v>92</v>
      </c>
      <c r="DT46" s="186" t="s">
        <v>92</v>
      </c>
      <c r="DU46" s="186" t="s">
        <v>92</v>
      </c>
      <c r="DV46" s="186" t="s">
        <v>92</v>
      </c>
      <c r="DW46" s="186" t="s">
        <v>92</v>
      </c>
      <c r="DX46" s="186" t="s">
        <v>92</v>
      </c>
      <c r="DY46" s="183">
        <f t="shared" si="8"/>
        <v>0</v>
      </c>
      <c r="DZ46" s="182"/>
      <c r="EA46" s="187">
        <f t="shared" si="16"/>
        <v>134642</v>
      </c>
      <c r="EB46" s="187">
        <f t="shared" si="16"/>
        <v>134642</v>
      </c>
      <c r="EC46" s="187">
        <f t="shared" si="16"/>
        <v>141044</v>
      </c>
      <c r="ED46" s="182"/>
      <c r="EE46" s="187" t="str">
        <f t="shared" si="10"/>
        <v>ERROR</v>
      </c>
      <c r="EF46" s="184" t="str">
        <f t="shared" si="11"/>
        <v/>
      </c>
      <c r="EG46" s="184" t="str">
        <f t="shared" si="12"/>
        <v/>
      </c>
      <c r="EH46" s="189"/>
      <c r="EI46" s="186" t="s">
        <v>92</v>
      </c>
      <c r="EJ46" s="186" t="s">
        <v>92</v>
      </c>
      <c r="EK46" s="186">
        <f t="shared" si="18"/>
        <v>1498452</v>
      </c>
      <c r="EL46" s="186" t="s">
        <v>92</v>
      </c>
      <c r="EM46" s="186" t="s">
        <v>92</v>
      </c>
      <c r="EN46" s="183">
        <f t="shared" si="13"/>
        <v>1498452</v>
      </c>
      <c r="EO46" s="186" t="s">
        <v>92</v>
      </c>
      <c r="EP46" s="186" t="s">
        <v>92</v>
      </c>
      <c r="EQ46" s="186">
        <v>1498452</v>
      </c>
      <c r="ER46" s="186" t="s">
        <v>92</v>
      </c>
      <c r="ES46" s="186" t="s">
        <v>92</v>
      </c>
      <c r="ET46" s="183">
        <f t="shared" si="14"/>
        <v>1498452</v>
      </c>
      <c r="EU46" s="186" t="s">
        <v>92</v>
      </c>
      <c r="EV46" s="186" t="s">
        <v>92</v>
      </c>
      <c r="EW46" s="186">
        <v>1372974</v>
      </c>
      <c r="EX46" s="186" t="s">
        <v>92</v>
      </c>
      <c r="EY46" s="186" t="s">
        <v>92</v>
      </c>
      <c r="EZ46" s="183">
        <f t="shared" si="15"/>
        <v>1372974</v>
      </c>
    </row>
    <row r="47" spans="1:156" x14ac:dyDescent="0.2">
      <c r="A47" s="182" t="s">
        <v>419</v>
      </c>
      <c r="B47" s="185">
        <v>4057106</v>
      </c>
      <c r="C47" s="182" t="s">
        <v>312</v>
      </c>
      <c r="D47" s="186">
        <v>1122388</v>
      </c>
      <c r="E47" s="186">
        <v>307360</v>
      </c>
      <c r="F47" s="186">
        <v>0</v>
      </c>
      <c r="G47" s="186">
        <v>1206067</v>
      </c>
      <c r="H47" s="186">
        <v>326024</v>
      </c>
      <c r="I47" s="186">
        <v>0</v>
      </c>
      <c r="J47" s="186">
        <v>1209511</v>
      </c>
      <c r="K47" s="186">
        <v>302321</v>
      </c>
      <c r="L47" s="186">
        <v>0</v>
      </c>
      <c r="M47" s="186"/>
      <c r="N47" s="186">
        <v>602746</v>
      </c>
      <c r="O47" s="186">
        <v>69766</v>
      </c>
      <c r="P47" s="186">
        <v>111751</v>
      </c>
      <c r="Q47" s="186">
        <v>0</v>
      </c>
      <c r="R47" s="186">
        <v>7937</v>
      </c>
      <c r="S47" s="186">
        <v>1791</v>
      </c>
      <c r="T47" s="186">
        <v>6784</v>
      </c>
      <c r="U47" s="186">
        <v>0</v>
      </c>
      <c r="V47" s="186">
        <v>24120</v>
      </c>
      <c r="W47" s="186">
        <v>8057</v>
      </c>
      <c r="X47" s="186">
        <v>43938</v>
      </c>
      <c r="Y47" s="183">
        <f t="shared" si="0"/>
        <v>261612</v>
      </c>
      <c r="Z47" s="186"/>
      <c r="AA47" s="186">
        <v>710631</v>
      </c>
      <c r="AB47" s="186">
        <v>63306</v>
      </c>
      <c r="AC47" s="186">
        <v>110521</v>
      </c>
      <c r="AD47" s="186">
        <v>0</v>
      </c>
      <c r="AE47" s="186">
        <v>7200</v>
      </c>
      <c r="AF47" s="186">
        <v>1791</v>
      </c>
      <c r="AG47" s="186">
        <v>1131</v>
      </c>
      <c r="AH47" s="186">
        <v>0</v>
      </c>
      <c r="AI47" s="186">
        <v>18636</v>
      </c>
      <c r="AJ47" s="186">
        <v>7349</v>
      </c>
      <c r="AK47" s="186">
        <v>43093</v>
      </c>
      <c r="AL47" s="183">
        <f t="shared" si="1"/>
        <v>257107</v>
      </c>
      <c r="AM47" s="186"/>
      <c r="AN47" s="186">
        <v>722552</v>
      </c>
      <c r="AO47" s="186">
        <v>62442</v>
      </c>
      <c r="AP47" s="186">
        <v>107968</v>
      </c>
      <c r="AQ47" s="186">
        <v>0</v>
      </c>
      <c r="AR47" s="186">
        <v>4745</v>
      </c>
      <c r="AS47" s="186">
        <v>1791</v>
      </c>
      <c r="AT47" s="186">
        <v>0</v>
      </c>
      <c r="AU47" s="186">
        <v>0</v>
      </c>
      <c r="AV47" s="186">
        <v>21275</v>
      </c>
      <c r="AW47" s="186">
        <v>389</v>
      </c>
      <c r="AX47" s="186">
        <v>44422</v>
      </c>
      <c r="AY47" s="183">
        <f t="shared" si="2"/>
        <v>244705</v>
      </c>
      <c r="AZ47" s="186"/>
      <c r="BA47" s="186">
        <v>226506</v>
      </c>
      <c r="BB47" s="186">
        <v>5174</v>
      </c>
      <c r="BC47" s="186">
        <v>20823</v>
      </c>
      <c r="BD47" s="186">
        <v>0</v>
      </c>
      <c r="BE47" s="186">
        <v>2239</v>
      </c>
      <c r="BF47" s="186">
        <v>0</v>
      </c>
      <c r="BG47" s="186">
        <v>0</v>
      </c>
      <c r="BH47" s="186">
        <v>0</v>
      </c>
      <c r="BI47" s="186">
        <v>0</v>
      </c>
      <c r="BJ47" s="186">
        <v>0</v>
      </c>
      <c r="BK47" s="186">
        <v>5094</v>
      </c>
      <c r="BL47" s="183">
        <f t="shared" si="3"/>
        <v>47524</v>
      </c>
      <c r="BM47" s="186"/>
      <c r="BN47" s="186">
        <v>251192</v>
      </c>
      <c r="BO47" s="186">
        <v>5911</v>
      </c>
      <c r="BP47" s="186">
        <v>18512</v>
      </c>
      <c r="BQ47" s="186">
        <v>0</v>
      </c>
      <c r="BR47" s="186">
        <v>2008</v>
      </c>
      <c r="BS47" s="186">
        <v>0</v>
      </c>
      <c r="BT47" s="186">
        <v>0</v>
      </c>
      <c r="BU47" s="186">
        <v>0</v>
      </c>
      <c r="BV47" s="186">
        <v>0</v>
      </c>
      <c r="BW47" s="186">
        <v>0</v>
      </c>
      <c r="BX47" s="186">
        <v>4718</v>
      </c>
      <c r="BY47" s="183">
        <f t="shared" si="4"/>
        <v>43683</v>
      </c>
      <c r="BZ47" s="186"/>
      <c r="CA47" s="186">
        <v>224935</v>
      </c>
      <c r="CB47" s="186">
        <v>5639</v>
      </c>
      <c r="CC47" s="186">
        <v>17754</v>
      </c>
      <c r="CD47" s="186">
        <v>0</v>
      </c>
      <c r="CE47" s="186">
        <v>1269</v>
      </c>
      <c r="CF47" s="186">
        <v>0</v>
      </c>
      <c r="CG47" s="186">
        <v>0</v>
      </c>
      <c r="CH47" s="186">
        <v>0</v>
      </c>
      <c r="CI47" s="186">
        <v>0</v>
      </c>
      <c r="CJ47" s="186">
        <v>0</v>
      </c>
      <c r="CK47" s="186">
        <v>4295</v>
      </c>
      <c r="CL47" s="183">
        <f t="shared" si="5"/>
        <v>48429</v>
      </c>
      <c r="CM47" s="186"/>
      <c r="CN47" s="186">
        <v>0</v>
      </c>
      <c r="CO47" s="186">
        <v>0</v>
      </c>
      <c r="CP47" s="186">
        <v>0</v>
      </c>
      <c r="CQ47" s="186">
        <v>0</v>
      </c>
      <c r="CR47" s="186">
        <v>0</v>
      </c>
      <c r="CS47" s="186">
        <v>0</v>
      </c>
      <c r="CT47" s="186">
        <v>0</v>
      </c>
      <c r="CU47" s="186">
        <v>0</v>
      </c>
      <c r="CV47" s="186">
        <v>0</v>
      </c>
      <c r="CW47" s="186">
        <v>0</v>
      </c>
      <c r="CX47" s="186">
        <v>0</v>
      </c>
      <c r="CY47" s="183">
        <f t="shared" si="6"/>
        <v>0</v>
      </c>
      <c r="CZ47" s="186"/>
      <c r="DA47" s="186">
        <v>0</v>
      </c>
      <c r="DB47" s="186">
        <v>0</v>
      </c>
      <c r="DC47" s="186">
        <v>0</v>
      </c>
      <c r="DD47" s="186">
        <v>0</v>
      </c>
      <c r="DE47" s="186">
        <v>0</v>
      </c>
      <c r="DF47" s="186">
        <v>0</v>
      </c>
      <c r="DG47" s="186">
        <v>0</v>
      </c>
      <c r="DH47" s="186">
        <v>0</v>
      </c>
      <c r="DI47" s="186">
        <v>0</v>
      </c>
      <c r="DJ47" s="186">
        <v>0</v>
      </c>
      <c r="DK47" s="186">
        <v>0</v>
      </c>
      <c r="DL47" s="183">
        <f t="shared" si="7"/>
        <v>0</v>
      </c>
      <c r="DM47" s="186"/>
      <c r="DN47" s="186">
        <v>0</v>
      </c>
      <c r="DO47" s="186">
        <v>0</v>
      </c>
      <c r="DP47" s="186">
        <v>0</v>
      </c>
      <c r="DQ47" s="186">
        <v>0</v>
      </c>
      <c r="DR47" s="186">
        <v>0</v>
      </c>
      <c r="DS47" s="186">
        <v>0</v>
      </c>
      <c r="DT47" s="186">
        <v>0</v>
      </c>
      <c r="DU47" s="186">
        <v>0</v>
      </c>
      <c r="DV47" s="186">
        <v>0</v>
      </c>
      <c r="DW47" s="186">
        <v>0</v>
      </c>
      <c r="DX47" s="186">
        <v>0</v>
      </c>
      <c r="DY47" s="183">
        <f t="shared" si="8"/>
        <v>0</v>
      </c>
      <c r="DZ47" s="182"/>
      <c r="EA47" s="187">
        <f t="shared" si="16"/>
        <v>309136</v>
      </c>
      <c r="EB47" s="187">
        <f t="shared" si="16"/>
        <v>300790</v>
      </c>
      <c r="EC47" s="187">
        <f t="shared" si="16"/>
        <v>293134</v>
      </c>
      <c r="ED47" s="182"/>
      <c r="EE47" s="187" t="str">
        <f t="shared" si="10"/>
        <v/>
      </c>
      <c r="EF47" s="184" t="str">
        <f t="shared" si="11"/>
        <v/>
      </c>
      <c r="EG47" s="184" t="str">
        <f t="shared" si="12"/>
        <v/>
      </c>
      <c r="EH47" s="189"/>
      <c r="EI47" s="186">
        <v>4320393</v>
      </c>
      <c r="EJ47" s="186">
        <v>3362849</v>
      </c>
      <c r="EK47" s="186">
        <v>691126</v>
      </c>
      <c r="EL47" s="186">
        <v>0</v>
      </c>
      <c r="EM47" s="186">
        <v>266419</v>
      </c>
      <c r="EN47" s="183">
        <f t="shared" si="13"/>
        <v>4053975</v>
      </c>
      <c r="EO47" s="186">
        <v>3918376</v>
      </c>
      <c r="EP47" s="186">
        <v>3054683</v>
      </c>
      <c r="EQ47" s="186">
        <v>621855</v>
      </c>
      <c r="ER47" s="186">
        <v>0</v>
      </c>
      <c r="ES47" s="186">
        <v>241838</v>
      </c>
      <c r="ET47" s="183">
        <f t="shared" si="14"/>
        <v>3676538</v>
      </c>
      <c r="EU47" s="186">
        <v>3582010</v>
      </c>
      <c r="EV47" s="186">
        <v>2840183</v>
      </c>
      <c r="EW47" s="186">
        <v>566370</v>
      </c>
      <c r="EX47" s="186">
        <v>0</v>
      </c>
      <c r="EY47" s="186">
        <v>175456</v>
      </c>
      <c r="EZ47" s="183">
        <f t="shared" si="15"/>
        <v>3406553</v>
      </c>
    </row>
    <row r="48" spans="1:156" x14ac:dyDescent="0.2">
      <c r="A48" s="182" t="s">
        <v>420</v>
      </c>
      <c r="B48" s="185">
        <v>4887639</v>
      </c>
      <c r="C48" s="182" t="s">
        <v>312</v>
      </c>
      <c r="D48" s="186">
        <v>119987</v>
      </c>
      <c r="E48" s="186">
        <v>4177</v>
      </c>
      <c r="F48" s="186">
        <v>0</v>
      </c>
      <c r="G48" s="186">
        <v>72536</v>
      </c>
      <c r="H48" s="186">
        <v>3980</v>
      </c>
      <c r="I48" s="186">
        <v>0</v>
      </c>
      <c r="J48" s="186">
        <v>72000</v>
      </c>
      <c r="K48" s="186">
        <v>3886</v>
      </c>
      <c r="L48" s="186">
        <v>0</v>
      </c>
      <c r="M48" s="186"/>
      <c r="N48" s="186">
        <v>72513</v>
      </c>
      <c r="O48" s="186">
        <v>4905</v>
      </c>
      <c r="P48" s="186">
        <v>10866</v>
      </c>
      <c r="Q48" s="186">
        <v>0</v>
      </c>
      <c r="R48" s="186">
        <v>64</v>
      </c>
      <c r="S48" s="186">
        <v>0</v>
      </c>
      <c r="T48" s="186">
        <v>243</v>
      </c>
      <c r="U48" s="186">
        <v>0</v>
      </c>
      <c r="V48" s="186">
        <v>539</v>
      </c>
      <c r="W48" s="186">
        <v>8</v>
      </c>
      <c r="X48" s="186">
        <v>4021</v>
      </c>
      <c r="Y48" s="183">
        <f t="shared" si="0"/>
        <v>26844</v>
      </c>
      <c r="Z48" s="186"/>
      <c r="AA48" s="186">
        <v>52190</v>
      </c>
      <c r="AB48" s="186">
        <v>2211</v>
      </c>
      <c r="AC48" s="186">
        <v>4486</v>
      </c>
      <c r="AD48" s="186">
        <v>0</v>
      </c>
      <c r="AE48" s="186">
        <v>42</v>
      </c>
      <c r="AF48" s="186">
        <v>0</v>
      </c>
      <c r="AG48" s="186">
        <v>0</v>
      </c>
      <c r="AH48" s="186">
        <v>0</v>
      </c>
      <c r="AI48" s="186">
        <v>539</v>
      </c>
      <c r="AJ48" s="186">
        <v>8</v>
      </c>
      <c r="AK48" s="186">
        <v>2097</v>
      </c>
      <c r="AL48" s="183">
        <f t="shared" si="1"/>
        <v>10979</v>
      </c>
      <c r="AM48" s="186"/>
      <c r="AN48" s="186">
        <v>53259</v>
      </c>
      <c r="AO48" s="186">
        <v>2744</v>
      </c>
      <c r="AP48" s="186">
        <v>4198</v>
      </c>
      <c r="AQ48" s="186">
        <v>0</v>
      </c>
      <c r="AR48" s="186">
        <v>0</v>
      </c>
      <c r="AS48" s="186">
        <v>13</v>
      </c>
      <c r="AT48" s="186">
        <v>-47</v>
      </c>
      <c r="AU48" s="186">
        <v>0</v>
      </c>
      <c r="AV48" s="186">
        <v>0</v>
      </c>
      <c r="AW48" s="186">
        <v>0</v>
      </c>
      <c r="AX48" s="186">
        <v>2912</v>
      </c>
      <c r="AY48" s="183">
        <f t="shared" si="2"/>
        <v>8921</v>
      </c>
      <c r="AZ48" s="186"/>
      <c r="BA48" s="186">
        <v>3434</v>
      </c>
      <c r="BB48" s="186">
        <v>44</v>
      </c>
      <c r="BC48" s="186">
        <v>205</v>
      </c>
      <c r="BD48" s="186">
        <v>0</v>
      </c>
      <c r="BE48" s="186">
        <v>8</v>
      </c>
      <c r="BF48" s="186">
        <v>0</v>
      </c>
      <c r="BG48" s="186">
        <v>0</v>
      </c>
      <c r="BH48" s="186">
        <v>0</v>
      </c>
      <c r="BI48" s="186">
        <v>0</v>
      </c>
      <c r="BJ48" s="186">
        <v>0</v>
      </c>
      <c r="BK48" s="186">
        <v>712</v>
      </c>
      <c r="BL48" s="183">
        <f t="shared" si="3"/>
        <v>-226</v>
      </c>
      <c r="BM48" s="186"/>
      <c r="BN48" s="186">
        <v>3420</v>
      </c>
      <c r="BO48" s="186">
        <v>120</v>
      </c>
      <c r="BP48" s="186">
        <v>170</v>
      </c>
      <c r="BQ48" s="186">
        <v>0</v>
      </c>
      <c r="BR48" s="186">
        <v>2</v>
      </c>
      <c r="BS48" s="186">
        <v>0</v>
      </c>
      <c r="BT48" s="186">
        <v>0</v>
      </c>
      <c r="BU48" s="186">
        <v>0</v>
      </c>
      <c r="BV48" s="186">
        <v>0</v>
      </c>
      <c r="BW48" s="186">
        <v>0</v>
      </c>
      <c r="BX48" s="186">
        <v>803</v>
      </c>
      <c r="BY48" s="183">
        <f t="shared" si="4"/>
        <v>-535</v>
      </c>
      <c r="BZ48" s="186"/>
      <c r="CA48" s="186">
        <v>3353</v>
      </c>
      <c r="CB48" s="186">
        <v>92</v>
      </c>
      <c r="CC48" s="186">
        <v>166</v>
      </c>
      <c r="CD48" s="186">
        <v>0</v>
      </c>
      <c r="CE48" s="186">
        <v>0</v>
      </c>
      <c r="CF48" s="186">
        <v>0</v>
      </c>
      <c r="CG48" s="186">
        <v>0</v>
      </c>
      <c r="CH48" s="186">
        <v>0</v>
      </c>
      <c r="CI48" s="186">
        <v>0</v>
      </c>
      <c r="CJ48" s="186">
        <v>0</v>
      </c>
      <c r="CK48" s="186">
        <v>8</v>
      </c>
      <c r="CL48" s="183">
        <f t="shared" si="5"/>
        <v>267</v>
      </c>
      <c r="CM48" s="186"/>
      <c r="CN48" s="186">
        <v>0</v>
      </c>
      <c r="CO48" s="186">
        <v>0</v>
      </c>
      <c r="CP48" s="186">
        <v>0</v>
      </c>
      <c r="CQ48" s="186">
        <v>0</v>
      </c>
      <c r="CR48" s="186">
        <v>0</v>
      </c>
      <c r="CS48" s="186">
        <v>0</v>
      </c>
      <c r="CT48" s="186">
        <v>0</v>
      </c>
      <c r="CU48" s="186">
        <v>0</v>
      </c>
      <c r="CV48" s="186">
        <v>0</v>
      </c>
      <c r="CW48" s="186">
        <v>0</v>
      </c>
      <c r="CX48" s="186">
        <v>0</v>
      </c>
      <c r="CY48" s="183">
        <f t="shared" si="6"/>
        <v>0</v>
      </c>
      <c r="CZ48" s="186"/>
      <c r="DA48" s="186">
        <v>0</v>
      </c>
      <c r="DB48" s="186">
        <v>0</v>
      </c>
      <c r="DC48" s="186">
        <v>0</v>
      </c>
      <c r="DD48" s="186">
        <v>0</v>
      </c>
      <c r="DE48" s="186">
        <v>0</v>
      </c>
      <c r="DF48" s="186">
        <v>0</v>
      </c>
      <c r="DG48" s="186">
        <v>0</v>
      </c>
      <c r="DH48" s="186">
        <v>0</v>
      </c>
      <c r="DI48" s="186">
        <v>0</v>
      </c>
      <c r="DJ48" s="186">
        <v>0</v>
      </c>
      <c r="DK48" s="186">
        <v>0</v>
      </c>
      <c r="DL48" s="183">
        <f t="shared" si="7"/>
        <v>0</v>
      </c>
      <c r="DM48" s="186"/>
      <c r="DN48" s="186">
        <v>0</v>
      </c>
      <c r="DO48" s="186">
        <v>0</v>
      </c>
      <c r="DP48" s="186">
        <v>0</v>
      </c>
      <c r="DQ48" s="186">
        <v>0</v>
      </c>
      <c r="DR48" s="186">
        <v>0</v>
      </c>
      <c r="DS48" s="186">
        <v>0</v>
      </c>
      <c r="DT48" s="186">
        <v>0</v>
      </c>
      <c r="DU48" s="186">
        <v>0</v>
      </c>
      <c r="DV48" s="186">
        <v>0</v>
      </c>
      <c r="DW48" s="186">
        <v>0</v>
      </c>
      <c r="DX48" s="186">
        <v>0</v>
      </c>
      <c r="DY48" s="183">
        <f t="shared" si="8"/>
        <v>0</v>
      </c>
      <c r="DZ48" s="182"/>
      <c r="EA48" s="187">
        <f t="shared" si="16"/>
        <v>26618</v>
      </c>
      <c r="EB48" s="187">
        <f t="shared" si="16"/>
        <v>10444</v>
      </c>
      <c r="EC48" s="187">
        <f t="shared" si="16"/>
        <v>9188</v>
      </c>
      <c r="ED48" s="182"/>
      <c r="EE48" s="187" t="str">
        <f t="shared" si="10"/>
        <v/>
      </c>
      <c r="EF48" s="184" t="str">
        <f t="shared" si="11"/>
        <v/>
      </c>
      <c r="EG48" s="184" t="str">
        <f t="shared" si="12"/>
        <v/>
      </c>
      <c r="EH48" s="189"/>
      <c r="EI48" s="186">
        <v>381570</v>
      </c>
      <c r="EJ48" s="186">
        <v>372612</v>
      </c>
      <c r="EK48" s="186">
        <v>7634</v>
      </c>
      <c r="EL48" s="186">
        <v>0</v>
      </c>
      <c r="EM48" s="186">
        <v>1324</v>
      </c>
      <c r="EN48" s="183">
        <f t="shared" si="13"/>
        <v>380246</v>
      </c>
      <c r="EO48" s="186">
        <v>322458</v>
      </c>
      <c r="EP48" s="186">
        <v>314967</v>
      </c>
      <c r="EQ48" s="186">
        <v>6453</v>
      </c>
      <c r="ER48" s="186">
        <v>0</v>
      </c>
      <c r="ES48" s="186">
        <v>1039</v>
      </c>
      <c r="ET48" s="183">
        <f t="shared" si="14"/>
        <v>321420</v>
      </c>
      <c r="EU48" s="186">
        <v>163489</v>
      </c>
      <c r="EV48" s="186">
        <v>158569</v>
      </c>
      <c r="EW48" s="186">
        <v>4920</v>
      </c>
      <c r="EX48" s="186">
        <v>0</v>
      </c>
      <c r="EY48" s="186">
        <v>0</v>
      </c>
      <c r="EZ48" s="183">
        <f t="shared" si="15"/>
        <v>163489</v>
      </c>
    </row>
    <row r="49" spans="1:156" x14ac:dyDescent="0.2">
      <c r="A49" s="182" t="s">
        <v>421</v>
      </c>
      <c r="B49" s="185">
        <v>4057754</v>
      </c>
      <c r="C49" s="182" t="s">
        <v>55</v>
      </c>
      <c r="D49" s="186">
        <v>4495412</v>
      </c>
      <c r="E49" s="186">
        <v>577083</v>
      </c>
      <c r="F49" s="186">
        <v>0</v>
      </c>
      <c r="G49" s="186">
        <v>4495460</v>
      </c>
      <c r="H49" s="186">
        <v>585546</v>
      </c>
      <c r="I49" s="186">
        <v>0</v>
      </c>
      <c r="J49" s="186">
        <v>4430078</v>
      </c>
      <c r="K49" s="186">
        <v>521669</v>
      </c>
      <c r="L49" s="186">
        <v>0</v>
      </c>
      <c r="M49" s="186"/>
      <c r="N49" s="186">
        <v>2623644</v>
      </c>
      <c r="O49" s="186">
        <v>240956</v>
      </c>
      <c r="P49" s="186">
        <v>608311</v>
      </c>
      <c r="Q49" s="186">
        <v>-11299</v>
      </c>
      <c r="R49" s="186">
        <v>70098</v>
      </c>
      <c r="S49" s="186">
        <v>16</v>
      </c>
      <c r="T49" s="186">
        <v>8689</v>
      </c>
      <c r="U49" s="186">
        <v>0</v>
      </c>
      <c r="V49" s="186">
        <v>63749</v>
      </c>
      <c r="W49" s="186">
        <v>186157</v>
      </c>
      <c r="X49" s="186">
        <v>240030</v>
      </c>
      <c r="Y49" s="183">
        <f t="shared" si="0"/>
        <v>837375</v>
      </c>
      <c r="Z49" s="186"/>
      <c r="AA49" s="186">
        <v>2635599</v>
      </c>
      <c r="AB49" s="186">
        <v>256883</v>
      </c>
      <c r="AC49" s="186">
        <v>578297</v>
      </c>
      <c r="AD49" s="186">
        <v>-20959</v>
      </c>
      <c r="AE49" s="186">
        <v>62262</v>
      </c>
      <c r="AF49" s="186">
        <v>0</v>
      </c>
      <c r="AG49" s="186">
        <v>5612</v>
      </c>
      <c r="AH49" s="186">
        <v>0</v>
      </c>
      <c r="AI49" s="186">
        <v>100386</v>
      </c>
      <c r="AJ49" s="186">
        <v>107032</v>
      </c>
      <c r="AK49" s="186">
        <v>237177</v>
      </c>
      <c r="AL49" s="183">
        <f t="shared" si="1"/>
        <v>747235</v>
      </c>
      <c r="AM49" s="186"/>
      <c r="AN49" s="186">
        <v>2533440</v>
      </c>
      <c r="AO49" s="186">
        <v>237023</v>
      </c>
      <c r="AP49" s="186">
        <v>555887</v>
      </c>
      <c r="AQ49" s="186">
        <v>17904</v>
      </c>
      <c r="AR49" s="186">
        <v>49786</v>
      </c>
      <c r="AS49" s="186">
        <v>0</v>
      </c>
      <c r="AT49" s="186">
        <v>3782</v>
      </c>
      <c r="AU49" s="186">
        <v>0</v>
      </c>
      <c r="AV49" s="186">
        <v>60171</v>
      </c>
      <c r="AW49" s="186">
        <v>193665</v>
      </c>
      <c r="AX49" s="186">
        <v>232575</v>
      </c>
      <c r="AY49" s="183">
        <f t="shared" si="2"/>
        <v>933175</v>
      </c>
      <c r="AZ49" s="186"/>
      <c r="BA49" s="186">
        <v>434358</v>
      </c>
      <c r="BB49" s="186">
        <v>11033</v>
      </c>
      <c r="BC49" s="186">
        <v>40505</v>
      </c>
      <c r="BD49" s="186">
        <v>311</v>
      </c>
      <c r="BE49" s="186">
        <v>5558</v>
      </c>
      <c r="BF49" s="186">
        <v>0</v>
      </c>
      <c r="BG49" s="186">
        <v>0</v>
      </c>
      <c r="BH49" s="186">
        <v>0</v>
      </c>
      <c r="BI49" s="186">
        <v>543</v>
      </c>
      <c r="BJ49" s="186">
        <v>5349</v>
      </c>
      <c r="BK49" s="186">
        <v>21393</v>
      </c>
      <c r="BL49" s="183">
        <f t="shared" si="3"/>
        <v>68731</v>
      </c>
      <c r="BM49" s="186"/>
      <c r="BN49" s="186">
        <v>458661</v>
      </c>
      <c r="BO49" s="186">
        <v>9717</v>
      </c>
      <c r="BP49" s="186">
        <v>37124</v>
      </c>
      <c r="BQ49" s="186">
        <v>380</v>
      </c>
      <c r="BR49" s="186">
        <v>4719</v>
      </c>
      <c r="BS49" s="186">
        <v>0</v>
      </c>
      <c r="BT49" s="186">
        <v>0</v>
      </c>
      <c r="BU49" s="186">
        <v>0</v>
      </c>
      <c r="BV49" s="186">
        <v>191</v>
      </c>
      <c r="BW49" s="186">
        <v>7012</v>
      </c>
      <c r="BX49" s="186">
        <v>20326</v>
      </c>
      <c r="BY49" s="183">
        <f t="shared" si="4"/>
        <v>61440</v>
      </c>
      <c r="BZ49" s="186"/>
      <c r="CA49" s="186">
        <v>406043</v>
      </c>
      <c r="CB49" s="186">
        <v>8521</v>
      </c>
      <c r="CC49" s="186">
        <v>44122</v>
      </c>
      <c r="CD49" s="186">
        <v>311</v>
      </c>
      <c r="CE49" s="186">
        <v>5019</v>
      </c>
      <c r="CF49" s="186">
        <v>0</v>
      </c>
      <c r="CG49" s="186">
        <v>0</v>
      </c>
      <c r="CH49" s="186">
        <v>0</v>
      </c>
      <c r="CI49" s="186">
        <v>0</v>
      </c>
      <c r="CJ49" s="186">
        <v>17615</v>
      </c>
      <c r="CK49" s="186">
        <v>22318</v>
      </c>
      <c r="CL49" s="183">
        <f t="shared" si="5"/>
        <v>52950</v>
      </c>
      <c r="CM49" s="186"/>
      <c r="CN49" s="186">
        <v>0</v>
      </c>
      <c r="CO49" s="186">
        <v>0</v>
      </c>
      <c r="CP49" s="186">
        <v>0</v>
      </c>
      <c r="CQ49" s="186">
        <v>0</v>
      </c>
      <c r="CR49" s="186">
        <v>0</v>
      </c>
      <c r="CS49" s="186">
        <v>0</v>
      </c>
      <c r="CT49" s="186">
        <v>0</v>
      </c>
      <c r="CU49" s="186">
        <v>0</v>
      </c>
      <c r="CV49" s="186">
        <v>0</v>
      </c>
      <c r="CW49" s="186">
        <v>0</v>
      </c>
      <c r="CX49" s="186">
        <v>0</v>
      </c>
      <c r="CY49" s="183">
        <f t="shared" si="6"/>
        <v>0</v>
      </c>
      <c r="CZ49" s="186"/>
      <c r="DA49" s="186">
        <v>0</v>
      </c>
      <c r="DB49" s="186">
        <v>0</v>
      </c>
      <c r="DC49" s="186">
        <v>0</v>
      </c>
      <c r="DD49" s="186">
        <v>0</v>
      </c>
      <c r="DE49" s="186">
        <v>0</v>
      </c>
      <c r="DF49" s="186">
        <v>0</v>
      </c>
      <c r="DG49" s="186">
        <v>0</v>
      </c>
      <c r="DH49" s="186">
        <v>0</v>
      </c>
      <c r="DI49" s="186">
        <v>0</v>
      </c>
      <c r="DJ49" s="186">
        <v>0</v>
      </c>
      <c r="DK49" s="186">
        <v>0</v>
      </c>
      <c r="DL49" s="183">
        <f t="shared" si="7"/>
        <v>0</v>
      </c>
      <c r="DM49" s="186"/>
      <c r="DN49" s="186">
        <v>0</v>
      </c>
      <c r="DO49" s="186">
        <v>0</v>
      </c>
      <c r="DP49" s="186">
        <v>0</v>
      </c>
      <c r="DQ49" s="186">
        <v>0</v>
      </c>
      <c r="DR49" s="186">
        <v>0</v>
      </c>
      <c r="DS49" s="186">
        <v>0</v>
      </c>
      <c r="DT49" s="186">
        <v>0</v>
      </c>
      <c r="DU49" s="186">
        <v>0</v>
      </c>
      <c r="DV49" s="186">
        <v>0</v>
      </c>
      <c r="DW49" s="186">
        <v>0</v>
      </c>
      <c r="DX49" s="186">
        <v>0</v>
      </c>
      <c r="DY49" s="183">
        <f t="shared" si="8"/>
        <v>0</v>
      </c>
      <c r="DZ49" s="182"/>
      <c r="EA49" s="187">
        <f t="shared" si="16"/>
        <v>906106</v>
      </c>
      <c r="EB49" s="187">
        <f t="shared" si="16"/>
        <v>808675</v>
      </c>
      <c r="EC49" s="187">
        <f t="shared" si="16"/>
        <v>986125</v>
      </c>
      <c r="ED49" s="182"/>
      <c r="EE49" s="187" t="str">
        <f t="shared" si="10"/>
        <v/>
      </c>
      <c r="EF49" s="184" t="str">
        <f t="shared" si="11"/>
        <v/>
      </c>
      <c r="EG49" s="184" t="str">
        <f t="shared" si="12"/>
        <v/>
      </c>
      <c r="EH49" s="182"/>
      <c r="EI49" s="186">
        <v>13833838</v>
      </c>
      <c r="EJ49" s="186">
        <v>12272660</v>
      </c>
      <c r="EK49" s="186">
        <v>945112</v>
      </c>
      <c r="EL49" s="186">
        <v>0</v>
      </c>
      <c r="EM49" s="186">
        <v>616065</v>
      </c>
      <c r="EN49" s="183">
        <f t="shared" si="13"/>
        <v>13217772</v>
      </c>
      <c r="EO49" s="186">
        <v>12592651</v>
      </c>
      <c r="EP49" s="186">
        <v>11189662</v>
      </c>
      <c r="EQ49" s="186">
        <v>868112</v>
      </c>
      <c r="ER49" s="186">
        <v>0</v>
      </c>
      <c r="ES49" s="186">
        <v>534877</v>
      </c>
      <c r="ET49" s="183">
        <f t="shared" si="14"/>
        <v>12057774</v>
      </c>
      <c r="EU49" s="186">
        <v>12062960</v>
      </c>
      <c r="EV49" s="186">
        <v>10757872</v>
      </c>
      <c r="EW49" s="186">
        <v>795082</v>
      </c>
      <c r="EX49" s="186">
        <v>0</v>
      </c>
      <c r="EY49" s="186">
        <v>510006</v>
      </c>
      <c r="EZ49" s="183">
        <f t="shared" si="15"/>
        <v>11552954</v>
      </c>
    </row>
    <row r="50" spans="1:156" x14ac:dyDescent="0.2">
      <c r="A50" s="182" t="s">
        <v>422</v>
      </c>
      <c r="B50" s="185">
        <v>4061925</v>
      </c>
      <c r="C50" s="182" t="s">
        <v>55</v>
      </c>
      <c r="D50" s="186">
        <v>844291</v>
      </c>
      <c r="E50" s="186">
        <v>134530</v>
      </c>
      <c r="F50" s="186">
        <v>138</v>
      </c>
      <c r="G50" s="186">
        <v>877737</v>
      </c>
      <c r="H50" s="186">
        <v>144510</v>
      </c>
      <c r="I50" s="186">
        <v>143</v>
      </c>
      <c r="J50" s="186">
        <v>880941</v>
      </c>
      <c r="K50" s="186">
        <v>124185</v>
      </c>
      <c r="L50" s="186">
        <v>173</v>
      </c>
      <c r="M50" s="186"/>
      <c r="N50" s="186">
        <v>570841</v>
      </c>
      <c r="O50" s="186">
        <v>24424</v>
      </c>
      <c r="P50" s="186">
        <v>98423</v>
      </c>
      <c r="Q50" s="186">
        <v>359</v>
      </c>
      <c r="R50" s="186">
        <v>10541</v>
      </c>
      <c r="S50" s="186">
        <v>0</v>
      </c>
      <c r="T50" s="186">
        <v>0</v>
      </c>
      <c r="U50" s="186">
        <v>0</v>
      </c>
      <c r="V50" s="186">
        <v>8</v>
      </c>
      <c r="W50" s="186">
        <v>1211</v>
      </c>
      <c r="X50" s="186">
        <v>26902</v>
      </c>
      <c r="Y50" s="183">
        <f t="shared" si="0"/>
        <v>114004</v>
      </c>
      <c r="Z50" s="186"/>
      <c r="AA50" s="186">
        <v>590987</v>
      </c>
      <c r="AB50" s="186">
        <v>24341</v>
      </c>
      <c r="AC50" s="186">
        <v>87879</v>
      </c>
      <c r="AD50" s="186">
        <v>258</v>
      </c>
      <c r="AE50" s="186">
        <v>9895</v>
      </c>
      <c r="AF50" s="186">
        <v>0</v>
      </c>
      <c r="AG50" s="186">
        <v>0</v>
      </c>
      <c r="AH50" s="186">
        <v>0</v>
      </c>
      <c r="AI50" s="186">
        <v>0</v>
      </c>
      <c r="AJ50" s="186">
        <v>378</v>
      </c>
      <c r="AK50" s="186">
        <v>26390</v>
      </c>
      <c r="AL50" s="183">
        <f t="shared" si="1"/>
        <v>138365</v>
      </c>
      <c r="AM50" s="186"/>
      <c r="AN50" s="186">
        <v>607781</v>
      </c>
      <c r="AO50" s="186">
        <v>24969</v>
      </c>
      <c r="AP50" s="186">
        <v>81546</v>
      </c>
      <c r="AQ50" s="186">
        <v>183</v>
      </c>
      <c r="AR50" s="186">
        <v>7361</v>
      </c>
      <c r="AS50" s="186">
        <v>0</v>
      </c>
      <c r="AT50" s="186">
        <v>0</v>
      </c>
      <c r="AU50" s="186">
        <v>0</v>
      </c>
      <c r="AV50" s="186">
        <v>0</v>
      </c>
      <c r="AW50" s="186">
        <v>265</v>
      </c>
      <c r="AX50" s="186">
        <v>25696</v>
      </c>
      <c r="AY50" s="183">
        <f t="shared" si="2"/>
        <v>133670</v>
      </c>
      <c r="AZ50" s="186"/>
      <c r="BA50" s="186">
        <v>101728</v>
      </c>
      <c r="BB50" s="186">
        <v>1570</v>
      </c>
      <c r="BC50" s="186">
        <v>11919</v>
      </c>
      <c r="BD50" s="186">
        <v>71</v>
      </c>
      <c r="BE50" s="186">
        <v>1047</v>
      </c>
      <c r="BF50" s="186">
        <v>0</v>
      </c>
      <c r="BG50" s="186">
        <v>0</v>
      </c>
      <c r="BH50" s="186">
        <v>0</v>
      </c>
      <c r="BI50" s="186">
        <v>103</v>
      </c>
      <c r="BJ50" s="186">
        <v>463</v>
      </c>
      <c r="BK50" s="186">
        <v>2341</v>
      </c>
      <c r="BL50" s="183">
        <f t="shared" si="3"/>
        <v>16214</v>
      </c>
      <c r="BM50" s="186"/>
      <c r="BN50" s="186">
        <v>108971</v>
      </c>
      <c r="BO50" s="186">
        <v>1675</v>
      </c>
      <c r="BP50" s="186">
        <v>11205</v>
      </c>
      <c r="BQ50" s="186">
        <v>87</v>
      </c>
      <c r="BR50" s="186">
        <v>943</v>
      </c>
      <c r="BS50" s="186">
        <v>0</v>
      </c>
      <c r="BT50" s="186">
        <v>0</v>
      </c>
      <c r="BU50" s="186">
        <v>0</v>
      </c>
      <c r="BV50" s="186">
        <v>0</v>
      </c>
      <c r="BW50" s="186">
        <v>504</v>
      </c>
      <c r="BX50" s="186">
        <v>2280</v>
      </c>
      <c r="BY50" s="183">
        <f t="shared" si="4"/>
        <v>19853</v>
      </c>
      <c r="BZ50" s="186"/>
      <c r="CA50" s="186">
        <v>95358</v>
      </c>
      <c r="CB50" s="186">
        <v>1690</v>
      </c>
      <c r="CC50" s="186">
        <v>10570</v>
      </c>
      <c r="CD50" s="186">
        <v>75</v>
      </c>
      <c r="CE50" s="186">
        <v>831</v>
      </c>
      <c r="CF50" s="186">
        <v>0</v>
      </c>
      <c r="CG50" s="186">
        <v>0</v>
      </c>
      <c r="CH50" s="186">
        <v>0</v>
      </c>
      <c r="CI50" s="186">
        <v>0</v>
      </c>
      <c r="CJ50" s="186">
        <v>415</v>
      </c>
      <c r="CK50" s="186">
        <v>2062</v>
      </c>
      <c r="CL50" s="183">
        <f t="shared" si="5"/>
        <v>14014</v>
      </c>
      <c r="CM50" s="186"/>
      <c r="CN50" s="186">
        <v>0</v>
      </c>
      <c r="CO50" s="186">
        <v>0</v>
      </c>
      <c r="CP50" s="186">
        <v>38</v>
      </c>
      <c r="CQ50" s="186">
        <v>0</v>
      </c>
      <c r="CR50" s="186">
        <v>0</v>
      </c>
      <c r="CS50" s="186">
        <v>0</v>
      </c>
      <c r="CT50" s="186">
        <v>0</v>
      </c>
      <c r="CU50" s="186">
        <v>0</v>
      </c>
      <c r="CV50" s="186">
        <v>0</v>
      </c>
      <c r="CW50" s="186">
        <v>0</v>
      </c>
      <c r="CX50" s="186">
        <v>0</v>
      </c>
      <c r="CY50" s="183">
        <f t="shared" si="6"/>
        <v>100</v>
      </c>
      <c r="CZ50" s="186"/>
      <c r="DA50" s="186">
        <v>0</v>
      </c>
      <c r="DB50" s="186">
        <v>0</v>
      </c>
      <c r="DC50" s="186">
        <v>38</v>
      </c>
      <c r="DD50" s="186">
        <v>0</v>
      </c>
      <c r="DE50" s="186">
        <v>0</v>
      </c>
      <c r="DF50" s="186">
        <v>0</v>
      </c>
      <c r="DG50" s="186">
        <v>0</v>
      </c>
      <c r="DH50" s="186">
        <v>0</v>
      </c>
      <c r="DI50" s="186">
        <v>0</v>
      </c>
      <c r="DJ50" s="186">
        <v>0</v>
      </c>
      <c r="DK50" s="186">
        <v>0</v>
      </c>
      <c r="DL50" s="183">
        <f t="shared" si="7"/>
        <v>105</v>
      </c>
      <c r="DM50" s="186"/>
      <c r="DN50" s="186">
        <v>0</v>
      </c>
      <c r="DO50" s="186">
        <v>0</v>
      </c>
      <c r="DP50" s="186">
        <v>38</v>
      </c>
      <c r="DQ50" s="186">
        <v>0</v>
      </c>
      <c r="DR50" s="186">
        <v>0</v>
      </c>
      <c r="DS50" s="186">
        <v>0</v>
      </c>
      <c r="DT50" s="186">
        <v>0</v>
      </c>
      <c r="DU50" s="186">
        <v>0</v>
      </c>
      <c r="DV50" s="186">
        <v>0</v>
      </c>
      <c r="DW50" s="186">
        <v>0</v>
      </c>
      <c r="DX50" s="186">
        <v>0</v>
      </c>
      <c r="DY50" s="183">
        <f t="shared" si="8"/>
        <v>135</v>
      </c>
      <c r="DZ50" s="182"/>
      <c r="EA50" s="187">
        <f t="shared" si="16"/>
        <v>130318</v>
      </c>
      <c r="EB50" s="187">
        <f t="shared" si="16"/>
        <v>158323</v>
      </c>
      <c r="EC50" s="187">
        <f t="shared" si="16"/>
        <v>147819</v>
      </c>
      <c r="ED50" s="182"/>
      <c r="EE50" s="187" t="str">
        <f t="shared" si="10"/>
        <v/>
      </c>
      <c r="EF50" s="184" t="str">
        <f t="shared" si="11"/>
        <v/>
      </c>
      <c r="EG50" s="184" t="str">
        <f t="shared" si="12"/>
        <v/>
      </c>
      <c r="EH50" s="182"/>
      <c r="EI50" s="186">
        <v>2193879</v>
      </c>
      <c r="EJ50" s="186">
        <v>1859081</v>
      </c>
      <c r="EK50" s="186">
        <v>194927</v>
      </c>
      <c r="EL50" s="186">
        <v>0</v>
      </c>
      <c r="EM50" s="186">
        <v>139871</v>
      </c>
      <c r="EN50" s="183">
        <f t="shared" si="13"/>
        <v>2054008</v>
      </c>
      <c r="EO50" s="186">
        <v>2089019</v>
      </c>
      <c r="EP50" s="186">
        <v>1769307</v>
      </c>
      <c r="EQ50" s="186">
        <v>182550</v>
      </c>
      <c r="ER50" s="186">
        <v>0</v>
      </c>
      <c r="ES50" s="186">
        <v>137162</v>
      </c>
      <c r="ET50" s="183">
        <f t="shared" si="14"/>
        <v>1951857</v>
      </c>
      <c r="EU50" s="186">
        <v>1942910</v>
      </c>
      <c r="EV50" s="186">
        <v>1636781</v>
      </c>
      <c r="EW50" s="186">
        <v>170913</v>
      </c>
      <c r="EX50" s="186">
        <v>0</v>
      </c>
      <c r="EY50" s="186">
        <v>135217</v>
      </c>
      <c r="EZ50" s="183">
        <f t="shared" si="15"/>
        <v>1807694</v>
      </c>
    </row>
    <row r="51" spans="1:156" x14ac:dyDescent="0.2">
      <c r="A51" s="182" t="s">
        <v>423</v>
      </c>
      <c r="B51" s="185">
        <v>4057094</v>
      </c>
      <c r="C51" s="182" t="s">
        <v>55</v>
      </c>
      <c r="D51" s="186">
        <v>3395711</v>
      </c>
      <c r="E51" s="186">
        <v>1173917</v>
      </c>
      <c r="F51" s="186">
        <v>17769</v>
      </c>
      <c r="G51" s="186">
        <v>3340496</v>
      </c>
      <c r="H51" s="186">
        <v>1025558</v>
      </c>
      <c r="I51" s="186">
        <v>16607</v>
      </c>
      <c r="J51" s="186">
        <v>3133747</v>
      </c>
      <c r="K51" s="186">
        <v>1000658</v>
      </c>
      <c r="L51" s="186">
        <v>18411</v>
      </c>
      <c r="M51" s="186"/>
      <c r="N51" s="186">
        <v>1998922</v>
      </c>
      <c r="O51" s="186">
        <v>137056</v>
      </c>
      <c r="P51" s="186">
        <v>394891</v>
      </c>
      <c r="Q51" s="186">
        <v>3206</v>
      </c>
      <c r="R51" s="186">
        <v>37116</v>
      </c>
      <c r="S51" s="186">
        <v>5534</v>
      </c>
      <c r="T51" s="186">
        <v>-29371</v>
      </c>
      <c r="U51" s="186">
        <v>0</v>
      </c>
      <c r="V51" s="186">
        <v>80518</v>
      </c>
      <c r="W51" s="186">
        <v>61388</v>
      </c>
      <c r="X51" s="186">
        <v>163002</v>
      </c>
      <c r="Y51" s="183">
        <f t="shared" si="0"/>
        <v>666225</v>
      </c>
      <c r="Z51" s="186"/>
      <c r="AA51" s="186">
        <v>1974040</v>
      </c>
      <c r="AB51" s="186">
        <v>143343</v>
      </c>
      <c r="AC51" s="186">
        <v>305508</v>
      </c>
      <c r="AD51" s="186">
        <v>1672</v>
      </c>
      <c r="AE51" s="186">
        <v>30636</v>
      </c>
      <c r="AF51" s="186">
        <v>5534</v>
      </c>
      <c r="AG51" s="186">
        <v>4672</v>
      </c>
      <c r="AH51" s="186">
        <v>0</v>
      </c>
      <c r="AI51" s="186">
        <v>109739</v>
      </c>
      <c r="AJ51" s="186">
        <v>34456</v>
      </c>
      <c r="AK51" s="186">
        <v>151169</v>
      </c>
      <c r="AL51" s="183">
        <f t="shared" si="1"/>
        <v>648639</v>
      </c>
      <c r="AM51" s="186"/>
      <c r="AN51" s="186">
        <v>1751819</v>
      </c>
      <c r="AO51" s="186">
        <v>137419</v>
      </c>
      <c r="AP51" s="186">
        <v>296581</v>
      </c>
      <c r="AQ51" s="186">
        <v>564</v>
      </c>
      <c r="AR51" s="186">
        <v>30998</v>
      </c>
      <c r="AS51" s="186">
        <v>5534</v>
      </c>
      <c r="AT51" s="186">
        <v>8295</v>
      </c>
      <c r="AU51" s="186">
        <v>0</v>
      </c>
      <c r="AV51" s="186">
        <v>42497</v>
      </c>
      <c r="AW51" s="186">
        <v>35748</v>
      </c>
      <c r="AX51" s="186">
        <v>152024</v>
      </c>
      <c r="AY51" s="183">
        <f t="shared" si="2"/>
        <v>743764</v>
      </c>
      <c r="AZ51" s="186"/>
      <c r="BA51" s="186">
        <v>748295</v>
      </c>
      <c r="BB51" s="186">
        <v>35286</v>
      </c>
      <c r="BC51" s="186">
        <v>116666</v>
      </c>
      <c r="BD51" s="186">
        <v>1726</v>
      </c>
      <c r="BE51" s="186">
        <v>12921</v>
      </c>
      <c r="BF51" s="186">
        <v>0</v>
      </c>
      <c r="BG51" s="186">
        <v>0</v>
      </c>
      <c r="BH51" s="186">
        <v>0</v>
      </c>
      <c r="BI51" s="186">
        <v>19313</v>
      </c>
      <c r="BJ51" s="186">
        <v>25185</v>
      </c>
      <c r="BK51" s="186">
        <v>57580</v>
      </c>
      <c r="BL51" s="183">
        <f t="shared" si="3"/>
        <v>207315</v>
      </c>
      <c r="BM51" s="186"/>
      <c r="BN51" s="186">
        <v>641089</v>
      </c>
      <c r="BO51" s="186">
        <v>29178</v>
      </c>
      <c r="BP51" s="186">
        <v>105336</v>
      </c>
      <c r="BQ51" s="186">
        <v>2091</v>
      </c>
      <c r="BR51" s="186">
        <v>13917</v>
      </c>
      <c r="BS51" s="186">
        <v>0</v>
      </c>
      <c r="BT51" s="186">
        <v>0</v>
      </c>
      <c r="BU51" s="186">
        <v>0</v>
      </c>
      <c r="BV51" s="186">
        <v>30409</v>
      </c>
      <c r="BW51" s="186">
        <v>21001</v>
      </c>
      <c r="BX51" s="186">
        <v>47430</v>
      </c>
      <c r="BY51" s="183">
        <f t="shared" si="4"/>
        <v>177109</v>
      </c>
      <c r="BZ51" s="186"/>
      <c r="CA51" s="186">
        <v>658917</v>
      </c>
      <c r="CB51" s="186">
        <v>32310</v>
      </c>
      <c r="CC51" s="186">
        <v>96837</v>
      </c>
      <c r="CD51" s="186">
        <v>1616</v>
      </c>
      <c r="CE51" s="186">
        <v>15030</v>
      </c>
      <c r="CF51" s="186">
        <v>0</v>
      </c>
      <c r="CG51" s="186">
        <v>0</v>
      </c>
      <c r="CH51" s="186">
        <v>0</v>
      </c>
      <c r="CI51" s="186">
        <v>4170</v>
      </c>
      <c r="CJ51" s="186">
        <v>24747</v>
      </c>
      <c r="CK51" s="186">
        <v>47372</v>
      </c>
      <c r="CL51" s="183">
        <f t="shared" si="5"/>
        <v>169153</v>
      </c>
      <c r="CM51" s="186"/>
      <c r="CN51" s="186">
        <v>12646</v>
      </c>
      <c r="CO51" s="186">
        <v>2959</v>
      </c>
      <c r="CP51" s="186">
        <v>2856</v>
      </c>
      <c r="CQ51" s="186">
        <v>-5</v>
      </c>
      <c r="CR51" s="186">
        <v>98</v>
      </c>
      <c r="CS51" s="186">
        <v>0</v>
      </c>
      <c r="CT51" s="186">
        <v>0</v>
      </c>
      <c r="CU51" s="186">
        <v>0</v>
      </c>
      <c r="CV51" s="186">
        <v>5</v>
      </c>
      <c r="CW51" s="186">
        <v>397</v>
      </c>
      <c r="CX51" s="186">
        <v>1022</v>
      </c>
      <c r="CY51" s="183">
        <f t="shared" si="6"/>
        <v>-1415</v>
      </c>
      <c r="CZ51" s="186"/>
      <c r="DA51" s="186">
        <v>12401</v>
      </c>
      <c r="DB51" s="186">
        <v>3002</v>
      </c>
      <c r="DC51" s="186">
        <v>1959</v>
      </c>
      <c r="DD51" s="186">
        <v>-5</v>
      </c>
      <c r="DE51" s="186">
        <v>85</v>
      </c>
      <c r="DF51" s="186">
        <v>0</v>
      </c>
      <c r="DG51" s="186">
        <v>0</v>
      </c>
      <c r="DH51" s="186">
        <v>0</v>
      </c>
      <c r="DI51" s="186">
        <v>175</v>
      </c>
      <c r="DJ51" s="186">
        <v>-5</v>
      </c>
      <c r="DK51" s="186">
        <v>921</v>
      </c>
      <c r="DL51" s="183">
        <f t="shared" si="7"/>
        <v>-1936</v>
      </c>
      <c r="DM51" s="186"/>
      <c r="DN51" s="186">
        <v>12917</v>
      </c>
      <c r="DO51" s="186">
        <v>3076</v>
      </c>
      <c r="DP51" s="186">
        <v>1796</v>
      </c>
      <c r="DQ51" s="186">
        <v>31</v>
      </c>
      <c r="DR51" s="186">
        <v>60</v>
      </c>
      <c r="DS51" s="186">
        <v>0</v>
      </c>
      <c r="DT51" s="186">
        <v>0</v>
      </c>
      <c r="DU51" s="186">
        <v>0</v>
      </c>
      <c r="DV51" s="186">
        <v>0</v>
      </c>
      <c r="DW51" s="186">
        <v>39</v>
      </c>
      <c r="DX51" s="186">
        <v>896</v>
      </c>
      <c r="DY51" s="183">
        <f t="shared" si="8"/>
        <v>-326</v>
      </c>
      <c r="DZ51" s="182"/>
      <c r="EA51" s="187">
        <f t="shared" ref="EA51:EC56" si="19">SUMIF($D$9:$DY$9,EA$9,$D51:$DY51)</f>
        <v>872125</v>
      </c>
      <c r="EB51" s="187">
        <f t="shared" si="19"/>
        <v>823812</v>
      </c>
      <c r="EC51" s="187">
        <f t="shared" si="19"/>
        <v>912591</v>
      </c>
      <c r="ED51" s="182"/>
      <c r="EE51" s="187" t="str">
        <f t="shared" si="10"/>
        <v/>
      </c>
      <c r="EF51" s="184" t="str">
        <f t="shared" si="11"/>
        <v/>
      </c>
      <c r="EG51" s="184" t="str">
        <f t="shared" si="12"/>
        <v/>
      </c>
      <c r="EH51" s="182"/>
      <c r="EI51" s="186">
        <v>16573333</v>
      </c>
      <c r="EJ51" s="186">
        <v>11712758</v>
      </c>
      <c r="EK51" s="186">
        <v>3635022</v>
      </c>
      <c r="EL51" s="186">
        <v>66013</v>
      </c>
      <c r="EM51" s="186">
        <v>1159540</v>
      </c>
      <c r="EN51" s="183">
        <f t="shared" si="13"/>
        <v>15413793</v>
      </c>
      <c r="EO51" s="186">
        <v>14827781</v>
      </c>
      <c r="EP51" s="186">
        <v>10865732</v>
      </c>
      <c r="EQ51" s="186">
        <v>3345756</v>
      </c>
      <c r="ER51" s="186">
        <v>53546</v>
      </c>
      <c r="ES51" s="186">
        <v>562746</v>
      </c>
      <c r="ET51" s="183">
        <f t="shared" si="14"/>
        <v>14265034</v>
      </c>
      <c r="EU51" s="186">
        <v>13721333</v>
      </c>
      <c r="EV51" s="186">
        <v>10066683</v>
      </c>
      <c r="EW51" s="186">
        <v>3100120</v>
      </c>
      <c r="EX51" s="186">
        <v>38602</v>
      </c>
      <c r="EY51" s="186">
        <v>515929</v>
      </c>
      <c r="EZ51" s="183">
        <f t="shared" si="15"/>
        <v>13205405</v>
      </c>
    </row>
    <row r="52" spans="1:156" x14ac:dyDescent="0.2">
      <c r="A52" s="182" t="s">
        <v>424</v>
      </c>
      <c r="B52" s="185">
        <v>4057027</v>
      </c>
      <c r="C52" s="182" t="s">
        <v>55</v>
      </c>
      <c r="D52" s="186">
        <v>1772553</v>
      </c>
      <c r="E52" s="186">
        <v>0</v>
      </c>
      <c r="F52" s="186">
        <v>0</v>
      </c>
      <c r="G52" s="186">
        <v>1895673</v>
      </c>
      <c r="H52" s="186">
        <v>0</v>
      </c>
      <c r="I52" s="186">
        <v>0</v>
      </c>
      <c r="J52" s="186">
        <v>1877143</v>
      </c>
      <c r="K52" s="186">
        <v>0</v>
      </c>
      <c r="L52" s="186">
        <v>0</v>
      </c>
      <c r="M52" s="186"/>
      <c r="N52" s="186">
        <v>1064391</v>
      </c>
      <c r="O52" s="186">
        <v>59870</v>
      </c>
      <c r="P52" s="186">
        <v>196452</v>
      </c>
      <c r="Q52" s="186">
        <v>619</v>
      </c>
      <c r="R52" s="186">
        <v>27896</v>
      </c>
      <c r="S52" s="186">
        <v>0</v>
      </c>
      <c r="T52" s="186">
        <v>0</v>
      </c>
      <c r="U52" s="186">
        <v>0</v>
      </c>
      <c r="V52" s="186">
        <v>13518</v>
      </c>
      <c r="W52" s="186">
        <v>18234</v>
      </c>
      <c r="X52" s="186">
        <v>72172</v>
      </c>
      <c r="Y52" s="183">
        <f t="shared" si="0"/>
        <v>355869</v>
      </c>
      <c r="Z52" s="186"/>
      <c r="AA52" s="186">
        <v>1258034</v>
      </c>
      <c r="AB52" s="186">
        <v>59743</v>
      </c>
      <c r="AC52" s="186">
        <v>168450</v>
      </c>
      <c r="AD52" s="186">
        <v>2</v>
      </c>
      <c r="AE52" s="186">
        <v>27401</v>
      </c>
      <c r="AF52" s="186">
        <v>0</v>
      </c>
      <c r="AG52" s="186">
        <v>0</v>
      </c>
      <c r="AH52" s="186">
        <v>0</v>
      </c>
      <c r="AI52" s="186">
        <v>8751</v>
      </c>
      <c r="AJ52" s="186">
        <v>9079</v>
      </c>
      <c r="AK52" s="186">
        <v>67975</v>
      </c>
      <c r="AL52" s="183">
        <f t="shared" si="1"/>
        <v>314396</v>
      </c>
      <c r="AM52" s="186"/>
      <c r="AN52" s="186">
        <v>1247027</v>
      </c>
      <c r="AO52" s="186">
        <v>64879</v>
      </c>
      <c r="AP52" s="186">
        <v>155347</v>
      </c>
      <c r="AQ52" s="186">
        <v>-1688</v>
      </c>
      <c r="AR52" s="186">
        <v>24458</v>
      </c>
      <c r="AS52" s="186">
        <v>0</v>
      </c>
      <c r="AT52" s="186">
        <v>0</v>
      </c>
      <c r="AU52" s="186">
        <v>0</v>
      </c>
      <c r="AV52" s="186">
        <v>7159</v>
      </c>
      <c r="AW52" s="186">
        <v>-12544</v>
      </c>
      <c r="AX52" s="186">
        <v>66646</v>
      </c>
      <c r="AY52" s="183">
        <f t="shared" si="2"/>
        <v>300771</v>
      </c>
      <c r="AZ52" s="186"/>
      <c r="BA52" s="186">
        <v>0</v>
      </c>
      <c r="BB52" s="186">
        <v>0</v>
      </c>
      <c r="BC52" s="186">
        <v>0</v>
      </c>
      <c r="BD52" s="186">
        <v>0</v>
      </c>
      <c r="BE52" s="186">
        <v>0</v>
      </c>
      <c r="BF52" s="186">
        <v>0</v>
      </c>
      <c r="BG52" s="186">
        <v>0</v>
      </c>
      <c r="BH52" s="186">
        <v>0</v>
      </c>
      <c r="BI52" s="186">
        <v>0</v>
      </c>
      <c r="BJ52" s="186">
        <v>0</v>
      </c>
      <c r="BK52" s="186">
        <v>0</v>
      </c>
      <c r="BL52" s="183">
        <f t="shared" si="3"/>
        <v>0</v>
      </c>
      <c r="BM52" s="186"/>
      <c r="BN52" s="186">
        <v>0</v>
      </c>
      <c r="BO52" s="186">
        <v>0</v>
      </c>
      <c r="BP52" s="186">
        <v>0</v>
      </c>
      <c r="BQ52" s="186">
        <v>0</v>
      </c>
      <c r="BR52" s="186">
        <v>0</v>
      </c>
      <c r="BS52" s="186">
        <v>0</v>
      </c>
      <c r="BT52" s="186">
        <v>0</v>
      </c>
      <c r="BU52" s="186">
        <v>0</v>
      </c>
      <c r="BV52" s="186">
        <v>0</v>
      </c>
      <c r="BW52" s="186">
        <v>0</v>
      </c>
      <c r="BX52" s="186">
        <v>0</v>
      </c>
      <c r="BY52" s="183">
        <f t="shared" si="4"/>
        <v>0</v>
      </c>
      <c r="BZ52" s="186"/>
      <c r="CA52" s="186">
        <v>0</v>
      </c>
      <c r="CB52" s="186">
        <v>0</v>
      </c>
      <c r="CC52" s="186">
        <v>0</v>
      </c>
      <c r="CD52" s="186">
        <v>0</v>
      </c>
      <c r="CE52" s="186">
        <v>0</v>
      </c>
      <c r="CF52" s="186">
        <v>0</v>
      </c>
      <c r="CG52" s="186">
        <v>0</v>
      </c>
      <c r="CH52" s="186">
        <v>0</v>
      </c>
      <c r="CI52" s="186">
        <v>0</v>
      </c>
      <c r="CJ52" s="186">
        <v>0</v>
      </c>
      <c r="CK52" s="186">
        <v>0</v>
      </c>
      <c r="CL52" s="183">
        <f t="shared" si="5"/>
        <v>0</v>
      </c>
      <c r="CM52" s="186"/>
      <c r="CN52" s="186">
        <v>0</v>
      </c>
      <c r="CO52" s="186">
        <v>0</v>
      </c>
      <c r="CP52" s="186">
        <v>0</v>
      </c>
      <c r="CQ52" s="186">
        <v>0</v>
      </c>
      <c r="CR52" s="186">
        <v>0</v>
      </c>
      <c r="CS52" s="186">
        <v>0</v>
      </c>
      <c r="CT52" s="186">
        <v>0</v>
      </c>
      <c r="CU52" s="186">
        <v>0</v>
      </c>
      <c r="CV52" s="186">
        <v>0</v>
      </c>
      <c r="CW52" s="186">
        <v>0</v>
      </c>
      <c r="CX52" s="186">
        <v>0</v>
      </c>
      <c r="CY52" s="183">
        <f t="shared" si="6"/>
        <v>0</v>
      </c>
      <c r="CZ52" s="186"/>
      <c r="DA52" s="186">
        <v>0</v>
      </c>
      <c r="DB52" s="186">
        <v>0</v>
      </c>
      <c r="DC52" s="186">
        <v>0</v>
      </c>
      <c r="DD52" s="186">
        <v>0</v>
      </c>
      <c r="DE52" s="186">
        <v>0</v>
      </c>
      <c r="DF52" s="186">
        <v>0</v>
      </c>
      <c r="DG52" s="186">
        <v>0</v>
      </c>
      <c r="DH52" s="186">
        <v>0</v>
      </c>
      <c r="DI52" s="186">
        <v>0</v>
      </c>
      <c r="DJ52" s="186">
        <v>0</v>
      </c>
      <c r="DK52" s="186">
        <v>0</v>
      </c>
      <c r="DL52" s="183">
        <f t="shared" si="7"/>
        <v>0</v>
      </c>
      <c r="DM52" s="186"/>
      <c r="DN52" s="186">
        <v>0</v>
      </c>
      <c r="DO52" s="186">
        <v>0</v>
      </c>
      <c r="DP52" s="186">
        <v>0</v>
      </c>
      <c r="DQ52" s="186">
        <v>0</v>
      </c>
      <c r="DR52" s="186">
        <v>0</v>
      </c>
      <c r="DS52" s="186">
        <v>0</v>
      </c>
      <c r="DT52" s="186">
        <v>0</v>
      </c>
      <c r="DU52" s="186">
        <v>0</v>
      </c>
      <c r="DV52" s="186">
        <v>0</v>
      </c>
      <c r="DW52" s="186">
        <v>0</v>
      </c>
      <c r="DX52" s="186">
        <v>0</v>
      </c>
      <c r="DY52" s="183">
        <f t="shared" si="8"/>
        <v>0</v>
      </c>
      <c r="DZ52" s="182"/>
      <c r="EA52" s="187">
        <f t="shared" si="19"/>
        <v>355869</v>
      </c>
      <c r="EB52" s="187">
        <f t="shared" si="19"/>
        <v>314396</v>
      </c>
      <c r="EC52" s="187">
        <f t="shared" si="19"/>
        <v>300771</v>
      </c>
      <c r="ED52" s="182"/>
      <c r="EE52" s="187" t="str">
        <f t="shared" si="10"/>
        <v/>
      </c>
      <c r="EF52" s="184" t="str">
        <f t="shared" si="11"/>
        <v/>
      </c>
      <c r="EG52" s="184" t="str">
        <f t="shared" si="12"/>
        <v/>
      </c>
      <c r="EH52" s="182"/>
      <c r="EI52" s="186">
        <v>6979636</v>
      </c>
      <c r="EJ52" s="186">
        <v>6932918</v>
      </c>
      <c r="EK52" s="186">
        <v>0</v>
      </c>
      <c r="EL52" s="186">
        <v>0</v>
      </c>
      <c r="EM52" s="186">
        <v>46718</v>
      </c>
      <c r="EN52" s="183">
        <f t="shared" si="13"/>
        <v>6932918</v>
      </c>
      <c r="EO52" s="186">
        <v>5757328</v>
      </c>
      <c r="EP52" s="186">
        <v>5757328</v>
      </c>
      <c r="EQ52" s="186">
        <v>0</v>
      </c>
      <c r="ER52" s="186">
        <v>0</v>
      </c>
      <c r="ES52" s="186">
        <v>0</v>
      </c>
      <c r="ET52" s="183">
        <f t="shared" si="14"/>
        <v>5757328</v>
      </c>
      <c r="EU52" s="186">
        <v>4894740</v>
      </c>
      <c r="EV52" s="186">
        <v>4894740</v>
      </c>
      <c r="EW52" s="186">
        <v>0</v>
      </c>
      <c r="EX52" s="186">
        <v>0</v>
      </c>
      <c r="EY52" s="186">
        <v>0</v>
      </c>
      <c r="EZ52" s="183">
        <f t="shared" si="15"/>
        <v>4894740</v>
      </c>
    </row>
    <row r="53" spans="1:156" x14ac:dyDescent="0.2">
      <c r="A53" s="182" t="s">
        <v>330</v>
      </c>
      <c r="B53" s="185">
        <v>3001167</v>
      </c>
      <c r="C53" s="182" t="s">
        <v>425</v>
      </c>
      <c r="D53" s="186">
        <v>167037</v>
      </c>
      <c r="E53" s="186">
        <v>0</v>
      </c>
      <c r="F53" s="186">
        <v>0</v>
      </c>
      <c r="G53" s="186">
        <v>173087</v>
      </c>
      <c r="H53" s="186">
        <v>0</v>
      </c>
      <c r="I53" s="186">
        <v>0</v>
      </c>
      <c r="J53" s="186">
        <v>180399</v>
      </c>
      <c r="K53" s="186">
        <v>0</v>
      </c>
      <c r="L53" s="186">
        <v>0</v>
      </c>
      <c r="M53" s="186"/>
      <c r="N53" s="186">
        <v>31271</v>
      </c>
      <c r="O53" s="186">
        <v>18124</v>
      </c>
      <c r="P53" s="186">
        <v>32996</v>
      </c>
      <c r="Q53" s="186">
        <v>0</v>
      </c>
      <c r="R53" s="186">
        <v>3706</v>
      </c>
      <c r="S53" s="186">
        <v>0</v>
      </c>
      <c r="T53" s="186">
        <v>0</v>
      </c>
      <c r="U53" s="186">
        <v>0</v>
      </c>
      <c r="V53" s="186">
        <v>7437</v>
      </c>
      <c r="W53" s="186">
        <v>3389</v>
      </c>
      <c r="X53" s="186">
        <v>17851</v>
      </c>
      <c r="Y53" s="183">
        <f t="shared" si="0"/>
        <v>59041</v>
      </c>
      <c r="Z53" s="186"/>
      <c r="AA53" s="186">
        <v>36705</v>
      </c>
      <c r="AB53" s="186">
        <v>17861</v>
      </c>
      <c r="AC53" s="186">
        <v>29277</v>
      </c>
      <c r="AD53" s="186">
        <v>0</v>
      </c>
      <c r="AE53" s="186">
        <v>3305</v>
      </c>
      <c r="AF53" s="186">
        <v>0</v>
      </c>
      <c r="AG53" s="186">
        <v>0</v>
      </c>
      <c r="AH53" s="186">
        <v>0</v>
      </c>
      <c r="AI53" s="186">
        <v>17096</v>
      </c>
      <c r="AJ53" s="186">
        <v>1129</v>
      </c>
      <c r="AK53" s="186">
        <v>14372</v>
      </c>
      <c r="AL53" s="183">
        <f t="shared" si="1"/>
        <v>55600</v>
      </c>
      <c r="AM53" s="186"/>
      <c r="AN53" s="186">
        <v>48429</v>
      </c>
      <c r="AO53" s="186">
        <v>14525</v>
      </c>
      <c r="AP53" s="186">
        <v>30775</v>
      </c>
      <c r="AQ53" s="186">
        <v>0</v>
      </c>
      <c r="AR53" s="186">
        <v>0</v>
      </c>
      <c r="AS53" s="186">
        <v>0</v>
      </c>
      <c r="AT53" s="186">
        <v>0</v>
      </c>
      <c r="AU53" s="186">
        <v>0</v>
      </c>
      <c r="AV53" s="186">
        <v>10602</v>
      </c>
      <c r="AW53" s="186">
        <v>6620</v>
      </c>
      <c r="AX53" s="186">
        <v>14095</v>
      </c>
      <c r="AY53" s="183">
        <f t="shared" si="2"/>
        <v>68593</v>
      </c>
      <c r="AZ53" s="186"/>
      <c r="BA53" s="186">
        <v>0</v>
      </c>
      <c r="BB53" s="186">
        <v>0</v>
      </c>
      <c r="BC53" s="186">
        <v>0</v>
      </c>
      <c r="BD53" s="186">
        <v>0</v>
      </c>
      <c r="BE53" s="186">
        <v>0</v>
      </c>
      <c r="BF53" s="186">
        <v>0</v>
      </c>
      <c r="BG53" s="186">
        <v>0</v>
      </c>
      <c r="BH53" s="186">
        <v>0</v>
      </c>
      <c r="BI53" s="186">
        <v>0</v>
      </c>
      <c r="BJ53" s="186">
        <v>0</v>
      </c>
      <c r="BK53" s="186">
        <v>0</v>
      </c>
      <c r="BL53" s="183">
        <f t="shared" si="3"/>
        <v>0</v>
      </c>
      <c r="BM53" s="186"/>
      <c r="BN53" s="186">
        <v>0</v>
      </c>
      <c r="BO53" s="186">
        <v>0</v>
      </c>
      <c r="BP53" s="186">
        <v>0</v>
      </c>
      <c r="BQ53" s="186">
        <v>0</v>
      </c>
      <c r="BR53" s="186">
        <v>0</v>
      </c>
      <c r="BS53" s="186">
        <v>0</v>
      </c>
      <c r="BT53" s="186">
        <v>0</v>
      </c>
      <c r="BU53" s="186">
        <v>0</v>
      </c>
      <c r="BV53" s="186">
        <v>0</v>
      </c>
      <c r="BW53" s="186">
        <v>0</v>
      </c>
      <c r="BX53" s="186">
        <v>0</v>
      </c>
      <c r="BY53" s="183">
        <f t="shared" si="4"/>
        <v>0</v>
      </c>
      <c r="BZ53" s="186"/>
      <c r="CA53" s="186">
        <v>0</v>
      </c>
      <c r="CB53" s="186">
        <v>0</v>
      </c>
      <c r="CC53" s="186">
        <v>0</v>
      </c>
      <c r="CD53" s="186">
        <v>0</v>
      </c>
      <c r="CE53" s="186">
        <v>0</v>
      </c>
      <c r="CF53" s="186">
        <v>0</v>
      </c>
      <c r="CG53" s="186">
        <v>0</v>
      </c>
      <c r="CH53" s="186">
        <v>0</v>
      </c>
      <c r="CI53" s="186">
        <v>0</v>
      </c>
      <c r="CJ53" s="186">
        <v>0</v>
      </c>
      <c r="CK53" s="186">
        <v>0</v>
      </c>
      <c r="CL53" s="183">
        <f t="shared" si="5"/>
        <v>0</v>
      </c>
      <c r="CM53" s="186"/>
      <c r="CN53" s="186">
        <v>0</v>
      </c>
      <c r="CO53" s="186">
        <v>0</v>
      </c>
      <c r="CP53" s="186">
        <v>0</v>
      </c>
      <c r="CQ53" s="186">
        <v>0</v>
      </c>
      <c r="CR53" s="186">
        <v>0</v>
      </c>
      <c r="CS53" s="186">
        <v>0</v>
      </c>
      <c r="CT53" s="186">
        <v>0</v>
      </c>
      <c r="CU53" s="186">
        <v>0</v>
      </c>
      <c r="CV53" s="186">
        <v>0</v>
      </c>
      <c r="CW53" s="186">
        <v>0</v>
      </c>
      <c r="CX53" s="186">
        <v>0</v>
      </c>
      <c r="CY53" s="183">
        <f t="shared" si="6"/>
        <v>0</v>
      </c>
      <c r="CZ53" s="186"/>
      <c r="DA53" s="186">
        <v>0</v>
      </c>
      <c r="DB53" s="186">
        <v>0</v>
      </c>
      <c r="DC53" s="186">
        <v>0</v>
      </c>
      <c r="DD53" s="186">
        <v>0</v>
      </c>
      <c r="DE53" s="186">
        <v>0</v>
      </c>
      <c r="DF53" s="186">
        <v>0</v>
      </c>
      <c r="DG53" s="186">
        <v>0</v>
      </c>
      <c r="DH53" s="186">
        <v>0</v>
      </c>
      <c r="DI53" s="186">
        <v>0</v>
      </c>
      <c r="DJ53" s="186">
        <v>0</v>
      </c>
      <c r="DK53" s="186">
        <v>0</v>
      </c>
      <c r="DL53" s="183">
        <f t="shared" si="7"/>
        <v>0</v>
      </c>
      <c r="DM53" s="186"/>
      <c r="DN53" s="186">
        <v>0</v>
      </c>
      <c r="DO53" s="186">
        <v>0</v>
      </c>
      <c r="DP53" s="186">
        <v>0</v>
      </c>
      <c r="DQ53" s="186">
        <v>0</v>
      </c>
      <c r="DR53" s="186">
        <v>0</v>
      </c>
      <c r="DS53" s="186">
        <v>0</v>
      </c>
      <c r="DT53" s="186">
        <v>0</v>
      </c>
      <c r="DU53" s="186">
        <v>0</v>
      </c>
      <c r="DV53" s="186">
        <v>0</v>
      </c>
      <c r="DW53" s="186">
        <v>0</v>
      </c>
      <c r="DX53" s="186">
        <v>0</v>
      </c>
      <c r="DY53" s="183">
        <f t="shared" si="8"/>
        <v>0</v>
      </c>
      <c r="DZ53" s="182"/>
      <c r="EA53" s="187">
        <f t="shared" si="19"/>
        <v>59041</v>
      </c>
      <c r="EB53" s="187">
        <f t="shared" si="19"/>
        <v>55600</v>
      </c>
      <c r="EC53" s="187">
        <f t="shared" si="19"/>
        <v>68593</v>
      </c>
      <c r="ED53" s="182"/>
      <c r="EE53" s="187" t="str">
        <f t="shared" si="10"/>
        <v/>
      </c>
      <c r="EF53" s="184" t="str">
        <f t="shared" si="11"/>
        <v/>
      </c>
      <c r="EG53" s="184" t="str">
        <f t="shared" si="12"/>
        <v/>
      </c>
      <c r="EH53" s="182"/>
      <c r="EI53" s="186">
        <v>1108860</v>
      </c>
      <c r="EJ53" s="186">
        <v>1108860</v>
      </c>
      <c r="EK53" s="186">
        <v>0</v>
      </c>
      <c r="EL53" s="186">
        <v>0</v>
      </c>
      <c r="EM53" s="186">
        <v>0</v>
      </c>
      <c r="EN53" s="183">
        <f t="shared" si="13"/>
        <v>1108860</v>
      </c>
      <c r="EO53" s="186">
        <v>1066821</v>
      </c>
      <c r="EP53" s="186">
        <v>1066821</v>
      </c>
      <c r="EQ53" s="186">
        <v>0</v>
      </c>
      <c r="ER53" s="186">
        <v>0</v>
      </c>
      <c r="ES53" s="186">
        <v>0</v>
      </c>
      <c r="ET53" s="183">
        <f t="shared" si="14"/>
        <v>1066821</v>
      </c>
      <c r="EU53" s="186">
        <v>1026119</v>
      </c>
      <c r="EV53" s="186">
        <v>1026119</v>
      </c>
      <c r="EW53" s="186">
        <v>0</v>
      </c>
      <c r="EX53" s="186">
        <v>0</v>
      </c>
      <c r="EY53" s="186">
        <v>0</v>
      </c>
      <c r="EZ53" s="183">
        <f t="shared" si="15"/>
        <v>1026119</v>
      </c>
    </row>
    <row r="54" spans="1:156" x14ac:dyDescent="0.2">
      <c r="A54" s="182" t="s">
        <v>426</v>
      </c>
      <c r="B54" s="185">
        <v>4194228</v>
      </c>
      <c r="C54" s="182" t="s">
        <v>427</v>
      </c>
      <c r="D54" s="186" t="s">
        <v>92</v>
      </c>
      <c r="E54" s="186">
        <f t="shared" ref="E54:E55" si="20">H54</f>
        <v>304333</v>
      </c>
      <c r="F54" s="186" t="s">
        <v>92</v>
      </c>
      <c r="G54" s="186">
        <v>0</v>
      </c>
      <c r="H54" s="186">
        <v>304333</v>
      </c>
      <c r="I54" s="186">
        <v>577</v>
      </c>
      <c r="J54" s="186">
        <v>0</v>
      </c>
      <c r="K54" s="186">
        <v>315138</v>
      </c>
      <c r="L54" s="186">
        <v>26</v>
      </c>
      <c r="M54" s="186"/>
      <c r="N54" s="186" t="s">
        <v>92</v>
      </c>
      <c r="O54" s="186" t="s">
        <v>92</v>
      </c>
      <c r="P54" s="186" t="s">
        <v>92</v>
      </c>
      <c r="Q54" s="186" t="s">
        <v>92</v>
      </c>
      <c r="R54" s="186" t="s">
        <v>92</v>
      </c>
      <c r="S54" s="186" t="s">
        <v>92</v>
      </c>
      <c r="T54" s="186" t="s">
        <v>92</v>
      </c>
      <c r="U54" s="186" t="s">
        <v>92</v>
      </c>
      <c r="V54" s="186" t="s">
        <v>92</v>
      </c>
      <c r="W54" s="186" t="s">
        <v>92</v>
      </c>
      <c r="X54" s="186" t="s">
        <v>92</v>
      </c>
      <c r="Y54" s="183">
        <f t="shared" si="0"/>
        <v>0</v>
      </c>
      <c r="Z54" s="186"/>
      <c r="AA54" s="186" t="s">
        <v>92</v>
      </c>
      <c r="AB54" s="186" t="s">
        <v>92</v>
      </c>
      <c r="AC54" s="186" t="s">
        <v>92</v>
      </c>
      <c r="AD54" s="186" t="s">
        <v>92</v>
      </c>
      <c r="AE54" s="186" t="s">
        <v>92</v>
      </c>
      <c r="AF54" s="186" t="s">
        <v>92</v>
      </c>
      <c r="AG54" s="186" t="s">
        <v>92</v>
      </c>
      <c r="AH54" s="186" t="s">
        <v>92</v>
      </c>
      <c r="AI54" s="186" t="s">
        <v>92</v>
      </c>
      <c r="AJ54" s="186" t="s">
        <v>92</v>
      </c>
      <c r="AK54" s="186" t="s">
        <v>92</v>
      </c>
      <c r="AL54" s="183">
        <f t="shared" si="1"/>
        <v>0</v>
      </c>
      <c r="AM54" s="186"/>
      <c r="AN54" s="186" t="s">
        <v>92</v>
      </c>
      <c r="AO54" s="186" t="s">
        <v>92</v>
      </c>
      <c r="AP54" s="186" t="s">
        <v>92</v>
      </c>
      <c r="AQ54" s="186" t="s">
        <v>92</v>
      </c>
      <c r="AR54" s="186" t="s">
        <v>92</v>
      </c>
      <c r="AS54" s="186" t="s">
        <v>92</v>
      </c>
      <c r="AT54" s="186" t="s">
        <v>92</v>
      </c>
      <c r="AU54" s="186" t="s">
        <v>92</v>
      </c>
      <c r="AV54" s="186" t="s">
        <v>92</v>
      </c>
      <c r="AW54" s="186" t="s">
        <v>92</v>
      </c>
      <c r="AX54" s="186" t="s">
        <v>92</v>
      </c>
      <c r="AY54" s="183">
        <f t="shared" si="2"/>
        <v>0</v>
      </c>
      <c r="AZ54" s="186"/>
      <c r="BA54" s="186" t="s">
        <v>92</v>
      </c>
      <c r="BB54" s="186" t="s">
        <v>92</v>
      </c>
      <c r="BC54" s="186" t="s">
        <v>92</v>
      </c>
      <c r="BD54" s="186" t="s">
        <v>92</v>
      </c>
      <c r="BE54" s="186" t="s">
        <v>92</v>
      </c>
      <c r="BF54" s="186" t="s">
        <v>92</v>
      </c>
      <c r="BG54" s="186" t="s">
        <v>92</v>
      </c>
      <c r="BH54" s="186" t="s">
        <v>92</v>
      </c>
      <c r="BI54" s="186" t="s">
        <v>92</v>
      </c>
      <c r="BJ54" s="186" t="s">
        <v>92</v>
      </c>
      <c r="BK54" s="186" t="s">
        <v>92</v>
      </c>
      <c r="BL54" s="183">
        <f>BY54</f>
        <v>46226</v>
      </c>
      <c r="BM54" s="186"/>
      <c r="BN54" s="186">
        <v>201875</v>
      </c>
      <c r="BO54" s="186">
        <v>6561</v>
      </c>
      <c r="BP54" s="186">
        <v>33856</v>
      </c>
      <c r="BQ54" s="186" t="s">
        <v>92</v>
      </c>
      <c r="BR54" s="186">
        <v>3418</v>
      </c>
      <c r="BS54" s="186">
        <v>0</v>
      </c>
      <c r="BT54" s="186">
        <v>0</v>
      </c>
      <c r="BU54" s="186">
        <v>0</v>
      </c>
      <c r="BV54" s="186">
        <v>0</v>
      </c>
      <c r="BW54" s="186">
        <v>0</v>
      </c>
      <c r="BX54" s="186">
        <v>12397</v>
      </c>
      <c r="BY54" s="183">
        <f t="shared" si="4"/>
        <v>46226</v>
      </c>
      <c r="BZ54" s="186"/>
      <c r="CA54" s="186">
        <v>215977</v>
      </c>
      <c r="CB54" s="186">
        <v>6216</v>
      </c>
      <c r="CC54" s="186">
        <v>29671</v>
      </c>
      <c r="CD54" s="186" t="s">
        <v>92</v>
      </c>
      <c r="CE54" s="186">
        <v>3548</v>
      </c>
      <c r="CF54" s="186">
        <v>0</v>
      </c>
      <c r="CG54" s="186">
        <v>0</v>
      </c>
      <c r="CH54" s="186">
        <v>0</v>
      </c>
      <c r="CI54" s="186">
        <v>0</v>
      </c>
      <c r="CJ54" s="186">
        <v>0</v>
      </c>
      <c r="CK54" s="186">
        <v>10604</v>
      </c>
      <c r="CL54" s="183">
        <f t="shared" si="5"/>
        <v>49122</v>
      </c>
      <c r="CM54" s="186"/>
      <c r="CN54" s="186" t="s">
        <v>92</v>
      </c>
      <c r="CO54" s="186" t="s">
        <v>92</v>
      </c>
      <c r="CP54" s="186" t="s">
        <v>92</v>
      </c>
      <c r="CQ54" s="186" t="s">
        <v>92</v>
      </c>
      <c r="CR54" s="186" t="s">
        <v>92</v>
      </c>
      <c r="CS54" s="186" t="s">
        <v>92</v>
      </c>
      <c r="CT54" s="186" t="s">
        <v>92</v>
      </c>
      <c r="CU54" s="186" t="s">
        <v>92</v>
      </c>
      <c r="CV54" s="186" t="s">
        <v>92</v>
      </c>
      <c r="CW54" s="186" t="s">
        <v>92</v>
      </c>
      <c r="CX54" s="186" t="s">
        <v>92</v>
      </c>
      <c r="CY54" s="183">
        <f t="shared" si="6"/>
        <v>0</v>
      </c>
      <c r="CZ54" s="186"/>
      <c r="DA54" s="186" t="s">
        <v>92</v>
      </c>
      <c r="DB54" s="186" t="s">
        <v>92</v>
      </c>
      <c r="DC54" s="186" t="s">
        <v>92</v>
      </c>
      <c r="DD54" s="186" t="s">
        <v>92</v>
      </c>
      <c r="DE54" s="186" t="s">
        <v>92</v>
      </c>
      <c r="DF54" s="186" t="s">
        <v>92</v>
      </c>
      <c r="DG54" s="186" t="s">
        <v>92</v>
      </c>
      <c r="DH54" s="186" t="s">
        <v>92</v>
      </c>
      <c r="DI54" s="186" t="s">
        <v>92</v>
      </c>
      <c r="DJ54" s="186" t="s">
        <v>92</v>
      </c>
      <c r="DK54" s="186" t="s">
        <v>92</v>
      </c>
      <c r="DL54" s="183">
        <f t="shared" si="7"/>
        <v>577</v>
      </c>
      <c r="DM54" s="186"/>
      <c r="DN54" s="186" t="s">
        <v>92</v>
      </c>
      <c r="DO54" s="186" t="s">
        <v>92</v>
      </c>
      <c r="DP54" s="186" t="s">
        <v>92</v>
      </c>
      <c r="DQ54" s="186" t="s">
        <v>92</v>
      </c>
      <c r="DR54" s="186" t="s">
        <v>92</v>
      </c>
      <c r="DS54" s="186" t="s">
        <v>92</v>
      </c>
      <c r="DT54" s="186" t="s">
        <v>92</v>
      </c>
      <c r="DU54" s="186" t="s">
        <v>92</v>
      </c>
      <c r="DV54" s="186" t="s">
        <v>92</v>
      </c>
      <c r="DW54" s="186" t="s">
        <v>92</v>
      </c>
      <c r="DX54" s="186" t="s">
        <v>92</v>
      </c>
      <c r="DY54" s="183">
        <f t="shared" si="8"/>
        <v>26</v>
      </c>
      <c r="DZ54" s="182"/>
      <c r="EA54" s="187">
        <f t="shared" si="19"/>
        <v>46226</v>
      </c>
      <c r="EB54" s="187">
        <f t="shared" si="19"/>
        <v>46803</v>
      </c>
      <c r="EC54" s="187">
        <f t="shared" si="19"/>
        <v>49148</v>
      </c>
      <c r="ED54" s="182"/>
      <c r="EE54" s="187" t="str">
        <f t="shared" si="10"/>
        <v>ERROR</v>
      </c>
      <c r="EF54" s="184" t="str">
        <f t="shared" si="11"/>
        <v/>
      </c>
      <c r="EG54" s="184" t="str">
        <f t="shared" si="12"/>
        <v/>
      </c>
      <c r="EH54" s="182"/>
      <c r="EI54" s="186" t="s">
        <v>92</v>
      </c>
      <c r="EJ54" s="186" t="s">
        <v>92</v>
      </c>
      <c r="EK54" s="186">
        <f t="shared" ref="EK54:EK55" si="21">EQ54</f>
        <v>643300</v>
      </c>
      <c r="EL54" s="186" t="s">
        <v>92</v>
      </c>
      <c r="EM54" s="186" t="s">
        <v>92</v>
      </c>
      <c r="EN54" s="183">
        <f t="shared" si="13"/>
        <v>643300</v>
      </c>
      <c r="EO54" s="186" t="s">
        <v>92</v>
      </c>
      <c r="EP54" s="186" t="s">
        <v>92</v>
      </c>
      <c r="EQ54" s="186">
        <v>643300</v>
      </c>
      <c r="ER54" s="186" t="s">
        <v>92</v>
      </c>
      <c r="ES54" s="186" t="s">
        <v>92</v>
      </c>
      <c r="ET54" s="183">
        <f t="shared" si="14"/>
        <v>643300</v>
      </c>
      <c r="EU54" s="186" t="s">
        <v>92</v>
      </c>
      <c r="EV54" s="186" t="s">
        <v>92</v>
      </c>
      <c r="EW54" s="186">
        <v>605137</v>
      </c>
      <c r="EX54" s="186" t="s">
        <v>92</v>
      </c>
      <c r="EY54" s="186" t="s">
        <v>92</v>
      </c>
      <c r="EZ54" s="183">
        <f t="shared" si="15"/>
        <v>605137</v>
      </c>
    </row>
    <row r="55" spans="1:156" x14ac:dyDescent="0.2">
      <c r="A55" s="182" t="s">
        <v>428</v>
      </c>
      <c r="B55" s="185">
        <v>4063341</v>
      </c>
      <c r="C55" s="182" t="s">
        <v>427</v>
      </c>
      <c r="D55" s="186" t="s">
        <v>92</v>
      </c>
      <c r="E55" s="186">
        <f t="shared" si="20"/>
        <v>469285</v>
      </c>
      <c r="F55" s="186" t="s">
        <v>92</v>
      </c>
      <c r="G55" s="186">
        <v>0</v>
      </c>
      <c r="H55" s="186">
        <v>469285</v>
      </c>
      <c r="I55" s="186">
        <v>0</v>
      </c>
      <c r="J55" s="186">
        <v>0</v>
      </c>
      <c r="K55" s="186">
        <v>417590</v>
      </c>
      <c r="L55" s="186">
        <v>0</v>
      </c>
      <c r="M55" s="186"/>
      <c r="N55" s="186" t="s">
        <v>92</v>
      </c>
      <c r="O55" s="186" t="s">
        <v>92</v>
      </c>
      <c r="P55" s="186" t="s">
        <v>92</v>
      </c>
      <c r="Q55" s="186" t="s">
        <v>92</v>
      </c>
      <c r="R55" s="186" t="s">
        <v>92</v>
      </c>
      <c r="S55" s="186" t="s">
        <v>92</v>
      </c>
      <c r="T55" s="186" t="s">
        <v>92</v>
      </c>
      <c r="U55" s="186" t="s">
        <v>92</v>
      </c>
      <c r="V55" s="186" t="s">
        <v>92</v>
      </c>
      <c r="W55" s="186" t="s">
        <v>92</v>
      </c>
      <c r="X55" s="186" t="s">
        <v>92</v>
      </c>
      <c r="Y55" s="183">
        <f t="shared" si="0"/>
        <v>0</v>
      </c>
      <c r="Z55" s="186"/>
      <c r="AA55" s="186" t="s">
        <v>92</v>
      </c>
      <c r="AB55" s="186" t="s">
        <v>92</v>
      </c>
      <c r="AC55" s="186" t="s">
        <v>92</v>
      </c>
      <c r="AD55" s="186" t="s">
        <v>92</v>
      </c>
      <c r="AE55" s="186" t="s">
        <v>92</v>
      </c>
      <c r="AF55" s="186" t="s">
        <v>92</v>
      </c>
      <c r="AG55" s="186" t="s">
        <v>92</v>
      </c>
      <c r="AH55" s="186" t="s">
        <v>92</v>
      </c>
      <c r="AI55" s="186" t="s">
        <v>92</v>
      </c>
      <c r="AJ55" s="186" t="s">
        <v>92</v>
      </c>
      <c r="AK55" s="186" t="s">
        <v>92</v>
      </c>
      <c r="AL55" s="183">
        <f t="shared" si="1"/>
        <v>0</v>
      </c>
      <c r="AM55" s="186"/>
      <c r="AN55" s="186" t="s">
        <v>92</v>
      </c>
      <c r="AO55" s="186" t="s">
        <v>92</v>
      </c>
      <c r="AP55" s="186" t="s">
        <v>92</v>
      </c>
      <c r="AQ55" s="186" t="s">
        <v>92</v>
      </c>
      <c r="AR55" s="186" t="s">
        <v>92</v>
      </c>
      <c r="AS55" s="186" t="s">
        <v>92</v>
      </c>
      <c r="AT55" s="186" t="s">
        <v>92</v>
      </c>
      <c r="AU55" s="186" t="s">
        <v>92</v>
      </c>
      <c r="AV55" s="186" t="s">
        <v>92</v>
      </c>
      <c r="AW55" s="186" t="s">
        <v>92</v>
      </c>
      <c r="AX55" s="186" t="s">
        <v>92</v>
      </c>
      <c r="AY55" s="183">
        <f t="shared" si="2"/>
        <v>0</v>
      </c>
      <c r="AZ55" s="186"/>
      <c r="BA55" s="186" t="s">
        <v>92</v>
      </c>
      <c r="BB55" s="186" t="s">
        <v>92</v>
      </c>
      <c r="BC55" s="186" t="s">
        <v>92</v>
      </c>
      <c r="BD55" s="186" t="s">
        <v>92</v>
      </c>
      <c r="BE55" s="186" t="s">
        <v>92</v>
      </c>
      <c r="BF55" s="186" t="s">
        <v>92</v>
      </c>
      <c r="BG55" s="186" t="s">
        <v>92</v>
      </c>
      <c r="BH55" s="186" t="s">
        <v>92</v>
      </c>
      <c r="BI55" s="186" t="s">
        <v>92</v>
      </c>
      <c r="BJ55" s="186" t="s">
        <v>92</v>
      </c>
      <c r="BK55" s="186" t="s">
        <v>92</v>
      </c>
      <c r="BL55" s="183">
        <f>BY55</f>
        <v>69970</v>
      </c>
      <c r="BM55" s="186"/>
      <c r="BN55" s="186">
        <v>289399</v>
      </c>
      <c r="BO55" s="186">
        <v>10555</v>
      </c>
      <c r="BP55" s="186">
        <v>47625</v>
      </c>
      <c r="BQ55" s="186" t="s">
        <v>92</v>
      </c>
      <c r="BR55" s="186">
        <v>1955</v>
      </c>
      <c r="BS55" s="186">
        <v>149</v>
      </c>
      <c r="BT55" s="186">
        <v>0</v>
      </c>
      <c r="BU55" s="186">
        <v>0</v>
      </c>
      <c r="BV55" s="186">
        <v>16292</v>
      </c>
      <c r="BW55" s="186">
        <v>5990</v>
      </c>
      <c r="BX55" s="186">
        <v>39330</v>
      </c>
      <c r="BY55" s="183">
        <f t="shared" si="4"/>
        <v>69970</v>
      </c>
      <c r="BZ55" s="186"/>
      <c r="CA55" s="186">
        <v>250803</v>
      </c>
      <c r="CB55" s="186">
        <v>8528</v>
      </c>
      <c r="CC55" s="186">
        <v>44247</v>
      </c>
      <c r="CD55" s="186" t="s">
        <v>92</v>
      </c>
      <c r="CE55" s="186">
        <v>1892</v>
      </c>
      <c r="CF55" s="186">
        <v>149</v>
      </c>
      <c r="CG55" s="186">
        <v>0</v>
      </c>
      <c r="CH55" s="186">
        <v>0</v>
      </c>
      <c r="CI55" s="186">
        <v>6753</v>
      </c>
      <c r="CJ55" s="186">
        <v>7390</v>
      </c>
      <c r="CK55" s="186">
        <v>35888</v>
      </c>
      <c r="CL55" s="183">
        <f t="shared" si="5"/>
        <v>76720</v>
      </c>
      <c r="CM55" s="186"/>
      <c r="CN55" s="186" t="s">
        <v>92</v>
      </c>
      <c r="CO55" s="186" t="s">
        <v>92</v>
      </c>
      <c r="CP55" s="186" t="s">
        <v>92</v>
      </c>
      <c r="CQ55" s="186" t="s">
        <v>92</v>
      </c>
      <c r="CR55" s="186" t="s">
        <v>92</v>
      </c>
      <c r="CS55" s="186" t="s">
        <v>92</v>
      </c>
      <c r="CT55" s="186" t="s">
        <v>92</v>
      </c>
      <c r="CU55" s="186" t="s">
        <v>92</v>
      </c>
      <c r="CV55" s="186" t="s">
        <v>92</v>
      </c>
      <c r="CW55" s="186" t="s">
        <v>92</v>
      </c>
      <c r="CX55" s="186" t="s">
        <v>92</v>
      </c>
      <c r="CY55" s="183">
        <f t="shared" si="6"/>
        <v>0</v>
      </c>
      <c r="CZ55" s="186"/>
      <c r="DA55" s="186" t="s">
        <v>92</v>
      </c>
      <c r="DB55" s="186" t="s">
        <v>92</v>
      </c>
      <c r="DC55" s="186" t="s">
        <v>92</v>
      </c>
      <c r="DD55" s="186" t="s">
        <v>92</v>
      </c>
      <c r="DE55" s="186" t="s">
        <v>92</v>
      </c>
      <c r="DF55" s="186" t="s">
        <v>92</v>
      </c>
      <c r="DG55" s="186" t="s">
        <v>92</v>
      </c>
      <c r="DH55" s="186" t="s">
        <v>92</v>
      </c>
      <c r="DI55" s="186" t="s">
        <v>92</v>
      </c>
      <c r="DJ55" s="186" t="s">
        <v>92</v>
      </c>
      <c r="DK55" s="186" t="s">
        <v>92</v>
      </c>
      <c r="DL55" s="183">
        <f t="shared" si="7"/>
        <v>0</v>
      </c>
      <c r="DM55" s="186"/>
      <c r="DN55" s="186" t="s">
        <v>92</v>
      </c>
      <c r="DO55" s="186" t="s">
        <v>92</v>
      </c>
      <c r="DP55" s="186" t="s">
        <v>92</v>
      </c>
      <c r="DQ55" s="186" t="s">
        <v>92</v>
      </c>
      <c r="DR55" s="186" t="s">
        <v>92</v>
      </c>
      <c r="DS55" s="186" t="s">
        <v>92</v>
      </c>
      <c r="DT55" s="186" t="s">
        <v>92</v>
      </c>
      <c r="DU55" s="186" t="s">
        <v>92</v>
      </c>
      <c r="DV55" s="186" t="s">
        <v>92</v>
      </c>
      <c r="DW55" s="186" t="s">
        <v>92</v>
      </c>
      <c r="DX55" s="186" t="s">
        <v>92</v>
      </c>
      <c r="DY55" s="183">
        <f t="shared" si="8"/>
        <v>0</v>
      </c>
      <c r="DZ55" s="182"/>
      <c r="EA55" s="187">
        <f t="shared" si="19"/>
        <v>69970</v>
      </c>
      <c r="EB55" s="187">
        <f t="shared" si="19"/>
        <v>69970</v>
      </c>
      <c r="EC55" s="187">
        <f t="shared" si="19"/>
        <v>76720</v>
      </c>
      <c r="ED55" s="182"/>
      <c r="EE55" s="187" t="str">
        <f t="shared" si="10"/>
        <v>ERROR</v>
      </c>
      <c r="EF55" s="184" t="str">
        <f t="shared" si="11"/>
        <v/>
      </c>
      <c r="EG55" s="184" t="str">
        <f t="shared" si="12"/>
        <v/>
      </c>
      <c r="EH55" s="182"/>
      <c r="EI55" s="186" t="s">
        <v>92</v>
      </c>
      <c r="EJ55" s="186" t="s">
        <v>92</v>
      </c>
      <c r="EK55" s="186">
        <f t="shared" si="21"/>
        <v>1043602</v>
      </c>
      <c r="EL55" s="186" t="s">
        <v>92</v>
      </c>
      <c r="EM55" s="186" t="s">
        <v>92</v>
      </c>
      <c r="EN55" s="183">
        <f t="shared" si="13"/>
        <v>1043602</v>
      </c>
      <c r="EO55" s="186" t="s">
        <v>92</v>
      </c>
      <c r="EP55" s="186" t="s">
        <v>92</v>
      </c>
      <c r="EQ55" s="186">
        <v>1043602</v>
      </c>
      <c r="ER55" s="186" t="s">
        <v>92</v>
      </c>
      <c r="ES55" s="186" t="s">
        <v>92</v>
      </c>
      <c r="ET55" s="183">
        <f t="shared" si="14"/>
        <v>1043602</v>
      </c>
      <c r="EU55" s="186" t="s">
        <v>92</v>
      </c>
      <c r="EV55" s="186" t="s">
        <v>92</v>
      </c>
      <c r="EW55" s="186">
        <v>923242</v>
      </c>
      <c r="EX55" s="186" t="s">
        <v>92</v>
      </c>
      <c r="EY55" s="186" t="s">
        <v>92</v>
      </c>
      <c r="EZ55" s="183">
        <f t="shared" si="15"/>
        <v>923242</v>
      </c>
    </row>
    <row r="56" spans="1:156" x14ac:dyDescent="0.2">
      <c r="A56" s="182" t="s">
        <v>429</v>
      </c>
      <c r="B56" s="185">
        <v>3010781</v>
      </c>
      <c r="C56" s="182" t="s">
        <v>427</v>
      </c>
      <c r="D56" s="186">
        <v>2006927</v>
      </c>
      <c r="E56" s="186">
        <v>0</v>
      </c>
      <c r="F56" s="186">
        <v>0</v>
      </c>
      <c r="G56" s="186">
        <v>2068729</v>
      </c>
      <c r="H56" s="186">
        <v>0</v>
      </c>
      <c r="I56" s="186">
        <v>0</v>
      </c>
      <c r="J56" s="186">
        <v>1987786</v>
      </c>
      <c r="K56" s="186">
        <v>0</v>
      </c>
      <c r="L56" s="186">
        <v>0</v>
      </c>
      <c r="M56" s="186"/>
      <c r="N56" s="186">
        <v>872740</v>
      </c>
      <c r="O56" s="186">
        <v>96754</v>
      </c>
      <c r="P56" s="186">
        <v>319975</v>
      </c>
      <c r="Q56" s="186">
        <v>0</v>
      </c>
      <c r="R56" s="186">
        <v>14727</v>
      </c>
      <c r="S56" s="186">
        <v>186</v>
      </c>
      <c r="T56" s="186">
        <v>0</v>
      </c>
      <c r="U56" s="186">
        <v>0</v>
      </c>
      <c r="V56" s="186">
        <v>106606</v>
      </c>
      <c r="W56" s="186">
        <v>48768</v>
      </c>
      <c r="X56" s="186">
        <v>164823</v>
      </c>
      <c r="Y56" s="183">
        <f t="shared" si="0"/>
        <v>479884</v>
      </c>
      <c r="Z56" s="186"/>
      <c r="AA56" s="186">
        <v>1092619</v>
      </c>
      <c r="AB56" s="186">
        <v>99583</v>
      </c>
      <c r="AC56" s="186">
        <v>297357</v>
      </c>
      <c r="AD56" s="186">
        <v>0</v>
      </c>
      <c r="AE56" s="186">
        <v>13791</v>
      </c>
      <c r="AF56" s="186">
        <v>186</v>
      </c>
      <c r="AG56" s="186">
        <v>0</v>
      </c>
      <c r="AH56" s="186">
        <v>0</v>
      </c>
      <c r="AI56" s="186">
        <v>38457</v>
      </c>
      <c r="AJ56" s="186">
        <v>92638</v>
      </c>
      <c r="AK56" s="186">
        <v>168316</v>
      </c>
      <c r="AL56" s="183">
        <f t="shared" si="1"/>
        <v>451058</v>
      </c>
      <c r="AM56" s="186"/>
      <c r="AN56" s="186">
        <v>947789</v>
      </c>
      <c r="AO56" s="186">
        <v>109859</v>
      </c>
      <c r="AP56" s="186">
        <v>287305</v>
      </c>
      <c r="AQ56" s="186">
        <v>0</v>
      </c>
      <c r="AR56" s="186">
        <v>11500</v>
      </c>
      <c r="AS56" s="186">
        <v>186</v>
      </c>
      <c r="AT56" s="186">
        <v>0</v>
      </c>
      <c r="AU56" s="186">
        <v>0</v>
      </c>
      <c r="AV56" s="186">
        <v>68257</v>
      </c>
      <c r="AW56" s="186">
        <v>141935</v>
      </c>
      <c r="AX56" s="186">
        <v>162062</v>
      </c>
      <c r="AY56" s="183">
        <f t="shared" si="2"/>
        <v>542763</v>
      </c>
      <c r="AZ56" s="186"/>
      <c r="BA56" s="186">
        <v>0</v>
      </c>
      <c r="BB56" s="186">
        <v>0</v>
      </c>
      <c r="BC56" s="186">
        <v>0</v>
      </c>
      <c r="BD56" s="186">
        <v>0</v>
      </c>
      <c r="BE56" s="186">
        <v>0</v>
      </c>
      <c r="BF56" s="186">
        <v>0</v>
      </c>
      <c r="BG56" s="186">
        <v>0</v>
      </c>
      <c r="BH56" s="186">
        <v>0</v>
      </c>
      <c r="BI56" s="186">
        <v>0</v>
      </c>
      <c r="BJ56" s="186">
        <v>0</v>
      </c>
      <c r="BK56" s="186">
        <v>0</v>
      </c>
      <c r="BL56" s="183">
        <f t="shared" si="3"/>
        <v>0</v>
      </c>
      <c r="BM56" s="186"/>
      <c r="BN56" s="186">
        <v>0</v>
      </c>
      <c r="BO56" s="186">
        <v>0</v>
      </c>
      <c r="BP56" s="186">
        <v>0</v>
      </c>
      <c r="BQ56" s="186">
        <v>0</v>
      </c>
      <c r="BR56" s="186">
        <v>0</v>
      </c>
      <c r="BS56" s="186">
        <v>0</v>
      </c>
      <c r="BT56" s="186">
        <v>0</v>
      </c>
      <c r="BU56" s="186">
        <v>0</v>
      </c>
      <c r="BV56" s="186">
        <v>0</v>
      </c>
      <c r="BW56" s="186">
        <v>0</v>
      </c>
      <c r="BX56" s="186">
        <v>0</v>
      </c>
      <c r="BY56" s="183">
        <f t="shared" si="4"/>
        <v>0</v>
      </c>
      <c r="BZ56" s="186"/>
      <c r="CA56" s="186">
        <v>0</v>
      </c>
      <c r="CB56" s="186">
        <v>0</v>
      </c>
      <c r="CC56" s="186">
        <v>0</v>
      </c>
      <c r="CD56" s="186">
        <v>0</v>
      </c>
      <c r="CE56" s="186">
        <v>0</v>
      </c>
      <c r="CF56" s="186">
        <v>0</v>
      </c>
      <c r="CG56" s="186">
        <v>0</v>
      </c>
      <c r="CH56" s="186">
        <v>0</v>
      </c>
      <c r="CI56" s="186">
        <v>0</v>
      </c>
      <c r="CJ56" s="186">
        <v>0</v>
      </c>
      <c r="CK56" s="186">
        <v>0</v>
      </c>
      <c r="CL56" s="183">
        <f t="shared" si="5"/>
        <v>0</v>
      </c>
      <c r="CM56" s="186"/>
      <c r="CN56" s="186">
        <v>0</v>
      </c>
      <c r="CO56" s="186">
        <v>0</v>
      </c>
      <c r="CP56" s="186">
        <v>0</v>
      </c>
      <c r="CQ56" s="186">
        <v>0</v>
      </c>
      <c r="CR56" s="186">
        <v>0</v>
      </c>
      <c r="CS56" s="186">
        <v>0</v>
      </c>
      <c r="CT56" s="186">
        <v>0</v>
      </c>
      <c r="CU56" s="186">
        <v>0</v>
      </c>
      <c r="CV56" s="186">
        <v>0</v>
      </c>
      <c r="CW56" s="186">
        <v>0</v>
      </c>
      <c r="CX56" s="186">
        <v>0</v>
      </c>
      <c r="CY56" s="183">
        <f t="shared" si="6"/>
        <v>0</v>
      </c>
      <c r="CZ56" s="186"/>
      <c r="DA56" s="186">
        <v>0</v>
      </c>
      <c r="DB56" s="186">
        <v>0</v>
      </c>
      <c r="DC56" s="186">
        <v>0</v>
      </c>
      <c r="DD56" s="186">
        <v>0</v>
      </c>
      <c r="DE56" s="186">
        <v>0</v>
      </c>
      <c r="DF56" s="186">
        <v>0</v>
      </c>
      <c r="DG56" s="186">
        <v>0</v>
      </c>
      <c r="DH56" s="186">
        <v>0</v>
      </c>
      <c r="DI56" s="186">
        <v>0</v>
      </c>
      <c r="DJ56" s="186">
        <v>0</v>
      </c>
      <c r="DK56" s="186">
        <v>0</v>
      </c>
      <c r="DL56" s="183">
        <f t="shared" si="7"/>
        <v>0</v>
      </c>
      <c r="DM56" s="186"/>
      <c r="DN56" s="186">
        <v>0</v>
      </c>
      <c r="DO56" s="186">
        <v>0</v>
      </c>
      <c r="DP56" s="186">
        <v>0</v>
      </c>
      <c r="DQ56" s="186">
        <v>0</v>
      </c>
      <c r="DR56" s="186">
        <v>0</v>
      </c>
      <c r="DS56" s="186">
        <v>0</v>
      </c>
      <c r="DT56" s="186">
        <v>0</v>
      </c>
      <c r="DU56" s="186">
        <v>0</v>
      </c>
      <c r="DV56" s="186">
        <v>0</v>
      </c>
      <c r="DW56" s="186">
        <v>0</v>
      </c>
      <c r="DX56" s="186">
        <v>0</v>
      </c>
      <c r="DY56" s="183">
        <f t="shared" si="8"/>
        <v>0</v>
      </c>
      <c r="DZ56" s="182"/>
      <c r="EA56" s="187">
        <f t="shared" si="19"/>
        <v>479884</v>
      </c>
      <c r="EB56" s="187">
        <f t="shared" si="19"/>
        <v>451058</v>
      </c>
      <c r="EC56" s="187">
        <f t="shared" si="19"/>
        <v>542763</v>
      </c>
      <c r="ED56" s="182"/>
      <c r="EE56" s="187" t="str">
        <f t="shared" si="10"/>
        <v/>
      </c>
      <c r="EF56" s="184" t="str">
        <f t="shared" si="11"/>
        <v/>
      </c>
      <c r="EG56" s="184" t="str">
        <f t="shared" si="12"/>
        <v/>
      </c>
      <c r="EH56" s="182"/>
      <c r="EI56" s="186">
        <v>7417288</v>
      </c>
      <c r="EJ56" s="186">
        <v>7417288</v>
      </c>
      <c r="EK56" s="186">
        <v>0</v>
      </c>
      <c r="EL56" s="186">
        <v>0</v>
      </c>
      <c r="EM56" s="186">
        <v>0</v>
      </c>
      <c r="EN56" s="183">
        <f t="shared" si="13"/>
        <v>7417288</v>
      </c>
      <c r="EO56" s="186">
        <v>6681059</v>
      </c>
      <c r="EP56" s="186">
        <v>6681059</v>
      </c>
      <c r="EQ56" s="186">
        <v>0</v>
      </c>
      <c r="ER56" s="186">
        <v>0</v>
      </c>
      <c r="ES56" s="186">
        <v>0</v>
      </c>
      <c r="ET56" s="183">
        <f t="shared" si="14"/>
        <v>6681059</v>
      </c>
      <c r="EU56" s="186">
        <v>6006150</v>
      </c>
      <c r="EV56" s="186">
        <v>6006150</v>
      </c>
      <c r="EW56" s="186">
        <v>0</v>
      </c>
      <c r="EX56" s="186">
        <v>0</v>
      </c>
      <c r="EY56" s="186">
        <v>0</v>
      </c>
      <c r="EZ56" s="183">
        <f t="shared" si="15"/>
        <v>6006150</v>
      </c>
    </row>
    <row r="61" spans="1:156" x14ac:dyDescent="0.2"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0"/>
      <c r="EJ61" s="190"/>
      <c r="EK61" s="190"/>
      <c r="EL61" s="190"/>
      <c r="EM61" s="190"/>
      <c r="EN61" s="187"/>
      <c r="EO61" s="190"/>
      <c r="EP61" s="190"/>
      <c r="EQ61" s="190"/>
      <c r="ER61" s="190"/>
      <c r="ES61" s="190"/>
      <c r="ET61" s="190"/>
      <c r="EU61" s="190"/>
      <c r="EV61" s="190"/>
      <c r="EW61" s="190"/>
      <c r="EX61" s="190"/>
      <c r="EY61" s="190"/>
    </row>
  </sheetData>
  <pageMargins left="0.7" right="0.7" top="0.75" bottom="0.75" header="0.3" footer="0.3"/>
  <pageSetup orientation="portrait" r:id="rId1"/>
  <headerFooter>
    <oddHeader>&amp;RDocket No. 20210015-El
OPC's 3rd INTs to FPL
Response to Question No. 147 - Full Proxy Group Screen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MB xmlns="51AD1FF9-283F-48D1-A0B8-3FD70FD42583" xsi:nil="true"/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Sequence_x0020_Number xmlns="51AD1FF9-283F-48D1-A0B8-3FD70FD42583" xsi:nil="true"/>
    <Pgs xmlns="51AD1FF9-283F-48D1-A0B8-3FD70FD42583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9904E16B64D349B6E41560EC6CF12E" ma:contentTypeVersion="" ma:contentTypeDescription="Create a new document." ma:contentTypeScope="" ma:versionID="f8bf7f42eab19159f3dd410508dcd9ab">
  <xsd:schema xmlns:xsd="http://www.w3.org/2001/XMLSchema" xmlns:xs="http://www.w3.org/2001/XMLSchema" xmlns:p="http://schemas.microsoft.com/office/2006/metadata/properties" xmlns:ns2="c85253b9-0a55-49a1-98ad-b5b6252d7079" xmlns:ns3="51AD1FF9-283F-48D1-A0B8-3FD70FD42583" xmlns:ns4="8b86ae58-4ff9-4300-8876-bb89783e485c" xmlns:ns5="3a6ed07f-74d3-4d6b-b2d6-faf8761c8676" targetNamespace="http://schemas.microsoft.com/office/2006/metadata/properties" ma:root="true" ma:fieldsID="756cd5eea480f113d595ce6c8cfbe797" ns2:_="" ns3:_="" ns4:_="" ns5:_="">
    <xsd:import namespace="c85253b9-0a55-49a1-98ad-b5b6252d7079"/>
    <xsd:import namespace="51AD1FF9-283F-48D1-A0B8-3FD70FD42583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D1FF9-283F-48D1-A0B8-3FD70FD42583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1D83F-C0E0-4482-8CE9-A9A6030D4F6A}">
  <ds:schemaRefs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http://schemas.openxmlformats.org/package/2006/metadata/core-properties"/>
    <ds:schemaRef ds:uri="c85253b9-0a55-49a1-98ad-b5b6252d7079"/>
    <ds:schemaRef ds:uri="51AD1FF9-283F-48D1-A0B8-3FD70FD425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45D634-0CCB-49CB-A80C-A0DD1B660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FF3B5-506E-48FA-81F7-36B820152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51AD1FF9-283F-48D1-A0B8-3FD70FD42583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Proxy Group Screen</vt:lpstr>
      <vt:lpstr>Growth Rates</vt:lpstr>
      <vt:lpstr>Business Segment</vt:lpstr>
      <vt:lpstr>FERC Form 1_2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Adams, Starr</dc:creator>
  <cp:keywords/>
  <dc:description/>
  <cp:lastModifiedBy>Adams, Starr</cp:lastModifiedBy>
  <cp:revision/>
  <dcterms:created xsi:type="dcterms:W3CDTF">2021-03-19T16:36:07Z</dcterms:created>
  <dcterms:modified xsi:type="dcterms:W3CDTF">2021-04-20T14:01:24Z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0x010100419904E16B64D349B6E41560EC6CF12E</vt:lpwstr>
  </property>
  <property fmtid="{D5CDD505-2E9C-101B-9397-08002B2CF9AE}" pid="3" name="{A44787D4-0540-4523-9961-78E4036D8C6D}">
    <vt:lpwstr>{600DBD8B-9DA3-4591-A862-5EED1E7FE5DA}</vt:lpwstr>
  </property>
</Properties>
</file>