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6AB5FD68-1362-46D3-86D8-0BE841C550D5}" xr6:coauthVersionLast="47" xr6:coauthVersionMax="47" xr10:uidLastSave="{00000000-0000-0000-0000-000000000000}"/>
  <bookViews>
    <workbookView xWindow="-120" yWindow="-120" windowWidth="29040" windowHeight="15840" firstSheet="3" activeTab="7" xr2:uid="{783200AD-40FC-4FEC-9122-6F61C9AF4906}"/>
  </bookViews>
  <sheets>
    <sheet name="20130040 Demand Allocation" sheetId="13" r:id="rId1"/>
    <sheet name="Settlement Demand Allocation" sheetId="14" r:id="rId2"/>
    <sheet name="2021 base portion-inputs" sheetId="5" r:id="rId3"/>
    <sheet name="P-1sa" sheetId="6" r:id="rId4"/>
    <sheet name="2023 Rev Requirement-inputs" sheetId="15" r:id="rId5"/>
    <sheet name="P-1sb" sheetId="7" r:id="rId6"/>
    <sheet name="P-1sc" sheetId="10" r:id="rId7"/>
    <sheet name="P-1sd" sheetId="1" r:id="rId8"/>
    <sheet name="2023 incremental portion-inputs" sheetId="8" r:id="rId9"/>
  </sheets>
  <externalReferences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P">#REF!</definedName>
    <definedName name="\X">#REF!</definedName>
    <definedName name="\Y">#REF!</definedName>
    <definedName name="\Z">#REF!</definedName>
    <definedName name="__123Graph_A" hidden="1">'[1]DEMAND ALLOC'!#REF!</definedName>
    <definedName name="__123Graph_B" hidden="1">'[1]DEMAND ALLOC'!#REF!</definedName>
    <definedName name="__123Graph_C" hidden="1">'[1]DEMAND ALLOC'!#REF!</definedName>
    <definedName name="__123Graph_D" hidden="1">'[1]DEMAND ALLOC'!#REF!</definedName>
    <definedName name="__123Graph_E" hidden="1">'[1]DEMAND ALLOC'!#REF!</definedName>
    <definedName name="__123Graph_F" hidden="1">'[1]DEMAND ALLOC'!#REF!</definedName>
    <definedName name="_C1_1">'[2]C-1sa'!#REF!</definedName>
    <definedName name="_C2_6">#REF!</definedName>
    <definedName name="_E">#REF!</definedName>
    <definedName name="_Fill" hidden="1">#REF!</definedName>
    <definedName name="_Key1" hidden="1">#REF!</definedName>
    <definedName name="_MWH1">#REF!</definedName>
    <definedName name="_MWH2">#REF!</definedName>
    <definedName name="_MWH3">#REF!</definedName>
    <definedName name="_Order1" hidden="1">255</definedName>
    <definedName name="_Sort" localSheetId="7" hidden="1">#REF!</definedName>
    <definedName name="_Sort" hidden="1">#REF!</definedName>
    <definedName name="Benefits_1">#REF!</definedName>
    <definedName name="Benefits_2">#REF!</definedName>
    <definedName name="Clause">'P-1sd'!$A$2</definedName>
    <definedName name="Company_Name">'P-1sd'!$A$1</definedName>
    <definedName name="Debt">#REF!</definedName>
    <definedName name="DEMALLOC">'[1]DEMAND ALLOC'!#REF!</definedName>
    <definedName name="Demand_Alloc">#REF!</definedName>
    <definedName name="DOWNLOAD">#REF!</definedName>
    <definedName name="DOWNLOAD_4">#REF!</definedName>
    <definedName name="DWNLD">#REF!</definedName>
    <definedName name="ECCR">#REF!</definedName>
    <definedName name="ECCR1">#REF!</definedName>
    <definedName name="ECCR2">#REF!</definedName>
    <definedName name="Equity">#REF!</definedName>
    <definedName name="Filing">'P-1sd'!$A$3</definedName>
    <definedName name="FORM42_7A">#REF!</definedName>
    <definedName name="FORM42_8A_P1">#REF!</definedName>
    <definedName name="FORM42_8A_P12">#REF!</definedName>
    <definedName name="FORM42_8A_P13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MWHS">#REF!</definedName>
    <definedName name="NOTES">#REF!</definedName>
    <definedName name="order">#REF!</definedName>
    <definedName name="PAYROLL_1">#REF!</definedName>
    <definedName name="Payroll_2">#REF!</definedName>
    <definedName name="Period">'P-1sd'!$A$6</definedName>
    <definedName name="_xlnm.Print_Area" localSheetId="7">'P-1sd'!$A$1:$J$45</definedName>
    <definedName name="_xlnm.Print_Area" localSheetId="1">'Settlement Demand Allocation'!$A$1:$G$24</definedName>
    <definedName name="Transmission_Infrastructure_Inspections">#REF!</definedName>
    <definedName name="wrn.print." hidden="1">{"Input",#N/A,FALSE,"Input";"trueup",#N/A,FALSE,"Input";"Interest",#N/A,FALSE,"Input"}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5" l="1"/>
  <c r="E32" i="15"/>
  <c r="E33" i="15"/>
  <c r="E31" i="15"/>
  <c r="E30" i="15"/>
  <c r="E29" i="15"/>
  <c r="E28" i="15"/>
  <c r="E27" i="15"/>
  <c r="E26" i="15"/>
  <c r="E25" i="15"/>
  <c r="E24" i="15"/>
  <c r="E23" i="15"/>
  <c r="E22" i="15"/>
  <c r="E20" i="15"/>
  <c r="E21" i="15"/>
  <c r="E19" i="15"/>
  <c r="E16" i="15"/>
  <c r="J25" i="1" s="1"/>
  <c r="E15" i="15"/>
  <c r="E14" i="15"/>
  <c r="E13" i="15"/>
  <c r="E12" i="15"/>
  <c r="E11" i="15"/>
  <c r="E10" i="15"/>
  <c r="J23" i="1" l="1"/>
  <c r="E35" i="15"/>
  <c r="E37" i="15" s="1"/>
  <c r="B5" i="15" l="1"/>
  <c r="B4" i="15"/>
  <c r="J36" i="1"/>
  <c r="J18" i="1"/>
  <c r="J16" i="1"/>
  <c r="B6" i="15" l="1"/>
  <c r="E5" i="15" s="1"/>
  <c r="B31" i="5"/>
  <c r="B30" i="5"/>
  <c r="E4" i="15" l="1"/>
  <c r="E6" i="15" s="1"/>
  <c r="L22" i="6"/>
  <c r="L20" i="6"/>
  <c r="L19" i="6"/>
  <c r="L18" i="6"/>
  <c r="G23" i="6"/>
  <c r="K22" i="6"/>
  <c r="J22" i="6"/>
  <c r="I22" i="6"/>
  <c r="H22" i="6"/>
  <c r="G22" i="6"/>
  <c r="F22" i="6"/>
  <c r="E22" i="6"/>
  <c r="D22" i="6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H14" i="6"/>
  <c r="D14" i="6"/>
  <c r="K12" i="6"/>
  <c r="J12" i="6"/>
  <c r="I12" i="6"/>
  <c r="E12" i="6"/>
  <c r="C14" i="6"/>
  <c r="K14" i="6" s="1"/>
  <c r="C12" i="6"/>
  <c r="H12" i="6" s="1"/>
  <c r="C24" i="6"/>
  <c r="I24" i="6" s="1"/>
  <c r="C23" i="6"/>
  <c r="J23" i="6" s="1"/>
  <c r="J9" i="6"/>
  <c r="F9" i="6"/>
  <c r="C9" i="6"/>
  <c r="I9" i="6" s="1"/>
  <c r="B24" i="14"/>
  <c r="B23" i="14"/>
  <c r="F20" i="14"/>
  <c r="B20" i="14"/>
  <c r="B19" i="14"/>
  <c r="B18" i="14"/>
  <c r="B17" i="14"/>
  <c r="B16" i="14"/>
  <c r="B15" i="14"/>
  <c r="B14" i="14"/>
  <c r="B13" i="14"/>
  <c r="B24" i="13"/>
  <c r="B23" i="13"/>
  <c r="G20" i="13"/>
  <c r="F20" i="13"/>
  <c r="B20" i="13"/>
  <c r="G19" i="13"/>
  <c r="F19" i="13"/>
  <c r="B19" i="13"/>
  <c r="G18" i="13"/>
  <c r="F18" i="13"/>
  <c r="B18" i="13"/>
  <c r="G17" i="13"/>
  <c r="F17" i="13"/>
  <c r="B17" i="13"/>
  <c r="G16" i="13"/>
  <c r="F16" i="13"/>
  <c r="B16" i="13"/>
  <c r="G15" i="13"/>
  <c r="F15" i="13"/>
  <c r="B15" i="13"/>
  <c r="G14" i="13"/>
  <c r="F14" i="13"/>
  <c r="B14" i="13"/>
  <c r="G13" i="13"/>
  <c r="F13" i="13"/>
  <c r="B13" i="13"/>
  <c r="F24" i="6" l="1"/>
  <c r="J24" i="6"/>
  <c r="G24" i="6"/>
  <c r="K24" i="6"/>
  <c r="H24" i="6"/>
  <c r="D24" i="6"/>
  <c r="E24" i="6"/>
  <c r="K23" i="6"/>
  <c r="D23" i="6"/>
  <c r="H23" i="6"/>
  <c r="E23" i="6"/>
  <c r="L23" i="6" s="1"/>
  <c r="I23" i="6"/>
  <c r="F23" i="6"/>
  <c r="E14" i="6"/>
  <c r="I14" i="6"/>
  <c r="F14" i="6"/>
  <c r="J14" i="6"/>
  <c r="G14" i="6"/>
  <c r="F12" i="6"/>
  <c r="G12" i="6"/>
  <c r="D12" i="6"/>
  <c r="L12" i="6" s="1"/>
  <c r="G9" i="6"/>
  <c r="K9" i="6"/>
  <c r="D9" i="6"/>
  <c r="H9" i="6"/>
  <c r="E9" i="6"/>
  <c r="I17" i="10"/>
  <c r="I2" i="10"/>
  <c r="H2" i="10"/>
  <c r="G2" i="10"/>
  <c r="F2" i="10"/>
  <c r="E2" i="10"/>
  <c r="D2" i="10"/>
  <c r="C2" i="10"/>
  <c r="B2" i="10"/>
  <c r="L24" i="6" l="1"/>
  <c r="L14" i="6"/>
  <c r="L9" i="6"/>
  <c r="J7" i="8"/>
  <c r="I7" i="8"/>
  <c r="H7" i="8"/>
  <c r="G7" i="8"/>
  <c r="D7" i="8"/>
  <c r="C7" i="8"/>
  <c r="J6" i="8"/>
  <c r="I6" i="8"/>
  <c r="H6" i="8"/>
  <c r="G6" i="8"/>
  <c r="F6" i="8"/>
  <c r="E6" i="8"/>
  <c r="D6" i="8"/>
  <c r="C6" i="8"/>
  <c r="F4" i="8"/>
  <c r="F7" i="8" s="1"/>
  <c r="K17" i="7"/>
  <c r="K2" i="7"/>
  <c r="K12" i="7" s="1"/>
  <c r="K16" i="7" s="1"/>
  <c r="J2" i="7"/>
  <c r="J12" i="7" s="1"/>
  <c r="J16" i="7" s="1"/>
  <c r="I2" i="7"/>
  <c r="I12" i="7" s="1"/>
  <c r="I21" i="7" s="1"/>
  <c r="H2" i="7"/>
  <c r="H12" i="7" s="1"/>
  <c r="H21" i="7" s="1"/>
  <c r="G2" i="7"/>
  <c r="G12" i="7" s="1"/>
  <c r="G16" i="7" s="1"/>
  <c r="F2" i="7"/>
  <c r="F12" i="7" s="1"/>
  <c r="F21" i="7" s="1"/>
  <c r="E2" i="7"/>
  <c r="E12" i="7" s="1"/>
  <c r="E16" i="7" s="1"/>
  <c r="D2" i="7"/>
  <c r="D12" i="7" s="1"/>
  <c r="D16" i="7" s="1"/>
  <c r="K40" i="6"/>
  <c r="I6" i="10" s="1"/>
  <c r="I28" i="10" s="1"/>
  <c r="C22" i="6"/>
  <c r="C20" i="6"/>
  <c r="C19" i="6"/>
  <c r="C18" i="6"/>
  <c r="C13" i="6"/>
  <c r="C7" i="6"/>
  <c r="C6" i="6"/>
  <c r="K6" i="6" s="1"/>
  <c r="C4" i="6"/>
  <c r="K4" i="6" s="1"/>
  <c r="K2" i="6"/>
  <c r="K35" i="6" s="1"/>
  <c r="K39" i="6" s="1"/>
  <c r="J2" i="6"/>
  <c r="J35" i="6" s="1"/>
  <c r="J39" i="6" s="1"/>
  <c r="I2" i="6"/>
  <c r="I35" i="6" s="1"/>
  <c r="I44" i="6" s="1"/>
  <c r="H2" i="6"/>
  <c r="H35" i="6" s="1"/>
  <c r="H44" i="6" s="1"/>
  <c r="G2" i="6"/>
  <c r="G35" i="6" s="1"/>
  <c r="G39" i="6" s="1"/>
  <c r="F2" i="6"/>
  <c r="F35" i="6" s="1"/>
  <c r="F44" i="6" s="1"/>
  <c r="E2" i="6"/>
  <c r="E35" i="6" s="1"/>
  <c r="E39" i="6" s="1"/>
  <c r="D2" i="6"/>
  <c r="D35" i="6" s="1"/>
  <c r="D39" i="6" s="1"/>
  <c r="B32" i="5"/>
  <c r="E30" i="5" s="1"/>
  <c r="C16" i="6" s="1"/>
  <c r="J25" i="5"/>
  <c r="K33" i="6" s="1"/>
  <c r="I25" i="5"/>
  <c r="J33" i="6" s="1"/>
  <c r="H25" i="5"/>
  <c r="I33" i="6" s="1"/>
  <c r="G25" i="5"/>
  <c r="H10" i="7" s="1"/>
  <c r="F25" i="5"/>
  <c r="G10" i="7" s="1"/>
  <c r="E25" i="5"/>
  <c r="F33" i="6" s="1"/>
  <c r="D25" i="5"/>
  <c r="E33" i="6" s="1"/>
  <c r="C25" i="5"/>
  <c r="D33" i="6" s="1"/>
  <c r="J23" i="5"/>
  <c r="I23" i="5"/>
  <c r="H23" i="5"/>
  <c r="G23" i="5"/>
  <c r="F23" i="5"/>
  <c r="E23" i="5"/>
  <c r="D23" i="5"/>
  <c r="C23" i="5"/>
  <c r="J9" i="5"/>
  <c r="I9" i="5"/>
  <c r="H9" i="5"/>
  <c r="G9" i="5"/>
  <c r="D9" i="5"/>
  <c r="C9" i="5"/>
  <c r="J8" i="5"/>
  <c r="I8" i="5"/>
  <c r="H8" i="5"/>
  <c r="G8" i="5"/>
  <c r="D8" i="5"/>
  <c r="C8" i="5"/>
  <c r="J7" i="5"/>
  <c r="I7" i="5"/>
  <c r="H7" i="5"/>
  <c r="G7" i="5"/>
  <c r="F7" i="5"/>
  <c r="E7" i="5"/>
  <c r="D7" i="5"/>
  <c r="C7" i="5"/>
  <c r="F5" i="5"/>
  <c r="F9" i="5" s="1"/>
  <c r="F4" i="5"/>
  <c r="E8" i="5" s="1"/>
  <c r="J16" i="6" l="1"/>
  <c r="F16" i="6"/>
  <c r="I16" i="6"/>
  <c r="E16" i="6"/>
  <c r="H16" i="6"/>
  <c r="D16" i="6"/>
  <c r="K16" i="6"/>
  <c r="G16" i="6"/>
  <c r="E31" i="5"/>
  <c r="E32" i="5" s="1"/>
  <c r="I13" i="6"/>
  <c r="H33" i="6"/>
  <c r="E10" i="7"/>
  <c r="I4" i="6"/>
  <c r="J13" i="6"/>
  <c r="H6" i="6"/>
  <c r="D4" i="6"/>
  <c r="I6" i="6"/>
  <c r="F10" i="7"/>
  <c r="E4" i="6"/>
  <c r="D6" i="6"/>
  <c r="I7" i="6"/>
  <c r="H4" i="6"/>
  <c r="E6" i="6"/>
  <c r="J7" i="6"/>
  <c r="G33" i="6"/>
  <c r="D10" i="7"/>
  <c r="I10" i="7"/>
  <c r="K10" i="7"/>
  <c r="J10" i="7"/>
  <c r="F8" i="5"/>
  <c r="K8" i="5" s="1"/>
  <c r="E7" i="8"/>
  <c r="F13" i="6"/>
  <c r="F7" i="6"/>
  <c r="C15" i="6"/>
  <c r="C8" i="6"/>
  <c r="C21" i="6"/>
  <c r="C17" i="6"/>
  <c r="C5" i="6"/>
  <c r="E9" i="5"/>
  <c r="K9" i="5" s="1"/>
  <c r="K7" i="6"/>
  <c r="K13" i="6"/>
  <c r="F4" i="6"/>
  <c r="J4" i="6"/>
  <c r="F6" i="6"/>
  <c r="J6" i="6"/>
  <c r="D7" i="6"/>
  <c r="H7" i="6"/>
  <c r="D13" i="6"/>
  <c r="H13" i="6"/>
  <c r="G13" i="6"/>
  <c r="G6" i="6"/>
  <c r="E7" i="6"/>
  <c r="E13" i="6"/>
  <c r="C27" i="6" l="1"/>
  <c r="J15" i="6"/>
  <c r="F15" i="6"/>
  <c r="I15" i="6"/>
  <c r="E15" i="6"/>
  <c r="H15" i="6"/>
  <c r="D15" i="6"/>
  <c r="K15" i="6"/>
  <c r="G15" i="6"/>
  <c r="L16" i="6"/>
  <c r="J17" i="6"/>
  <c r="F17" i="6"/>
  <c r="I17" i="6"/>
  <c r="E17" i="6"/>
  <c r="H17" i="6"/>
  <c r="D17" i="6"/>
  <c r="L17" i="6" s="1"/>
  <c r="K17" i="6"/>
  <c r="G17" i="6"/>
  <c r="J21" i="6"/>
  <c r="F21" i="6"/>
  <c r="I21" i="6"/>
  <c r="E21" i="6"/>
  <c r="H21" i="6"/>
  <c r="D21" i="6"/>
  <c r="L21" i="6" s="1"/>
  <c r="K21" i="6"/>
  <c r="G21" i="6"/>
  <c r="G7" i="6"/>
  <c r="G4" i="6"/>
  <c r="K7" i="8"/>
  <c r="L6" i="6"/>
  <c r="K8" i="6"/>
  <c r="G8" i="6"/>
  <c r="I8" i="6"/>
  <c r="E8" i="6"/>
  <c r="H8" i="6"/>
  <c r="J8" i="6"/>
  <c r="F8" i="6"/>
  <c r="D8" i="6"/>
  <c r="L13" i="6"/>
  <c r="I5" i="6"/>
  <c r="E5" i="6"/>
  <c r="K5" i="6"/>
  <c r="G5" i="6"/>
  <c r="G27" i="6" s="1"/>
  <c r="F5" i="6"/>
  <c r="H5" i="6"/>
  <c r="D5" i="6"/>
  <c r="C31" i="6"/>
  <c r="J5" i="6"/>
  <c r="L7" i="6"/>
  <c r="L4" i="6"/>
  <c r="K27" i="6" l="1"/>
  <c r="E27" i="6"/>
  <c r="E31" i="6" s="1"/>
  <c r="E36" i="6" s="1"/>
  <c r="E40" i="6" s="1"/>
  <c r="C6" i="10" s="1"/>
  <c r="L15" i="6"/>
  <c r="D27" i="6"/>
  <c r="H27" i="6"/>
  <c r="H31" i="6" s="1"/>
  <c r="H37" i="6" s="1"/>
  <c r="H46" i="6" s="1"/>
  <c r="F12" i="10" s="1"/>
  <c r="J27" i="6"/>
  <c r="J31" i="6" s="1"/>
  <c r="J36" i="6" s="1"/>
  <c r="J40" i="6" s="1"/>
  <c r="H6" i="10" s="1"/>
  <c r="F27" i="6"/>
  <c r="F31" i="6" s="1"/>
  <c r="F37" i="6" s="1"/>
  <c r="F45" i="6" s="1"/>
  <c r="D11" i="10" s="1"/>
  <c r="I27" i="6"/>
  <c r="I31" i="6" s="1"/>
  <c r="I37" i="6" s="1"/>
  <c r="I47" i="6" s="1"/>
  <c r="G13" i="10" s="1"/>
  <c r="G31" i="6"/>
  <c r="G36" i="6" s="1"/>
  <c r="G40" i="6" s="1"/>
  <c r="E6" i="10" s="1"/>
  <c r="K31" i="6"/>
  <c r="L5" i="6"/>
  <c r="L8" i="6"/>
  <c r="L27" i="6" l="1"/>
  <c r="G42" i="6"/>
  <c r="E8" i="10" s="1"/>
  <c r="G41" i="6"/>
  <c r="E7" i="10" s="1"/>
  <c r="F47" i="6"/>
  <c r="D13" i="10" s="1"/>
  <c r="F46" i="6"/>
  <c r="D12" i="10" s="1"/>
  <c r="D31" i="6"/>
  <c r="D36" i="6" l="1"/>
  <c r="D40" i="6" s="1"/>
  <c r="B6" i="10" s="1"/>
  <c r="L31" i="6"/>
  <c r="J27" i="1" l="1"/>
  <c r="J20" i="1"/>
  <c r="J34" i="1" s="1"/>
  <c r="J30" i="1" l="1"/>
  <c r="J38" i="1" l="1"/>
  <c r="B22" i="8" s="1"/>
  <c r="C4" i="7" s="1"/>
  <c r="D4" i="7" l="1"/>
  <c r="G4" i="7"/>
  <c r="G8" i="7" s="1"/>
  <c r="G13" i="7" s="1"/>
  <c r="G17" i="7" s="1"/>
  <c r="E17" i="10" s="1"/>
  <c r="E28" i="10" s="1"/>
  <c r="K4" i="7"/>
  <c r="K8" i="7" s="1"/>
  <c r="E4" i="7"/>
  <c r="E8" i="7" s="1"/>
  <c r="E13" i="7" s="1"/>
  <c r="E17" i="7" s="1"/>
  <c r="C17" i="10" s="1"/>
  <c r="C28" i="10" s="1"/>
  <c r="C8" i="7"/>
  <c r="F4" i="7"/>
  <c r="F8" i="7" s="1"/>
  <c r="F14" i="7" s="1"/>
  <c r="F22" i="7" s="1"/>
  <c r="D22" i="10" s="1"/>
  <c r="D33" i="10" s="1"/>
  <c r="H4" i="7"/>
  <c r="H8" i="7" s="1"/>
  <c r="H14" i="7" s="1"/>
  <c r="H23" i="7" s="1"/>
  <c r="F23" i="10" s="1"/>
  <c r="F34" i="10" s="1"/>
  <c r="J4" i="7"/>
  <c r="J8" i="7" s="1"/>
  <c r="J13" i="7" s="1"/>
  <c r="J17" i="7" s="1"/>
  <c r="H17" i="10" s="1"/>
  <c r="H28" i="10" s="1"/>
  <c r="I4" i="7"/>
  <c r="I8" i="7" s="1"/>
  <c r="I14" i="7" s="1"/>
  <c r="I24" i="7" s="1"/>
  <c r="G24" i="10" s="1"/>
  <c r="G35" i="10" s="1"/>
  <c r="G19" i="7"/>
  <c r="E19" i="10" s="1"/>
  <c r="E30" i="10" s="1"/>
  <c r="D8" i="7"/>
  <c r="G18" i="7" l="1"/>
  <c r="E18" i="10" s="1"/>
  <c r="E29" i="10" s="1"/>
  <c r="F23" i="7"/>
  <c r="D23" i="10" s="1"/>
  <c r="D34" i="10" s="1"/>
  <c r="F24" i="7"/>
  <c r="D24" i="10" s="1"/>
  <c r="D35" i="10" s="1"/>
  <c r="L4" i="7"/>
  <c r="D13" i="7"/>
  <c r="D17" i="7" s="1"/>
  <c r="B17" i="10" s="1"/>
  <c r="B28" i="10" s="1"/>
  <c r="L8" i="7"/>
</calcChain>
</file>

<file path=xl/sharedStrings.xml><?xml version="1.0" encoding="utf-8"?>
<sst xmlns="http://schemas.openxmlformats.org/spreadsheetml/2006/main" count="318" uniqueCount="119">
  <si>
    <t>Tampa Electric Company</t>
  </si>
  <si>
    <t>Storm Protection Plan Cost Recovery Clause</t>
  </si>
  <si>
    <t>Page 1 of 1</t>
  </si>
  <si>
    <t>(in Dollars)</t>
  </si>
  <si>
    <t>Period</t>
  </si>
  <si>
    <t>Line</t>
  </si>
  <si>
    <t>Amount</t>
  </si>
  <si>
    <t>1.</t>
  </si>
  <si>
    <t>2.</t>
  </si>
  <si>
    <t>3.</t>
  </si>
  <si>
    <t>4.</t>
  </si>
  <si>
    <t>5.</t>
  </si>
  <si>
    <t>Calculation of Base and Incremental Revenue Requirements for Rate Calculation</t>
  </si>
  <si>
    <t>Utilizing 2021 Settlement Agreement within Docket No. 20210034-EI</t>
  </si>
  <si>
    <t>6.</t>
  </si>
  <si>
    <t>7.</t>
  </si>
  <si>
    <t xml:space="preserve">(Line 6 - Line 3) </t>
  </si>
  <si>
    <t>8.</t>
  </si>
  <si>
    <t>9.</t>
  </si>
  <si>
    <t>Form S-1</t>
  </si>
  <si>
    <t>Projection Year</t>
  </si>
  <si>
    <t xml:space="preserve">Calculation of GSDO Portion </t>
  </si>
  <si>
    <t>RS (Tier 1, Tier 2, RSVP)</t>
  </si>
  <si>
    <t>GS &amp; CS</t>
  </si>
  <si>
    <t>GSD, SBD</t>
  </si>
  <si>
    <t>GSD Optional</t>
  </si>
  <si>
    <t>GSLDPR, SBLDPR</t>
  </si>
  <si>
    <t>GSLDSU, SBLDSU</t>
  </si>
  <si>
    <t>LS1, LS2</t>
  </si>
  <si>
    <t>LTG-FAC</t>
  </si>
  <si>
    <t>Distribution Factors</t>
  </si>
  <si>
    <t>Transmission Factors</t>
  </si>
  <si>
    <t xml:space="preserve">Factors to be used </t>
  </si>
  <si>
    <t>Check</t>
  </si>
  <si>
    <t>Load Forecast Data at Meter for Projected Year</t>
  </si>
  <si>
    <t>MWh</t>
  </si>
  <si>
    <t>kW</t>
  </si>
  <si>
    <t xml:space="preserve">MWh </t>
  </si>
  <si>
    <t>Billing determinants for Projected Year</t>
  </si>
  <si>
    <t>Transmission Demand Separation Factor</t>
  </si>
  <si>
    <t>%</t>
  </si>
  <si>
    <t>FPSC Jurisdictional Factor</t>
  </si>
  <si>
    <t>FERC Jurisdictional Factor</t>
  </si>
  <si>
    <t xml:space="preserve"> </t>
  </si>
  <si>
    <t>Total</t>
  </si>
  <si>
    <t>Revenue Requirements from Regulatory Accounting</t>
  </si>
  <si>
    <t>Capital</t>
  </si>
  <si>
    <t>Distribution Lateral Undergrounding</t>
  </si>
  <si>
    <t>Transmission Asset Upgrades</t>
  </si>
  <si>
    <t>Substation Extreme Weather Protection</t>
  </si>
  <si>
    <t>Distribution Overhead Feeder Hardening</t>
  </si>
  <si>
    <t>Transmission Access Enhancements</t>
  </si>
  <si>
    <t>O&amp;M</t>
  </si>
  <si>
    <t>Distribution Infrastructure Inspections</t>
  </si>
  <si>
    <t>Transmission Infrastructure Inspections</t>
  </si>
  <si>
    <t>SPP Planning &amp; Common</t>
  </si>
  <si>
    <t>Storm Protection Program</t>
  </si>
  <si>
    <t xml:space="preserve">Function </t>
  </si>
  <si>
    <t>SPPCRC Revenue Requirement</t>
  </si>
  <si>
    <t>Dist</t>
  </si>
  <si>
    <t>Trans Retail</t>
  </si>
  <si>
    <t>Revenue Tax Factor</t>
  </si>
  <si>
    <t>Total with Revenue Tax Factor</t>
  </si>
  <si>
    <t>Billing Determinants</t>
  </si>
  <si>
    <t>After Taxes</t>
  </si>
  <si>
    <t>Charges (per kWh)</t>
  </si>
  <si>
    <t>Charges (per kW)</t>
  </si>
  <si>
    <t>Clause Charges (per kWh)</t>
  </si>
  <si>
    <t>Secondary</t>
  </si>
  <si>
    <t>Primary</t>
  </si>
  <si>
    <t>Sub-Transmission</t>
  </si>
  <si>
    <t>Clause Charges (per kW)</t>
  </si>
  <si>
    <t>Cost Allocation Factor</t>
  </si>
  <si>
    <t>2021 Settlement Cost Allocation Factor</t>
  </si>
  <si>
    <t>10.</t>
  </si>
  <si>
    <t>Incremental Portion</t>
  </si>
  <si>
    <t>Revenue Requirement for Projected Year (Incremental Portion)</t>
  </si>
  <si>
    <t>Base Year Portion</t>
  </si>
  <si>
    <t>(Line 7 - Line 9), if value is zero or negative, Total Incremental portion will be set to zero</t>
  </si>
  <si>
    <t>Total SPPCRC Cost Recovery Factor</t>
  </si>
  <si>
    <t>TAMPA ELECTRIC COMPANY</t>
  </si>
  <si>
    <t xml:space="preserve">STORM PROTECTION PLAN </t>
  </si>
  <si>
    <t>BILLING DETERMINANTS AND ALLOCATION % BY RATE CLASS</t>
  </si>
  <si>
    <t>BILLING DETERMINANTS</t>
  </si>
  <si>
    <t>ALLOCATION FACTORS</t>
  </si>
  <si>
    <t>DISTRIBUTION</t>
  </si>
  <si>
    <t>TRANSMISSION</t>
  </si>
  <si>
    <t>TRANSMISSION DEMAND SEPARATION FACTOR</t>
  </si>
  <si>
    <t>DOCKET NO. 20130040-EI, SETTLEMENT COST OF SERVICE METHODOLOGY</t>
  </si>
  <si>
    <t>DOCKET NO. 20210034-EI, SETTLEMENT COST OF SERVICE METHODOLOGY</t>
  </si>
  <si>
    <t>BASE PORTION</t>
  </si>
  <si>
    <t>Distribution Pole Replacements</t>
  </si>
  <si>
    <t>Other Legacy Storm Hardening Plan Items</t>
  </si>
  <si>
    <t>Distribution Vegetation Management - Planned</t>
  </si>
  <si>
    <t>Distribution Vegetation Management - Unplanned</t>
  </si>
  <si>
    <t>Transmission Vegetation Management - Planned</t>
  </si>
  <si>
    <t>Transmission Vegetation Management - Unplanned</t>
  </si>
  <si>
    <t>Jurisdictionally Separated SPP O&amp;M Revenue Requirement for 2021</t>
  </si>
  <si>
    <t>Jurisdictionally Separated SPP Capital Revenue Requirement for 2021</t>
  </si>
  <si>
    <t>Total Jurisdictionally Separated SPP Revenue Requirement for 2021  (Base Revenue Requirement)</t>
  </si>
  <si>
    <t>Incremental Jurisdictionally Separated SPP Revenue Requirement</t>
  </si>
  <si>
    <t>Base Portion Total SPP Revenue Requirements with existing rate calculation methodology from Docket No. 20130040-EI</t>
  </si>
  <si>
    <t>Line left blank for SPP (Rate calculations assume no true-up)</t>
  </si>
  <si>
    <t>Distribution - Substation Extreme Weather Protection</t>
  </si>
  <si>
    <t>Transmission - Substation Extreme Weather Protection</t>
  </si>
  <si>
    <t>Jurisdictional Separation</t>
  </si>
  <si>
    <t>Total Jurisdictionally Separated</t>
  </si>
  <si>
    <t>Total UnSeparated</t>
  </si>
  <si>
    <t>2023 Revenue Requirements with 2021 Settlement methodology from Docket No. 20210034-EI</t>
  </si>
  <si>
    <t>Summary of 2023 SPP Revenue Requirements for Rate Calculation</t>
  </si>
  <si>
    <t>Jurisdictionally Separated SPP O&amp;M Revenue Requirement for 2023</t>
  </si>
  <si>
    <t>Jurisdictionally Separated SPP Capital Revenue Requirement for 2023</t>
  </si>
  <si>
    <t xml:space="preserve">Total Jurisdictionally Separated SPP Revenue Requirement for 2023  </t>
  </si>
  <si>
    <t>Docket 20210034-EI, Calculation of 2023 SPP Rates utilizing 2021 base year portion, 2021 Settlement Cost of Service Methodology</t>
  </si>
  <si>
    <t>Docket 20210034-EI, Calculation of 2023 SPPCRC Rates utilizing 2021 base year portion, 2021 Settlement Cost of Service Methodology</t>
  </si>
  <si>
    <t>YEAR 2023 - SPP INCREMENTAL PORTION</t>
  </si>
  <si>
    <t>Incremental Portion Total 2023 SPP Revenue Requirements with 2021 Settlement methodology from Docket No. 20210034-EI</t>
  </si>
  <si>
    <t>Docket 20210034-EI, Calculation of Total 2023 SPP Rates utilizing 2021 base year portion and 2023 incremental portion, 2021 Settlement Cost of Service Methodology</t>
  </si>
  <si>
    <t>SPP Period: January through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</si>
</sst>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00000"/>
    <numFmt numFmtId="167" formatCode="#,##0.000"/>
    <numFmt numFmtId="168" formatCode="0.00000%"/>
    <numFmt numFmtId="169" formatCode="&quot;$&quot;#,##0"/>
    <numFmt numFmtId="170" formatCode="&quot;$&quot;#,##0.00"/>
    <numFmt numFmtId="171" formatCode="&quot;$&quot;#,##0.000000"/>
    <numFmt numFmtId="172" formatCode="&quot;$&quot;#,##0.00000"/>
    <numFmt numFmtId="173" formatCode="0.000000"/>
    <numFmt numFmtId="174" formatCode="0_);\(0\)"/>
    <numFmt numFmtId="175" formatCode="0.000%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44" fontId="9" fillId="0" borderId="0" applyFont="0" applyFill="0" applyBorder="0" applyAlignment="0" applyProtection="0"/>
    <xf numFmtId="37" fontId="6" fillId="0" borderId="0" applyBorder="0" applyProtection="0"/>
    <xf numFmtId="37" fontId="6" fillId="0" borderId="0" applyBorder="0" applyProtection="0"/>
    <xf numFmtId="0" fontId="5" fillId="0" borderId="0"/>
    <xf numFmtId="9" fontId="5" fillId="0" borderId="0" applyFont="0" applyFill="0" applyBorder="0" applyAlignment="0" applyProtection="0"/>
    <xf numFmtId="37" fontId="6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2">
    <xf numFmtId="37" fontId="0" fillId="0" borderId="0" xfId="0"/>
    <xf numFmtId="37" fontId="6" fillId="0" borderId="0" xfId="0" applyFont="1" applyAlignment="1">
      <alignment horizontal="right" vertical="center"/>
    </xf>
    <xf numFmtId="0" fontId="6" fillId="0" borderId="0" xfId="2" applyNumberFormat="1"/>
    <xf numFmtId="0" fontId="6" fillId="0" borderId="0" xfId="2" applyNumberFormat="1" applyAlignment="1">
      <alignment horizontal="right"/>
    </xf>
    <xf numFmtId="37" fontId="6" fillId="0" borderId="0" xfId="2"/>
    <xf numFmtId="37" fontId="8" fillId="0" borderId="0" xfId="2" applyFont="1" applyAlignment="1" applyProtection="1">
      <alignment horizontal="center"/>
    </xf>
    <xf numFmtId="37" fontId="6" fillId="0" borderId="0" xfId="2" applyAlignment="1" applyProtection="1">
      <alignment horizontal="centerContinuous"/>
    </xf>
    <xf numFmtId="37" fontId="8" fillId="0" borderId="0" xfId="2" applyFont="1" applyAlignment="1" applyProtection="1">
      <alignment horizontal="centerContinuous"/>
    </xf>
    <xf numFmtId="0" fontId="6" fillId="0" borderId="0" xfId="2" applyNumberFormat="1" applyAlignment="1">
      <alignment horizontal="center"/>
    </xf>
    <xf numFmtId="37" fontId="6" fillId="0" borderId="1" xfId="2" applyBorder="1" applyProtection="1"/>
    <xf numFmtId="37" fontId="6" fillId="0" borderId="0" xfId="2" applyBorder="1" applyProtection="1"/>
    <xf numFmtId="37" fontId="6" fillId="0" borderId="0" xfId="2" applyProtection="1"/>
    <xf numFmtId="0" fontId="6" fillId="0" borderId="1" xfId="2" applyNumberFormat="1" applyBorder="1" applyAlignment="1" applyProtection="1">
      <alignment horizontal="center"/>
    </xf>
    <xf numFmtId="37" fontId="6" fillId="0" borderId="0" xfId="2" applyBorder="1"/>
    <xf numFmtId="164" fontId="6" fillId="0" borderId="0" xfId="1" applyNumberFormat="1" applyFont="1"/>
    <xf numFmtId="37" fontId="6" fillId="0" borderId="0" xfId="2" applyAlignment="1">
      <alignment horizontal="right"/>
    </xf>
    <xf numFmtId="37" fontId="6" fillId="0" borderId="0" xfId="3"/>
    <xf numFmtId="164" fontId="6" fillId="0" borderId="0" xfId="1" applyNumberFormat="1" applyFont="1" applyProtection="1"/>
    <xf numFmtId="37" fontId="6" fillId="0" borderId="0" xfId="3" quotePrefix="1" applyAlignment="1" applyProtection="1">
      <alignment horizontal="left" indent="1"/>
    </xf>
    <xf numFmtId="37" fontId="6" fillId="0" borderId="0" xfId="2" quotePrefix="1" applyAlignment="1">
      <alignment horizontal="right"/>
    </xf>
    <xf numFmtId="37" fontId="8" fillId="0" borderId="0" xfId="2" applyFont="1" applyProtection="1"/>
    <xf numFmtId="164" fontId="6" fillId="0" borderId="0" xfId="1" applyNumberFormat="1" applyFont="1" applyFill="1"/>
    <xf numFmtId="37" fontId="6" fillId="0" borderId="0" xfId="3" applyAlignment="1">
      <alignment horizontal="left" indent="1"/>
    </xf>
    <xf numFmtId="164" fontId="6" fillId="0" borderId="1" xfId="1" applyNumberFormat="1" applyFont="1" applyFill="1" applyBorder="1" applyProtection="1"/>
    <xf numFmtId="37" fontId="10" fillId="0" borderId="0" xfId="2" applyFont="1"/>
    <xf numFmtId="37" fontId="6" fillId="0" borderId="0" xfId="2" applyAlignment="1" applyProtection="1">
      <alignment horizontal="center"/>
    </xf>
    <xf numFmtId="164" fontId="6" fillId="0" borderId="0" xfId="1" applyNumberFormat="1" applyFont="1" applyBorder="1"/>
    <xf numFmtId="164" fontId="6" fillId="0" borderId="0" xfId="1" applyNumberFormat="1" applyFont="1" applyFill="1" applyBorder="1"/>
    <xf numFmtId="164" fontId="6" fillId="0" borderId="2" xfId="1" applyNumberFormat="1" applyFont="1" applyFill="1" applyBorder="1"/>
    <xf numFmtId="164" fontId="6" fillId="0" borderId="2" xfId="1" applyNumberFormat="1" applyFont="1" applyFill="1" applyBorder="1" applyProtection="1"/>
    <xf numFmtId="37" fontId="6" fillId="0" borderId="0" xfId="2" applyFill="1"/>
    <xf numFmtId="0" fontId="11" fillId="0" borderId="0" xfId="4" applyFont="1"/>
    <xf numFmtId="0" fontId="11" fillId="2" borderId="0" xfId="4" applyFont="1" applyFill="1" applyAlignment="1">
      <alignment horizontal="center"/>
    </xf>
    <xf numFmtId="0" fontId="5" fillId="0" borderId="0" xfId="4"/>
    <xf numFmtId="0" fontId="11" fillId="0" borderId="0" xfId="4" applyFont="1" applyAlignment="1">
      <alignment horizontal="center"/>
    </xf>
    <xf numFmtId="0" fontId="11" fillId="0" borderId="5" xfId="4" applyFont="1" applyBorder="1"/>
    <xf numFmtId="0" fontId="5" fillId="0" borderId="5" xfId="4" applyBorder="1"/>
    <xf numFmtId="165" fontId="12" fillId="2" borderId="5" xfId="5" applyNumberFormat="1" applyFont="1" applyFill="1" applyBorder="1" applyAlignment="1">
      <alignment horizontal="center" vertical="center"/>
    </xf>
    <xf numFmtId="165" fontId="5" fillId="0" borderId="5" xfId="4" applyNumberFormat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165" fontId="5" fillId="0" borderId="0" xfId="4" applyNumberFormat="1" applyAlignment="1">
      <alignment horizontal="center"/>
    </xf>
    <xf numFmtId="165" fontId="11" fillId="0" borderId="5" xfId="4" applyNumberFormat="1" applyFont="1" applyBorder="1" applyAlignment="1">
      <alignment horizontal="center"/>
    </xf>
    <xf numFmtId="165" fontId="5" fillId="0" borderId="0" xfId="4" applyNumberFormat="1"/>
    <xf numFmtId="165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right"/>
    </xf>
    <xf numFmtId="3" fontId="5" fillId="3" borderId="5" xfId="4" applyNumberFormat="1" applyFill="1" applyBorder="1" applyAlignment="1">
      <alignment horizontal="center"/>
    </xf>
    <xf numFmtId="3" fontId="5" fillId="2" borderId="5" xfId="4" applyNumberFormat="1" applyFill="1" applyBorder="1" applyAlignment="1">
      <alignment horizontal="center"/>
    </xf>
    <xf numFmtId="3" fontId="5" fillId="0" borderId="0" xfId="4" applyNumberFormat="1" applyAlignment="1">
      <alignment horizontal="center"/>
    </xf>
    <xf numFmtId="2" fontId="5" fillId="0" borderId="0" xfId="4" applyNumberFormat="1" applyAlignment="1">
      <alignment horizontal="center"/>
    </xf>
    <xf numFmtId="2" fontId="5" fillId="0" borderId="0" xfId="4" applyNumberFormat="1"/>
    <xf numFmtId="166" fontId="5" fillId="0" borderId="0" xfId="4" applyNumberFormat="1" applyAlignment="1">
      <alignment horizontal="center"/>
    </xf>
    <xf numFmtId="3" fontId="5" fillId="3" borderId="5" xfId="4" applyNumberFormat="1" applyFill="1" applyBorder="1"/>
    <xf numFmtId="2" fontId="5" fillId="0" borderId="0" xfId="4" applyNumberFormat="1" applyAlignment="1">
      <alignment horizontal="left"/>
    </xf>
    <xf numFmtId="3" fontId="5" fillId="0" borderId="5" xfId="4" applyNumberFormat="1" applyBorder="1" applyAlignment="1">
      <alignment horizontal="center" vertical="center"/>
    </xf>
    <xf numFmtId="9" fontId="11" fillId="0" borderId="0" xfId="5" applyFont="1" applyAlignment="1">
      <alignment horizontal="center"/>
    </xf>
    <xf numFmtId="10" fontId="5" fillId="0" borderId="5" xfId="4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167" fontId="5" fillId="0" borderId="0" xfId="4" applyNumberFormat="1" applyAlignment="1">
      <alignment horizontal="center"/>
    </xf>
    <xf numFmtId="10" fontId="5" fillId="0" borderId="0" xfId="4" applyNumberFormat="1"/>
    <xf numFmtId="0" fontId="13" fillId="0" borderId="5" xfId="4" applyFont="1" applyBorder="1" applyAlignment="1">
      <alignment horizontal="left"/>
    </xf>
    <xf numFmtId="37" fontId="14" fillId="0" borderId="5" xfId="6" applyFont="1" applyBorder="1" applyAlignment="1">
      <alignment horizontal="right" indent="1"/>
    </xf>
    <xf numFmtId="37" fontId="14" fillId="0" borderId="5" xfId="6" applyFont="1" applyBorder="1" applyAlignment="1">
      <alignment horizontal="left"/>
    </xf>
    <xf numFmtId="169" fontId="5" fillId="0" borderId="0" xfId="4" applyNumberFormat="1"/>
    <xf numFmtId="37" fontId="14" fillId="0" borderId="5" xfId="6" applyFont="1" applyBorder="1" applyAlignment="1">
      <alignment horizontal="right" wrapText="1" indent="1"/>
    </xf>
    <xf numFmtId="0" fontId="13" fillId="0" borderId="0" xfId="4" applyFont="1" applyAlignment="1">
      <alignment horizontal="center"/>
    </xf>
    <xf numFmtId="0" fontId="5" fillId="0" borderId="5" xfId="4" applyBorder="1" applyAlignment="1">
      <alignment horizontal="center"/>
    </xf>
    <xf numFmtId="169" fontId="5" fillId="0" borderId="5" xfId="4" applyNumberFormat="1" applyBorder="1"/>
    <xf numFmtId="170" fontId="5" fillId="0" borderId="5" xfId="4" applyNumberFormat="1" applyBorder="1"/>
    <xf numFmtId="0" fontId="5" fillId="0" borderId="0" xfId="4" applyAlignment="1">
      <alignment horizontal="center"/>
    </xf>
    <xf numFmtId="3" fontId="5" fillId="0" borderId="5" xfId="4" applyNumberFormat="1" applyBorder="1"/>
    <xf numFmtId="0" fontId="11" fillId="0" borderId="5" xfId="4" applyFont="1" applyBorder="1" applyAlignment="1">
      <alignment horizontal="center"/>
    </xf>
    <xf numFmtId="171" fontId="5" fillId="0" borderId="5" xfId="4" applyNumberFormat="1" applyBorder="1"/>
    <xf numFmtId="170" fontId="5" fillId="0" borderId="0" xfId="4" applyNumberFormat="1"/>
    <xf numFmtId="0" fontId="5" fillId="0" borderId="0" xfId="4" applyAlignment="1">
      <alignment horizontal="center" vertical="center"/>
    </xf>
    <xf numFmtId="37" fontId="6" fillId="0" borderId="0" xfId="2" quotePrefix="1"/>
    <xf numFmtId="0" fontId="5" fillId="0" borderId="0" xfId="4" applyBorder="1" applyAlignment="1"/>
    <xf numFmtId="0" fontId="11" fillId="0" borderId="0" xfId="4" applyFont="1" applyBorder="1" applyAlignment="1"/>
    <xf numFmtId="0" fontId="5" fillId="0" borderId="3" xfId="4" applyBorder="1"/>
    <xf numFmtId="0" fontId="13" fillId="0" borderId="3" xfId="4" applyFont="1" applyBorder="1" applyAlignment="1">
      <alignment horizontal="left"/>
    </xf>
    <xf numFmtId="169" fontId="5" fillId="0" borderId="0" xfId="4" applyNumberFormat="1" applyFill="1" applyBorder="1" applyAlignment="1"/>
    <xf numFmtId="0" fontId="11" fillId="0" borderId="0" xfId="4" applyFont="1" applyFill="1" applyBorder="1" applyAlignment="1">
      <alignment wrapText="1"/>
    </xf>
    <xf numFmtId="0" fontId="11" fillId="0" borderId="0" xfId="4" applyFont="1" applyAlignment="1">
      <alignment horizontal="left"/>
    </xf>
    <xf numFmtId="0" fontId="11" fillId="0" borderId="5" xfId="4" applyFont="1" applyFill="1" applyBorder="1" applyAlignment="1">
      <alignment horizontal="center"/>
    </xf>
    <xf numFmtId="173" fontId="11" fillId="0" borderId="5" xfId="4" applyNumberFormat="1" applyFont="1" applyFill="1" applyBorder="1" applyAlignment="1">
      <alignment horizontal="center"/>
    </xf>
    <xf numFmtId="173" fontId="5" fillId="0" borderId="0" xfId="4" applyNumberFormat="1" applyFill="1"/>
    <xf numFmtId="173" fontId="5" fillId="0" borderId="5" xfId="4" applyNumberFormat="1" applyFill="1" applyBorder="1"/>
    <xf numFmtId="0" fontId="11" fillId="0" borderId="0" xfId="8" applyFont="1" applyAlignment="1">
      <alignment horizontal="center"/>
    </xf>
    <xf numFmtId="165" fontId="12" fillId="0" borderId="0" xfId="9" applyNumberFormat="1" applyFont="1" applyFill="1" applyBorder="1" applyAlignment="1">
      <alignment horizontal="center" vertical="center"/>
    </xf>
    <xf numFmtId="165" fontId="4" fillId="0" borderId="0" xfId="8" applyNumberFormat="1" applyAlignment="1">
      <alignment horizontal="center"/>
    </xf>
    <xf numFmtId="165" fontId="12" fillId="0" borderId="0" xfId="9" applyNumberFormat="1" applyFont="1" applyFill="1" applyBorder="1" applyAlignment="1">
      <alignment horizontal="center"/>
    </xf>
    <xf numFmtId="3" fontId="4" fillId="2" borderId="5" xfId="8" applyNumberFormat="1" applyFill="1" applyBorder="1"/>
    <xf numFmtId="3" fontId="4" fillId="2" borderId="5" xfId="8" applyNumberForma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3" fontId="4" fillId="0" borderId="0" xfId="8" applyNumberFormat="1" applyFill="1" applyBorder="1" applyAlignment="1">
      <alignment horizontal="center"/>
    </xf>
    <xf numFmtId="0" fontId="4" fillId="0" borderId="0" xfId="8"/>
    <xf numFmtId="0" fontId="4" fillId="0" borderId="0" xfId="8" applyAlignment="1">
      <alignment horizontal="center" vertical="center"/>
    </xf>
    <xf numFmtId="3" fontId="11" fillId="0" borderId="0" xfId="8" applyNumberFormat="1" applyFont="1" applyAlignment="1">
      <alignment horizontal="center"/>
    </xf>
    <xf numFmtId="0" fontId="4" fillId="0" borderId="0" xfId="8" applyAlignment="1">
      <alignment horizontal="center"/>
    </xf>
    <xf numFmtId="0" fontId="11" fillId="0" borderId="0" xfId="8" applyFont="1"/>
    <xf numFmtId="165" fontId="4" fillId="0" borderId="0" xfId="8" applyNumberFormat="1"/>
    <xf numFmtId="3" fontId="4" fillId="0" borderId="0" xfId="8" applyNumberFormat="1" applyFill="1" applyBorder="1"/>
    <xf numFmtId="0" fontId="4" fillId="0" borderId="0" xfId="8" applyFill="1" applyBorder="1"/>
    <xf numFmtId="0" fontId="4" fillId="0" borderId="0" xfId="8" applyFill="1" applyBorder="1" applyAlignment="1">
      <alignment horizontal="center"/>
    </xf>
    <xf numFmtId="3" fontId="5" fillId="0" borderId="0" xfId="4" applyNumberFormat="1" applyFill="1" applyBorder="1" applyAlignment="1">
      <alignment horizontal="center"/>
    </xf>
    <xf numFmtId="0" fontId="11" fillId="0" borderId="0" xfId="8" applyFont="1" applyAlignment="1"/>
    <xf numFmtId="175" fontId="12" fillId="0" borderId="0" xfId="9" applyNumberFormat="1" applyFont="1" applyFill="1" applyBorder="1" applyAlignment="1">
      <alignment horizontal="center" vertical="center"/>
    </xf>
    <xf numFmtId="175" fontId="4" fillId="0" borderId="0" xfId="8" applyNumberFormat="1" applyAlignment="1">
      <alignment horizontal="center"/>
    </xf>
    <xf numFmtId="171" fontId="5" fillId="0" borderId="5" xfId="4" applyNumberFormat="1" applyFill="1" applyBorder="1"/>
    <xf numFmtId="0" fontId="5" fillId="0" borderId="0" xfId="4" applyFill="1"/>
    <xf numFmtId="0" fontId="5" fillId="0" borderId="5" xfId="4" applyFill="1" applyBorder="1"/>
    <xf numFmtId="0" fontId="11" fillId="0" borderId="0" xfId="4" applyFont="1" applyFill="1" applyAlignment="1">
      <alignment horizontal="right"/>
    </xf>
    <xf numFmtId="172" fontId="5" fillId="0" borderId="5" xfId="4" applyNumberFormat="1" applyFill="1" applyBorder="1"/>
    <xf numFmtId="170" fontId="5" fillId="0" borderId="0" xfId="4" applyNumberFormat="1" applyFill="1"/>
    <xf numFmtId="0" fontId="3" fillId="0" borderId="0" xfId="8" applyFont="1" applyAlignment="1">
      <alignment horizontal="center" vertical="center"/>
    </xf>
    <xf numFmtId="0" fontId="3" fillId="0" borderId="5" xfId="4" applyFont="1" applyBorder="1" applyAlignment="1">
      <alignment horizontal="center"/>
    </xf>
    <xf numFmtId="37" fontId="14" fillId="0" borderId="0" xfId="6" applyFont="1" applyBorder="1" applyAlignment="1">
      <alignment horizontal="right" indent="1"/>
    </xf>
    <xf numFmtId="0" fontId="3" fillId="0" borderId="0" xfId="4" applyFont="1" applyBorder="1" applyAlignment="1">
      <alignment horizontal="center"/>
    </xf>
    <xf numFmtId="0" fontId="5" fillId="0" borderId="0" xfId="4" applyBorder="1"/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/>
    </xf>
    <xf numFmtId="164" fontId="6" fillId="2" borderId="0" xfId="1" applyNumberFormat="1" applyFont="1" applyFill="1" applyProtection="1"/>
    <xf numFmtId="164" fontId="6" fillId="2" borderId="0" xfId="1" applyNumberFormat="1" applyFont="1" applyFill="1" applyBorder="1"/>
    <xf numFmtId="0" fontId="11" fillId="0" borderId="5" xfId="4" applyFont="1" applyBorder="1" applyAlignment="1">
      <alignment horizontal="center"/>
    </xf>
    <xf numFmtId="0" fontId="11" fillId="0" borderId="0" xfId="4" applyFont="1" applyAlignment="1">
      <alignment horizontal="right"/>
    </xf>
    <xf numFmtId="169" fontId="5" fillId="0" borderId="5" xfId="4" applyNumberFormat="1" applyFill="1" applyBorder="1" applyAlignment="1"/>
    <xf numFmtId="0" fontId="1" fillId="0" borderId="5" xfId="4" applyFont="1" applyBorder="1"/>
    <xf numFmtId="37" fontId="6" fillId="0" borderId="0" xfId="3" applyAlignment="1"/>
    <xf numFmtId="37" fontId="6" fillId="0" borderId="0" xfId="3" quotePrefix="1" applyAlignment="1"/>
    <xf numFmtId="0" fontId="1" fillId="0" borderId="0" xfId="8" applyFont="1" applyAlignment="1">
      <alignment horizontal="center" vertical="center"/>
    </xf>
    <xf numFmtId="174" fontId="4" fillId="0" borderId="0" xfId="8" applyNumberFormat="1" applyAlignment="1">
      <alignment horizontal="center"/>
    </xf>
    <xf numFmtId="0" fontId="11" fillId="0" borderId="0" xfId="8" applyFont="1" applyAlignment="1">
      <alignment horizontal="center"/>
    </xf>
    <xf numFmtId="169" fontId="5" fillId="2" borderId="5" xfId="4" applyNumberFormat="1" applyFill="1" applyBorder="1" applyAlignment="1">
      <alignment horizontal="center"/>
    </xf>
    <xf numFmtId="167" fontId="5" fillId="0" borderId="5" xfId="4" applyNumberForma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5" fillId="0" borderId="5" xfId="4" applyBorder="1" applyAlignment="1">
      <alignment horizontal="center"/>
    </xf>
    <xf numFmtId="169" fontId="2" fillId="2" borderId="5" xfId="4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5" fillId="0" borderId="0" xfId="4" applyAlignment="1">
      <alignment horizontal="center" vertical="center"/>
    </xf>
    <xf numFmtId="0" fontId="11" fillId="4" borderId="0" xfId="4" applyFont="1" applyFill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Fill="1" applyAlignment="1">
      <alignment horizontal="right"/>
    </xf>
    <xf numFmtId="0" fontId="11" fillId="0" borderId="7" xfId="4" applyFont="1" applyFill="1" applyBorder="1" applyAlignment="1">
      <alignment horizontal="right"/>
    </xf>
    <xf numFmtId="0" fontId="11" fillId="0" borderId="5" xfId="4" applyFont="1" applyBorder="1" applyAlignment="1">
      <alignment horizontal="right"/>
    </xf>
    <xf numFmtId="0" fontId="11" fillId="0" borderId="6" xfId="4" applyFont="1" applyBorder="1" applyAlignment="1">
      <alignment horizontal="right"/>
    </xf>
    <xf numFmtId="0" fontId="11" fillId="0" borderId="0" xfId="4" applyFont="1" applyAlignment="1">
      <alignment horizontal="right"/>
    </xf>
    <xf numFmtId="0" fontId="11" fillId="0" borderId="7" xfId="4" applyFont="1" applyBorder="1" applyAlignment="1">
      <alignment horizontal="right"/>
    </xf>
    <xf numFmtId="0" fontId="1" fillId="0" borderId="5" xfId="4" applyFont="1" applyBorder="1" applyAlignment="1">
      <alignment horizontal="center"/>
    </xf>
    <xf numFmtId="169" fontId="5" fillId="2" borderId="3" xfId="4" applyNumberFormat="1" applyFill="1" applyBorder="1" applyAlignment="1">
      <alignment horizontal="center"/>
    </xf>
    <xf numFmtId="169" fontId="5" fillId="2" borderId="8" xfId="4" applyNumberFormat="1" applyFill="1" applyBorder="1" applyAlignment="1">
      <alignment horizontal="center"/>
    </xf>
    <xf numFmtId="169" fontId="5" fillId="2" borderId="4" xfId="4" applyNumberFormat="1" applyFill="1" applyBorder="1" applyAlignment="1">
      <alignment horizontal="center"/>
    </xf>
    <xf numFmtId="0" fontId="5" fillId="0" borderId="3" xfId="4" applyBorder="1" applyAlignment="1">
      <alignment horizontal="center"/>
    </xf>
    <xf numFmtId="0" fontId="5" fillId="0" borderId="8" xfId="4" applyBorder="1" applyAlignment="1">
      <alignment horizontal="center"/>
    </xf>
    <xf numFmtId="37" fontId="8" fillId="0" borderId="0" xfId="2" applyFont="1" applyAlignment="1">
      <alignment horizontal="left"/>
    </xf>
    <xf numFmtId="37" fontId="8" fillId="0" borderId="0" xfId="2" applyFont="1" applyAlignment="1" applyProtection="1">
      <alignment horizontal="left"/>
    </xf>
    <xf numFmtId="0" fontId="7" fillId="0" borderId="0" xfId="2" applyNumberFormat="1" applyFont="1" applyAlignment="1" applyProtection="1">
      <alignment horizontal="center"/>
    </xf>
    <xf numFmtId="37" fontId="6" fillId="0" borderId="0" xfId="2" applyAlignment="1" applyProtection="1">
      <alignment horizontal="center"/>
    </xf>
    <xf numFmtId="37" fontId="8" fillId="0" borderId="0" xfId="2" applyFont="1" applyAlignment="1" applyProtection="1">
      <alignment horizontal="center"/>
    </xf>
    <xf numFmtId="0" fontId="11" fillId="2" borderId="3" xfId="4" applyFont="1" applyFill="1" applyBorder="1" applyAlignment="1">
      <alignment horizontal="center" wrapText="1"/>
    </xf>
    <xf numFmtId="0" fontId="11" fillId="2" borderId="4" xfId="4" applyFont="1" applyFill="1" applyBorder="1" applyAlignment="1">
      <alignment horizontal="center" wrapText="1"/>
    </xf>
  </cellXfs>
  <cellStyles count="11">
    <cellStyle name="Comma 2" xfId="10" xr:uid="{12B8A80D-BFE7-41B0-BD0F-1C47A8D2AFFC}"/>
    <cellStyle name="Currency" xfId="1" builtinId="4"/>
    <cellStyle name="Normal" xfId="0" builtinId="0"/>
    <cellStyle name="Normal 2" xfId="4" xr:uid="{B7BEC424-3913-4DD2-988D-E3571837DA61}"/>
    <cellStyle name="Normal 2 2" xfId="6" xr:uid="{D922EEBF-5559-422E-ACA1-CCCAC379CEF3}"/>
    <cellStyle name="Normal 2 3" xfId="8" xr:uid="{6F15872D-0537-4844-96C4-714B77257BB7}"/>
    <cellStyle name="Normal 3" xfId="7" xr:uid="{B6CDDB70-CBAA-47FB-8781-BEB0D745C9F3}"/>
    <cellStyle name="Normal_2006 Act-Est Schedules FINAL Revised_081706 2" xfId="2" xr:uid="{E8F4B309-7C2D-4285-96FB-64040F2D1DC8}"/>
    <cellStyle name="Normal_2006 Act-Est Schedules FINAL Revised_081706_TRUP2009_Dec 09_YE_030310" xfId="3" xr:uid="{55ED9DCF-2F7A-498F-9FAF-2CF0CFD1662D}"/>
    <cellStyle name="Percent 2" xfId="5" xr:uid="{9C49AE43-6C1A-4C08-9077-4BD3117B8B65}"/>
    <cellStyle name="Percent 2 2" xfId="9" xr:uid="{86A08E8A-77C9-46D7-AEA3-F4AB40423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mrr\AppData\Local\Microsoft\Windows\INetCache\Content.Outlook\4KPA9BDJ\2022%20Settlement%20WACC%20Updated%20-%20RC_2021-2022%20Conservation%20Project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CR%20Electric/2021%20-%20ECCR/Clause%20Settlement%20rates/Final%20Items/Rev%204%20%20%20%209-24-21%20%20ECCR%20rates%20due%20to%20Settlement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ings%20with%20FPSC/Docket%20No.%2020210010-EI%20(SPPCRC)/02_2021%20Projection%20(for%202022)/02_Corrected/5-10-21/P-1b%20(pg%203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"/>
      <sheetName val="2021 Template"/>
      <sheetName val="2022 Template"/>
      <sheetName val="EXPENSES"/>
      <sheetName val="Budget Entry"/>
      <sheetName val="SCHED INDEX"/>
      <sheetName val="DEMAND ALLOC"/>
      <sheetName val="C1 PG 1"/>
      <sheetName val="C2 PG 1"/>
      <sheetName val="C2 PG 2"/>
      <sheetName val="C2 PG 3"/>
      <sheetName val="C2 PG 4"/>
      <sheetName val="C2 PG 4B"/>
      <sheetName val="C2 PG 4C"/>
      <sheetName val="C2 PG 4D"/>
      <sheetName val="C2 PG 4E"/>
      <sheetName val="C3 PG1&amp;2"/>
      <sheetName val="C3 PG 3"/>
      <sheetName val="C3 PG 4"/>
      <sheetName val="C3 PG 4B"/>
      <sheetName val="C3 PG 4C"/>
      <sheetName val="C3 PG 4D"/>
      <sheetName val="C3 PG 4E"/>
      <sheetName val="C3 PG 5"/>
      <sheetName val="C3 PG 6"/>
      <sheetName val="C3 PG 7"/>
      <sheetName val="C4 PG 1"/>
      <sheetName val="C2P PG 4"/>
      <sheetName val="C3P PG 4"/>
      <sheetName val="2021 Revenues"/>
      <sheetName val="2022 Revenues"/>
      <sheetName val="Vlookup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2022</v>
          </cell>
        </row>
      </sheetData>
      <sheetData sheetId="4" refreshError="1"/>
      <sheetData sheetId="5" refreshError="1"/>
      <sheetData sheetId="6">
        <row r="13">
          <cell r="F13">
            <v>9728164.6219999995</v>
          </cell>
        </row>
      </sheetData>
      <sheetData sheetId="7"/>
      <sheetData sheetId="8">
        <row r="95">
          <cell r="O95">
            <v>46599750.25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7">
          <cell r="Q47">
            <v>2706646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Demand allocation"/>
      <sheetName val="C-1sd"/>
      <sheetName val="C-1sa"/>
      <sheetName val="2022 incremental portion-inputs"/>
      <sheetName val="C-1sb"/>
      <sheetName val="C-1s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ate Calc"/>
      <sheetName val="Billing Deter and Allocation"/>
    </sheetNames>
    <sheetDataSet>
      <sheetData sheetId="0">
        <row r="8">
          <cell r="C8">
            <v>0.63075073347225774</v>
          </cell>
          <cell r="D8">
            <v>4.8672684850350853E-2</v>
          </cell>
          <cell r="E8">
            <v>0.26412542324340266</v>
          </cell>
          <cell r="F8">
            <v>1.4233883051185673E-2</v>
          </cell>
          <cell r="G8">
            <v>3.5892643238092832E-2</v>
          </cell>
          <cell r="H8">
            <v>0</v>
          </cell>
          <cell r="I8">
            <v>6.3246321447102301E-3</v>
          </cell>
          <cell r="J8">
            <v>0</v>
          </cell>
        </row>
        <row r="9">
          <cell r="C9">
            <v>0.59206624903815608</v>
          </cell>
          <cell r="D9">
            <v>5.0399377955007131E-2</v>
          </cell>
          <cell r="E9">
            <v>0.28381010000348755</v>
          </cell>
          <cell r="F9">
            <v>1.5294702503788064E-2</v>
          </cell>
          <cell r="G9">
            <v>3.7219807483242183E-2</v>
          </cell>
          <cell r="H9">
            <v>2.0816948526783563E-2</v>
          </cell>
          <cell r="I9">
            <v>3.9281448953547478E-4</v>
          </cell>
          <cell r="J9">
            <v>0</v>
          </cell>
        </row>
        <row r="13">
          <cell r="A13" t="str">
            <v>RS (Tier 1, Tier 2, RSVP)</v>
          </cell>
        </row>
        <row r="14">
          <cell r="A14" t="str">
            <v>GS &amp; CS</v>
          </cell>
        </row>
        <row r="15">
          <cell r="A15" t="str">
            <v>GSD, SBD</v>
          </cell>
        </row>
        <row r="16">
          <cell r="A16" t="str">
            <v>GSD Optional</v>
          </cell>
        </row>
        <row r="17">
          <cell r="A17" t="str">
            <v>GSLDPR, SBLDPR</v>
          </cell>
        </row>
        <row r="18">
          <cell r="A18" t="str">
            <v>GSLDSU, SBLDSU</v>
          </cell>
        </row>
        <row r="19">
          <cell r="A19" t="str">
            <v>LS1, LS2</v>
          </cell>
        </row>
        <row r="20">
          <cell r="A20" t="str">
            <v>LTG-FAC</v>
          </cell>
        </row>
        <row r="30">
          <cell r="A30" t="str">
            <v>FPSC Jurisdictional Factor</v>
          </cell>
        </row>
        <row r="31">
          <cell r="A31" t="str">
            <v>FERC Jurisdictional Factor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891E-57C0-4245-BE12-C311C715FBD9}">
  <dimension ref="B3:G24"/>
  <sheetViews>
    <sheetView showGridLines="0" view="pageBreakPreview" zoomScale="95" zoomScaleNormal="100" zoomScaleSheetLayoutView="95" workbookViewId="0">
      <selection activeCell="C25" sqref="C25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7" x14ac:dyDescent="0.25">
      <c r="D3" s="96" t="s">
        <v>80</v>
      </c>
    </row>
    <row r="4" spans="2:7" x14ac:dyDescent="0.25">
      <c r="D4" s="96" t="s">
        <v>81</v>
      </c>
    </row>
    <row r="5" spans="2:7" x14ac:dyDescent="0.25">
      <c r="D5" s="96" t="s">
        <v>82</v>
      </c>
    </row>
    <row r="6" spans="2:7" x14ac:dyDescent="0.25">
      <c r="D6" s="114" t="s">
        <v>90</v>
      </c>
    </row>
    <row r="7" spans="2:7" x14ac:dyDescent="0.25">
      <c r="D7" s="96"/>
    </row>
    <row r="8" spans="2:7" x14ac:dyDescent="0.25">
      <c r="D8" s="98" t="s">
        <v>88</v>
      </c>
      <c r="F8" s="96"/>
    </row>
    <row r="9" spans="2:7" x14ac:dyDescent="0.25">
      <c r="C9" s="130"/>
      <c r="D9" s="130"/>
      <c r="F9" s="96"/>
    </row>
    <row r="10" spans="2:7" x14ac:dyDescent="0.25">
      <c r="C10" s="131" t="s">
        <v>83</v>
      </c>
      <c r="D10" s="131"/>
      <c r="F10" s="131" t="s">
        <v>84</v>
      </c>
      <c r="G10" s="131"/>
    </row>
    <row r="11" spans="2:7" x14ac:dyDescent="0.25">
      <c r="C11" s="97" t="s">
        <v>35</v>
      </c>
      <c r="D11" s="87" t="s">
        <v>36</v>
      </c>
      <c r="F11" s="87" t="s">
        <v>85</v>
      </c>
      <c r="G11" s="87" t="s">
        <v>86</v>
      </c>
    </row>
    <row r="12" spans="2:7" x14ac:dyDescent="0.25">
      <c r="C12" s="97"/>
      <c r="D12" s="87"/>
    </row>
    <row r="13" spans="2:7" x14ac:dyDescent="0.25">
      <c r="B13" s="95" t="str">
        <f>[3]Inputs!A13</f>
        <v>RS (Tier 1, Tier 2, RSVP)</v>
      </c>
      <c r="C13" s="101">
        <v>9728164.6219999995</v>
      </c>
      <c r="D13" s="102"/>
      <c r="F13" s="89">
        <f>[3]Inputs!C8</f>
        <v>0.63075073347225774</v>
      </c>
      <c r="G13" s="89">
        <f>[3]Inputs!C9</f>
        <v>0.59206624903815608</v>
      </c>
    </row>
    <row r="14" spans="2:7" x14ac:dyDescent="0.25">
      <c r="B14" s="95" t="str">
        <f>[3]Inputs!A14</f>
        <v>GS &amp; CS</v>
      </c>
      <c r="C14" s="101">
        <v>953392.38500000001</v>
      </c>
      <c r="D14" s="102"/>
      <c r="F14" s="89">
        <f>[3]Inputs!D8</f>
        <v>4.8672684850350853E-2</v>
      </c>
      <c r="G14" s="89">
        <f>[3]Inputs!D9</f>
        <v>5.0399377955007131E-2</v>
      </c>
    </row>
    <row r="15" spans="2:7" x14ac:dyDescent="0.25">
      <c r="B15" s="95" t="str">
        <f>[3]Inputs!A15</f>
        <v>GSD, SBD</v>
      </c>
      <c r="C15" s="94"/>
      <c r="D15" s="94">
        <v>15876487.529999999</v>
      </c>
      <c r="F15" s="89">
        <f>[3]Inputs!E8</f>
        <v>0.26412542324340266</v>
      </c>
      <c r="G15" s="89">
        <f>[3]Inputs!E9</f>
        <v>0.28381010000348755</v>
      </c>
    </row>
    <row r="16" spans="2:7" x14ac:dyDescent="0.25">
      <c r="B16" s="95" t="str">
        <f>[3]Inputs!A16</f>
        <v>GSD Optional</v>
      </c>
      <c r="C16" s="101">
        <v>415088.27899999998</v>
      </c>
      <c r="D16" s="103"/>
      <c r="F16" s="89">
        <f>[3]Inputs!F8</f>
        <v>1.4233883051185673E-2</v>
      </c>
      <c r="G16" s="89">
        <f>[3]Inputs!F9</f>
        <v>1.5294702503788064E-2</v>
      </c>
    </row>
    <row r="17" spans="2:7" x14ac:dyDescent="0.25">
      <c r="B17" s="95" t="str">
        <f>[3]Inputs!A17</f>
        <v>GSLDPR, SBLDPR</v>
      </c>
      <c r="C17" s="94"/>
      <c r="D17" s="104">
        <v>2439151.87</v>
      </c>
      <c r="F17" s="89">
        <f>[3]Inputs!G8</f>
        <v>3.5892643238092832E-2</v>
      </c>
      <c r="G17" s="89">
        <f>[3]Inputs!G9</f>
        <v>3.7219807483242183E-2</v>
      </c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89">
        <f>[3]Inputs!H8</f>
        <v>0</v>
      </c>
      <c r="G18" s="89">
        <f>[3]Inputs!H9</f>
        <v>2.0816948526783563E-2</v>
      </c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89">
        <f>[3]Inputs!I8</f>
        <v>6.3246321447102301E-3</v>
      </c>
      <c r="G19" s="89">
        <f>[3]Inputs!I9</f>
        <v>3.9281448953547478E-4</v>
      </c>
    </row>
    <row r="20" spans="2:7" x14ac:dyDescent="0.25">
      <c r="B20" s="95" t="str">
        <f>[3]Inputs!A20</f>
        <v>LTG-FAC</v>
      </c>
      <c r="C20" s="101">
        <v>0</v>
      </c>
      <c r="D20" s="102"/>
      <c r="F20" s="89">
        <f>[3]Inputs!J8</f>
        <v>0</v>
      </c>
      <c r="G20" s="89">
        <f>[3]Inputs!J9</f>
        <v>0</v>
      </c>
    </row>
    <row r="22" spans="2:7" x14ac:dyDescent="0.25">
      <c r="B22" s="99" t="s">
        <v>87</v>
      </c>
    </row>
    <row r="23" spans="2:7" x14ac:dyDescent="0.25">
      <c r="B23" s="95" t="str">
        <f>[3]Inputs!A30</f>
        <v>FPSC Jurisdictional Factor</v>
      </c>
      <c r="C23" s="100">
        <v>0.925763</v>
      </c>
    </row>
    <row r="24" spans="2:7" x14ac:dyDescent="0.25">
      <c r="B24" s="95" t="str">
        <f>[3]Inputs!A31</f>
        <v>FERC Jurisdictional Factor</v>
      </c>
      <c r="C24" s="100">
        <v>7.4236999999999997E-2</v>
      </c>
    </row>
  </sheetData>
  <mergeCells count="3">
    <mergeCell ref="C9:D9"/>
    <mergeCell ref="C10:D10"/>
    <mergeCell ref="F10:G10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248B-706B-4924-AADF-9BAE602EC915}">
  <dimension ref="B3:R24"/>
  <sheetViews>
    <sheetView showGridLines="0" view="pageBreakPreview" zoomScale="96" zoomScaleNormal="100" zoomScaleSheetLayoutView="96" workbookViewId="0">
      <selection activeCell="D7" sqref="D7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18" x14ac:dyDescent="0.25">
      <c r="D3" s="96" t="s">
        <v>80</v>
      </c>
    </row>
    <row r="4" spans="2:18" x14ac:dyDescent="0.25">
      <c r="D4" s="96" t="s">
        <v>81</v>
      </c>
    </row>
    <row r="5" spans="2:18" x14ac:dyDescent="0.25">
      <c r="D5" s="96" t="s">
        <v>82</v>
      </c>
    </row>
    <row r="6" spans="2:18" x14ac:dyDescent="0.25">
      <c r="D6" s="129" t="s">
        <v>115</v>
      </c>
    </row>
    <row r="7" spans="2:18" x14ac:dyDescent="0.25">
      <c r="D7" s="96"/>
    </row>
    <row r="8" spans="2:18" x14ac:dyDescent="0.25">
      <c r="D8" s="98" t="s">
        <v>89</v>
      </c>
      <c r="F8" s="96"/>
    </row>
    <row r="9" spans="2:18" x14ac:dyDescent="0.25">
      <c r="C9" s="130"/>
      <c r="D9" s="130"/>
      <c r="F9" s="96"/>
    </row>
    <row r="10" spans="2:18" x14ac:dyDescent="0.25">
      <c r="C10" s="131" t="s">
        <v>83</v>
      </c>
      <c r="D10" s="131"/>
      <c r="F10" s="105" t="s">
        <v>84</v>
      </c>
      <c r="G10" s="105"/>
    </row>
    <row r="11" spans="2:18" x14ac:dyDescent="0.25">
      <c r="C11" s="97" t="s">
        <v>35</v>
      </c>
      <c r="D11" s="87" t="s">
        <v>36</v>
      </c>
      <c r="F11" s="87"/>
      <c r="G11" s="87"/>
    </row>
    <row r="12" spans="2:18" x14ac:dyDescent="0.25">
      <c r="C12" s="97"/>
      <c r="D12" s="87"/>
    </row>
    <row r="13" spans="2:18" x14ac:dyDescent="0.25">
      <c r="B13" s="95" t="str">
        <f>[3]Inputs!A13</f>
        <v>RS (Tier 1, Tier 2, RSVP)</v>
      </c>
      <c r="C13" s="101">
        <v>9728164.6219999995</v>
      </c>
      <c r="D13" s="102"/>
      <c r="F13" s="106">
        <v>0.7811931307130755</v>
      </c>
      <c r="G13" s="88"/>
      <c r="I13" s="88"/>
      <c r="J13" s="88"/>
      <c r="K13" s="88"/>
      <c r="L13" s="89"/>
      <c r="M13" s="89"/>
      <c r="N13" s="90"/>
      <c r="O13" s="90"/>
      <c r="P13" s="89"/>
      <c r="Q13" s="89"/>
      <c r="R13" s="90">
        <v>6.61147949045119E-2</v>
      </c>
    </row>
    <row r="14" spans="2:18" x14ac:dyDescent="0.25">
      <c r="B14" s="95" t="str">
        <f>[3]Inputs!A14</f>
        <v>GS &amp; CS</v>
      </c>
      <c r="C14" s="101">
        <v>953392.38500000001</v>
      </c>
      <c r="D14" s="102"/>
      <c r="F14" s="106">
        <v>9.5582236910912624E-2</v>
      </c>
      <c r="G14" s="89"/>
    </row>
    <row r="15" spans="2:18" x14ac:dyDescent="0.25">
      <c r="B15" s="95" t="str">
        <f>[3]Inputs!A15</f>
        <v>GSD, SBD</v>
      </c>
      <c r="C15" s="94"/>
      <c r="D15" s="94">
        <v>15876487.529999999</v>
      </c>
      <c r="F15" s="107">
        <v>4.4289423475938151E-2</v>
      </c>
      <c r="G15" s="89"/>
    </row>
    <row r="16" spans="2:18" x14ac:dyDescent="0.25">
      <c r="B16" s="95" t="str">
        <f>[3]Inputs!A16</f>
        <v>GSD Optional</v>
      </c>
      <c r="C16" s="101">
        <v>415088.27899999998</v>
      </c>
      <c r="D16" s="103"/>
      <c r="F16" s="107">
        <v>2.7538965399591551E-3</v>
      </c>
      <c r="G16" s="89"/>
    </row>
    <row r="17" spans="2:7" x14ac:dyDescent="0.25">
      <c r="B17" s="95" t="str">
        <f>[3]Inputs!A17</f>
        <v>GSLDPR, SBLDPR</v>
      </c>
      <c r="C17" s="94"/>
      <c r="D17" s="104">
        <v>2439151.87</v>
      </c>
      <c r="F17" s="107">
        <v>6.4373418118685551E-3</v>
      </c>
      <c r="G17" s="89"/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107">
        <v>3.6291756437341811E-3</v>
      </c>
      <c r="G18" s="89"/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107">
        <v>6.61147949045119E-2</v>
      </c>
      <c r="G19" s="89"/>
    </row>
    <row r="20" spans="2:7" x14ac:dyDescent="0.25">
      <c r="B20" s="95" t="str">
        <f>[3]Inputs!A20</f>
        <v>LTG-FAC</v>
      </c>
      <c r="C20" s="101">
        <v>0</v>
      </c>
      <c r="D20" s="102"/>
      <c r="F20" s="107">
        <f>[3]Inputs!J8</f>
        <v>0</v>
      </c>
      <c r="G20" s="89"/>
    </row>
    <row r="22" spans="2:7" x14ac:dyDescent="0.25">
      <c r="B22" s="99" t="s">
        <v>87</v>
      </c>
    </row>
    <row r="23" spans="2:7" x14ac:dyDescent="0.25">
      <c r="B23" s="95" t="str">
        <f>[3]Inputs!A30</f>
        <v>FPSC Jurisdictional Factor</v>
      </c>
      <c r="C23" s="100">
        <v>0.932446</v>
      </c>
    </row>
    <row r="24" spans="2:7" x14ac:dyDescent="0.25">
      <c r="B24" s="95" t="str">
        <f>[3]Inputs!A31</f>
        <v>FERC Jurisdictional Factor</v>
      </c>
      <c r="C24" s="100">
        <v>6.7554000000000003E-2</v>
      </c>
    </row>
  </sheetData>
  <mergeCells count="2">
    <mergeCell ref="C9:D9"/>
    <mergeCell ref="C10:D10"/>
  </mergeCells>
  <pageMargins left="0.7" right="0.7" top="0.75" bottom="0.75" header="0.3" footer="0.3"/>
  <pageSetup scale="92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C561-504D-499A-89A2-4083B997AC68}">
  <dimension ref="A1:M60"/>
  <sheetViews>
    <sheetView topLeftCell="A22" workbookViewId="0">
      <selection activeCell="B2" sqref="B2"/>
    </sheetView>
  </sheetViews>
  <sheetFormatPr defaultRowHeight="15" x14ac:dyDescent="0.25"/>
  <cols>
    <col min="1" max="1" width="41.77734375" style="33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20</v>
      </c>
      <c r="B1" s="32">
        <v>2023</v>
      </c>
    </row>
    <row r="3" spans="1:13" x14ac:dyDescent="0.25">
      <c r="A3" s="138" t="s">
        <v>21</v>
      </c>
      <c r="B3" s="139"/>
      <c r="C3" s="34" t="s">
        <v>22</v>
      </c>
      <c r="D3" s="34" t="s">
        <v>23</v>
      </c>
      <c r="E3" s="34" t="s">
        <v>24</v>
      </c>
      <c r="F3" s="34" t="s">
        <v>25</v>
      </c>
      <c r="G3" s="34" t="s">
        <v>26</v>
      </c>
      <c r="H3" s="34" t="s">
        <v>27</v>
      </c>
      <c r="I3" s="34" t="s">
        <v>28</v>
      </c>
      <c r="J3" s="34" t="s">
        <v>29</v>
      </c>
    </row>
    <row r="4" spans="1:13" x14ac:dyDescent="0.25">
      <c r="A4" s="35" t="s">
        <v>30</v>
      </c>
      <c r="B4" s="36">
        <v>105</v>
      </c>
      <c r="C4" s="37">
        <v>0.63075073347225774</v>
      </c>
      <c r="D4" s="37">
        <v>4.8672684850350853E-2</v>
      </c>
      <c r="E4" s="37">
        <v>0.27835930629458833</v>
      </c>
      <c r="F4" s="38">
        <f>E4*B16/(B15+B16)</f>
        <v>1.6295149766598589E-2</v>
      </c>
      <c r="G4" s="39">
        <v>3.5892643238092832E-2</v>
      </c>
      <c r="H4" s="40">
        <v>0</v>
      </c>
      <c r="I4" s="39">
        <v>6.3246321447102301E-3</v>
      </c>
      <c r="J4" s="40">
        <v>0</v>
      </c>
    </row>
    <row r="5" spans="1:13" x14ac:dyDescent="0.25">
      <c r="A5" s="35" t="s">
        <v>31</v>
      </c>
      <c r="B5" s="36">
        <v>117</v>
      </c>
      <c r="C5" s="39">
        <v>0.59206624903815608</v>
      </c>
      <c r="D5" s="39">
        <v>5.0399377955007131E-2</v>
      </c>
      <c r="E5" s="39">
        <v>0.29910480250727561</v>
      </c>
      <c r="F5" s="38">
        <f>E5*B16/(B15+B16)</f>
        <v>1.750959081499804E-2</v>
      </c>
      <c r="G5" s="39">
        <v>3.7219807483242183E-2</v>
      </c>
      <c r="H5" s="39">
        <v>2.0816948526783563E-2</v>
      </c>
      <c r="I5" s="39">
        <v>3.9281448953547478E-4</v>
      </c>
      <c r="J5" s="40">
        <v>0</v>
      </c>
    </row>
    <row r="6" spans="1:13" x14ac:dyDescent="0.25">
      <c r="A6" s="31"/>
      <c r="C6" s="41"/>
      <c r="D6" s="41"/>
      <c r="E6" s="41"/>
      <c r="F6" s="41"/>
      <c r="G6" s="41"/>
      <c r="H6" s="41"/>
      <c r="I6" s="41"/>
      <c r="J6" s="41"/>
    </row>
    <row r="7" spans="1:13" x14ac:dyDescent="0.25">
      <c r="A7" s="138" t="s">
        <v>32</v>
      </c>
      <c r="B7" s="139"/>
      <c r="C7" s="42" t="str">
        <f>C3</f>
        <v>RS (Tier 1, Tier 2, RSVP)</v>
      </c>
      <c r="D7" s="42" t="str">
        <f t="shared" ref="D7:J9" si="0">D3</f>
        <v>GS &amp; CS</v>
      </c>
      <c r="E7" s="42" t="str">
        <f t="shared" si="0"/>
        <v>GSD, SBD</v>
      </c>
      <c r="F7" s="42" t="str">
        <f t="shared" si="0"/>
        <v>GSD Optional</v>
      </c>
      <c r="G7" s="42" t="str">
        <f t="shared" si="0"/>
        <v>GSLDPR, SBLDPR</v>
      </c>
      <c r="H7" s="42" t="str">
        <f>H3</f>
        <v>GSLDSU, SBLDSU</v>
      </c>
      <c r="I7" s="42" t="str">
        <f t="shared" si="0"/>
        <v>LS1, LS2</v>
      </c>
      <c r="J7" s="42" t="str">
        <f t="shared" si="0"/>
        <v>LTG-FAC</v>
      </c>
    </row>
    <row r="8" spans="1:13" x14ac:dyDescent="0.25">
      <c r="A8" s="35" t="s">
        <v>30</v>
      </c>
      <c r="B8" s="36"/>
      <c r="C8" s="38">
        <f>C4</f>
        <v>0.63075073347225774</v>
      </c>
      <c r="D8" s="38">
        <f t="shared" si="0"/>
        <v>4.8672684850350853E-2</v>
      </c>
      <c r="E8" s="38">
        <f>E4-F4</f>
        <v>0.26206415652798976</v>
      </c>
      <c r="F8" s="38">
        <f t="shared" si="0"/>
        <v>1.6295149766598589E-2</v>
      </c>
      <c r="G8" s="38">
        <f t="shared" si="0"/>
        <v>3.5892643238092832E-2</v>
      </c>
      <c r="H8" s="38">
        <f t="shared" si="0"/>
        <v>0</v>
      </c>
      <c r="I8" s="38">
        <f t="shared" si="0"/>
        <v>6.3246321447102301E-3</v>
      </c>
      <c r="J8" s="38">
        <f t="shared" si="0"/>
        <v>0</v>
      </c>
      <c r="K8" s="43">
        <f>SUM(C8:J8)</f>
        <v>1</v>
      </c>
      <c r="L8" s="140" t="s">
        <v>33</v>
      </c>
    </row>
    <row r="9" spans="1:13" x14ac:dyDescent="0.25">
      <c r="A9" s="35" t="s">
        <v>31</v>
      </c>
      <c r="B9" s="36"/>
      <c r="C9" s="38">
        <f t="shared" ref="C9:J9" si="1">C5</f>
        <v>0.59206624903815608</v>
      </c>
      <c r="D9" s="38">
        <f t="shared" si="1"/>
        <v>5.0399377955007131E-2</v>
      </c>
      <c r="E9" s="38">
        <f>E5-F5</f>
        <v>0.28159521169227758</v>
      </c>
      <c r="F9" s="38">
        <f t="shared" si="1"/>
        <v>1.750959081499804E-2</v>
      </c>
      <c r="G9" s="38">
        <f t="shared" si="1"/>
        <v>3.7219807483242183E-2</v>
      </c>
      <c r="H9" s="38">
        <f t="shared" si="0"/>
        <v>2.0816948526783563E-2</v>
      </c>
      <c r="I9" s="38">
        <f t="shared" si="1"/>
        <v>3.9281448953547478E-4</v>
      </c>
      <c r="J9" s="38">
        <f t="shared" si="1"/>
        <v>0</v>
      </c>
      <c r="K9" s="43">
        <f>SUM(C9:J9)</f>
        <v>0.99999999999999989</v>
      </c>
      <c r="L9" s="140"/>
    </row>
    <row r="10" spans="1:13" x14ac:dyDescent="0.25">
      <c r="A10" s="31"/>
      <c r="C10" s="41"/>
      <c r="D10" s="41"/>
      <c r="E10" s="41"/>
      <c r="F10" s="41"/>
      <c r="G10" s="41"/>
      <c r="H10" s="41"/>
      <c r="I10" s="41"/>
      <c r="J10" s="41"/>
    </row>
    <row r="11" spans="1:13" x14ac:dyDescent="0.25">
      <c r="A11" s="31"/>
      <c r="C11" s="41"/>
      <c r="D11" s="41"/>
      <c r="E11" s="41"/>
      <c r="F11" s="41"/>
      <c r="G11" s="41"/>
      <c r="H11" s="41"/>
      <c r="I11" s="41"/>
      <c r="J11" s="41"/>
    </row>
    <row r="12" spans="1:13" x14ac:dyDescent="0.25">
      <c r="A12" s="31" t="s">
        <v>34</v>
      </c>
      <c r="B12" s="34" t="s">
        <v>35</v>
      </c>
      <c r="C12" s="44" t="s">
        <v>36</v>
      </c>
      <c r="D12" s="41"/>
      <c r="E12" s="41"/>
      <c r="F12" s="41"/>
      <c r="G12" s="41"/>
      <c r="H12" s="41"/>
      <c r="I12" s="41"/>
    </row>
    <row r="13" spans="1:13" x14ac:dyDescent="0.25">
      <c r="A13" s="45" t="s">
        <v>22</v>
      </c>
      <c r="B13" s="91">
        <v>9728164.6219999995</v>
      </c>
      <c r="C13" s="46"/>
      <c r="D13" s="41"/>
      <c r="E13" s="41"/>
      <c r="F13" s="41"/>
      <c r="G13" s="41"/>
      <c r="H13" s="41"/>
      <c r="I13" s="41"/>
    </row>
    <row r="14" spans="1:13" x14ac:dyDescent="0.25">
      <c r="A14" s="45" t="s">
        <v>23</v>
      </c>
      <c r="B14" s="91">
        <v>953392.38500000001</v>
      </c>
      <c r="C14" s="46"/>
      <c r="D14" s="41"/>
      <c r="E14" s="93"/>
      <c r="F14" s="41"/>
      <c r="G14" s="41"/>
      <c r="H14" s="41"/>
      <c r="I14" s="41"/>
    </row>
    <row r="15" spans="1:13" x14ac:dyDescent="0.25">
      <c r="A15" s="45" t="s">
        <v>24</v>
      </c>
      <c r="B15" s="91">
        <v>6675591.2819999997</v>
      </c>
      <c r="C15" s="92">
        <v>15876487.529999999</v>
      </c>
      <c r="D15" s="48"/>
      <c r="E15" s="94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25</v>
      </c>
      <c r="B16" s="91">
        <v>415088.27899999998</v>
      </c>
      <c r="C16" s="46"/>
      <c r="D16" s="41"/>
      <c r="E16" s="94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26</v>
      </c>
      <c r="B17" s="52"/>
      <c r="C17" s="47">
        <v>2439151.87</v>
      </c>
      <c r="D17" s="41"/>
      <c r="E17" s="94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27</v>
      </c>
      <c r="B18" s="52"/>
      <c r="C18" s="47">
        <v>2627756.0699999998</v>
      </c>
      <c r="D18" s="41"/>
      <c r="E18" s="94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45" t="s">
        <v>28</v>
      </c>
      <c r="B19" s="91">
        <v>110703.23299999999</v>
      </c>
      <c r="C19" s="46"/>
      <c r="D19" s="41"/>
      <c r="E19" s="49"/>
      <c r="F19" s="49"/>
      <c r="G19" s="49"/>
      <c r="H19" s="49"/>
      <c r="I19" s="49"/>
      <c r="J19" s="50"/>
      <c r="K19" s="50"/>
      <c r="L19" s="50"/>
      <c r="M19" s="50"/>
    </row>
    <row r="20" spans="1:13" x14ac:dyDescent="0.25">
      <c r="A20" s="45" t="s">
        <v>29</v>
      </c>
      <c r="B20" s="91">
        <v>0</v>
      </c>
      <c r="C20" s="46"/>
      <c r="D20" s="41"/>
      <c r="E20" s="49"/>
      <c r="F20" s="49"/>
      <c r="G20" s="49"/>
      <c r="H20" s="49"/>
      <c r="I20" s="49"/>
      <c r="J20" s="50"/>
      <c r="K20" s="50"/>
      <c r="L20" s="50"/>
      <c r="M20" s="50"/>
    </row>
    <row r="21" spans="1:13" x14ac:dyDescent="0.25">
      <c r="A21" s="31"/>
      <c r="C21" s="41"/>
      <c r="D21" s="41"/>
      <c r="E21" s="41"/>
      <c r="F21" s="41"/>
      <c r="G21" s="41"/>
      <c r="H21" s="41"/>
      <c r="I21" s="41"/>
      <c r="J21" s="41"/>
    </row>
    <row r="22" spans="1:13" x14ac:dyDescent="0.25">
      <c r="A22" s="31"/>
      <c r="C22" s="41"/>
      <c r="D22" s="41"/>
      <c r="E22" s="41"/>
      <c r="F22" s="41"/>
      <c r="G22" s="41"/>
      <c r="H22" s="41"/>
      <c r="I22" s="41"/>
      <c r="J22" s="41"/>
    </row>
    <row r="23" spans="1:13" x14ac:dyDescent="0.25">
      <c r="A23" s="31"/>
      <c r="B23" s="31"/>
      <c r="C23" s="34" t="str">
        <f>C3</f>
        <v>RS (Tier 1, Tier 2, RSVP)</v>
      </c>
      <c r="D23" s="34" t="str">
        <f t="shared" ref="D23:J23" si="2">D3</f>
        <v>GS &amp; CS</v>
      </c>
      <c r="E23" s="34" t="str">
        <f t="shared" si="2"/>
        <v>GSD, SBD</v>
      </c>
      <c r="F23" s="34" t="str">
        <f t="shared" si="2"/>
        <v>GSD Optional</v>
      </c>
      <c r="G23" s="34" t="str">
        <f t="shared" si="2"/>
        <v>GSLDPR, SBLDPR</v>
      </c>
      <c r="H23" s="34" t="str">
        <f t="shared" si="2"/>
        <v>GSLDSU, SBLDSU</v>
      </c>
      <c r="I23" s="34" t="str">
        <f t="shared" si="2"/>
        <v>LS1, LS2</v>
      </c>
      <c r="J23" s="34" t="str">
        <f t="shared" si="2"/>
        <v>LTG-FAC</v>
      </c>
    </row>
    <row r="24" spans="1:13" x14ac:dyDescent="0.25">
      <c r="C24" s="38" t="s">
        <v>37</v>
      </c>
      <c r="D24" s="38" t="s">
        <v>35</v>
      </c>
      <c r="E24" s="38" t="s">
        <v>36</v>
      </c>
      <c r="F24" s="38" t="s">
        <v>35</v>
      </c>
      <c r="G24" s="38" t="s">
        <v>36</v>
      </c>
      <c r="H24" s="38" t="s">
        <v>36</v>
      </c>
      <c r="I24" s="38" t="s">
        <v>35</v>
      </c>
      <c r="J24" s="38" t="s">
        <v>35</v>
      </c>
    </row>
    <row r="25" spans="1:13" x14ac:dyDescent="0.25">
      <c r="A25" s="31" t="s">
        <v>38</v>
      </c>
      <c r="B25" s="31"/>
      <c r="C25" s="54">
        <f>B13</f>
        <v>9728164.6219999995</v>
      </c>
      <c r="D25" s="54">
        <f>B14</f>
        <v>953392.38500000001</v>
      </c>
      <c r="E25" s="54">
        <f>C15</f>
        <v>15876487.529999999</v>
      </c>
      <c r="F25" s="54">
        <f>B16</f>
        <v>415088.27899999998</v>
      </c>
      <c r="G25" s="54">
        <f>C17</f>
        <v>2439151.87</v>
      </c>
      <c r="H25" s="54">
        <f>C18</f>
        <v>2627756.0699999998</v>
      </c>
      <c r="I25" s="54">
        <f>B19</f>
        <v>110703.23299999999</v>
      </c>
      <c r="J25" s="54">
        <f>B20</f>
        <v>0</v>
      </c>
    </row>
    <row r="26" spans="1:13" x14ac:dyDescent="0.25">
      <c r="D26" s="41"/>
      <c r="E26" s="41"/>
      <c r="F26" s="41"/>
      <c r="G26" s="41"/>
      <c r="H26" s="41"/>
      <c r="I26" s="41"/>
      <c r="J26" s="41"/>
      <c r="K26" s="41"/>
    </row>
    <row r="27" spans="1:13" x14ac:dyDescent="0.25">
      <c r="C27" s="41"/>
      <c r="D27" s="41"/>
      <c r="E27" s="41"/>
      <c r="F27" s="41"/>
      <c r="G27" s="41"/>
      <c r="H27" s="41"/>
      <c r="I27" s="41"/>
      <c r="J27" s="41"/>
    </row>
    <row r="29" spans="1:13" x14ac:dyDescent="0.25">
      <c r="A29" s="31" t="s">
        <v>39</v>
      </c>
      <c r="B29" s="141"/>
      <c r="C29" s="141"/>
      <c r="D29" s="141"/>
      <c r="E29" s="55" t="s">
        <v>40</v>
      </c>
    </row>
    <row r="30" spans="1:13" x14ac:dyDescent="0.25">
      <c r="A30" s="45" t="s">
        <v>41</v>
      </c>
      <c r="B30" s="137">
        <f>'20130040 Demand Allocation'!C23</f>
        <v>0.925763</v>
      </c>
      <c r="C30" s="137"/>
      <c r="D30" s="137"/>
      <c r="E30" s="56">
        <f>B30/B32</f>
        <v>0.925763</v>
      </c>
    </row>
    <row r="31" spans="1:13" x14ac:dyDescent="0.25">
      <c r="A31" s="45" t="s">
        <v>42</v>
      </c>
      <c r="B31" s="137">
        <f>'20130040 Demand Allocation'!C24</f>
        <v>7.4236999999999997E-2</v>
      </c>
      <c r="C31" s="137"/>
      <c r="D31" s="137"/>
      <c r="E31" s="56">
        <f>B31/B32</f>
        <v>7.4236999999999997E-2</v>
      </c>
      <c r="G31" s="33" t="s">
        <v>43</v>
      </c>
    </row>
    <row r="32" spans="1:13" x14ac:dyDescent="0.25">
      <c r="A32" s="45" t="s">
        <v>44</v>
      </c>
      <c r="B32" s="133">
        <f>SUM(B30:B31)</f>
        <v>1</v>
      </c>
      <c r="C32" s="133"/>
      <c r="D32" s="133"/>
      <c r="E32" s="57">
        <f>SUM(E30:E31)</f>
        <v>1</v>
      </c>
      <c r="F32" s="33" t="s">
        <v>33</v>
      </c>
    </row>
    <row r="33" spans="1:6" x14ac:dyDescent="0.25">
      <c r="A33" s="45"/>
      <c r="B33" s="58"/>
      <c r="C33" s="58"/>
      <c r="D33" s="58"/>
      <c r="E33" s="59"/>
    </row>
    <row r="34" spans="1:6" x14ac:dyDescent="0.25">
      <c r="A34" s="36"/>
      <c r="B34" s="134" t="s">
        <v>45</v>
      </c>
      <c r="C34" s="134"/>
      <c r="D34" s="134"/>
    </row>
    <row r="35" spans="1:6" ht="15.75" x14ac:dyDescent="0.25">
      <c r="A35" s="60" t="s">
        <v>46</v>
      </c>
      <c r="B35" s="135"/>
      <c r="C35" s="135"/>
      <c r="D35" s="135"/>
    </row>
    <row r="36" spans="1:6" ht="15.75" x14ac:dyDescent="0.25">
      <c r="A36" s="61" t="s">
        <v>47</v>
      </c>
      <c r="B36" s="132">
        <v>4094306</v>
      </c>
      <c r="C36" s="132"/>
      <c r="D36" s="132"/>
    </row>
    <row r="37" spans="1:6" ht="15.75" x14ac:dyDescent="0.25">
      <c r="A37" s="61" t="s">
        <v>48</v>
      </c>
      <c r="B37" s="132">
        <v>1183139</v>
      </c>
      <c r="C37" s="132"/>
      <c r="D37" s="132"/>
    </row>
    <row r="38" spans="1:6" ht="15.75" x14ac:dyDescent="0.25">
      <c r="A38" s="61" t="s">
        <v>49</v>
      </c>
      <c r="B38" s="132">
        <v>0</v>
      </c>
      <c r="C38" s="132"/>
      <c r="D38" s="132"/>
    </row>
    <row r="39" spans="1:6" ht="15.75" x14ac:dyDescent="0.25">
      <c r="A39" s="61" t="s">
        <v>50</v>
      </c>
      <c r="B39" s="132">
        <v>1108196</v>
      </c>
      <c r="C39" s="132"/>
      <c r="D39" s="132"/>
    </row>
    <row r="40" spans="1:6" ht="15.75" x14ac:dyDescent="0.25">
      <c r="A40" s="61" t="s">
        <v>51</v>
      </c>
      <c r="B40" s="132">
        <v>31312</v>
      </c>
      <c r="C40" s="132"/>
      <c r="D40" s="132"/>
    </row>
    <row r="41" spans="1:6" ht="15.75" x14ac:dyDescent="0.25">
      <c r="A41" s="61" t="s">
        <v>91</v>
      </c>
      <c r="B41" s="132">
        <v>1409852</v>
      </c>
      <c r="C41" s="132"/>
      <c r="D41" s="132"/>
    </row>
    <row r="42" spans="1:6" ht="15.75" x14ac:dyDescent="0.25">
      <c r="A42" s="61"/>
    </row>
    <row r="43" spans="1:6" ht="15.75" x14ac:dyDescent="0.25">
      <c r="A43" s="62" t="s">
        <v>52</v>
      </c>
      <c r="B43" s="134" t="s">
        <v>45</v>
      </c>
      <c r="C43" s="134"/>
      <c r="D43" s="134"/>
    </row>
    <row r="44" spans="1:6" ht="15.75" x14ac:dyDescent="0.25">
      <c r="A44" s="61" t="s">
        <v>47</v>
      </c>
      <c r="B44" s="136">
        <v>0</v>
      </c>
      <c r="C44" s="136"/>
      <c r="D44" s="136"/>
    </row>
    <row r="45" spans="1:6" ht="15.75" customHeight="1" x14ac:dyDescent="0.25">
      <c r="A45" s="61" t="s">
        <v>93</v>
      </c>
      <c r="B45" s="132">
        <v>19793075</v>
      </c>
      <c r="C45" s="132"/>
      <c r="D45" s="132"/>
      <c r="F45" s="63"/>
    </row>
    <row r="46" spans="1:6" ht="15.75" customHeight="1" x14ac:dyDescent="0.25">
      <c r="A46" s="61" t="s">
        <v>94</v>
      </c>
      <c r="B46" s="132">
        <v>1300000</v>
      </c>
      <c r="C46" s="132"/>
      <c r="D46" s="132"/>
      <c r="F46" s="63"/>
    </row>
    <row r="47" spans="1:6" ht="15.75" customHeight="1" x14ac:dyDescent="0.25">
      <c r="A47" s="64" t="s">
        <v>95</v>
      </c>
      <c r="B47" s="132">
        <v>3745210</v>
      </c>
      <c r="C47" s="132"/>
      <c r="D47" s="132"/>
      <c r="F47" s="63"/>
    </row>
    <row r="48" spans="1:6" ht="15.75" customHeight="1" x14ac:dyDescent="0.25">
      <c r="A48" s="64" t="s">
        <v>96</v>
      </c>
      <c r="B48" s="132">
        <v>0</v>
      </c>
      <c r="C48" s="132"/>
      <c r="D48" s="132"/>
      <c r="F48" s="63"/>
    </row>
    <row r="49" spans="1:6" ht="15.75" customHeight="1" x14ac:dyDescent="0.25">
      <c r="A49" s="64" t="s">
        <v>48</v>
      </c>
      <c r="B49" s="132">
        <v>412913</v>
      </c>
      <c r="C49" s="132"/>
      <c r="D49" s="132"/>
    </row>
    <row r="50" spans="1:6" ht="15.75" customHeight="1" x14ac:dyDescent="0.25">
      <c r="A50" s="61" t="s">
        <v>49</v>
      </c>
      <c r="B50" s="132">
        <v>250000</v>
      </c>
      <c r="C50" s="132"/>
      <c r="D50" s="132"/>
      <c r="F50" s="63"/>
    </row>
    <row r="51" spans="1:6" ht="15.75" customHeight="1" x14ac:dyDescent="0.25">
      <c r="A51" s="64" t="s">
        <v>50</v>
      </c>
      <c r="B51" s="132">
        <v>465592</v>
      </c>
      <c r="C51" s="132"/>
      <c r="D51" s="132"/>
    </row>
    <row r="52" spans="1:6" ht="15.75" customHeight="1" x14ac:dyDescent="0.25">
      <c r="A52" s="64" t="s">
        <v>51</v>
      </c>
      <c r="B52" s="132">
        <v>5555</v>
      </c>
      <c r="C52" s="132"/>
      <c r="D52" s="132"/>
    </row>
    <row r="53" spans="1:6" ht="15.75" customHeight="1" x14ac:dyDescent="0.25">
      <c r="A53" s="64" t="s">
        <v>53</v>
      </c>
      <c r="B53" s="132">
        <v>593036</v>
      </c>
      <c r="C53" s="132"/>
      <c r="D53" s="132"/>
    </row>
    <row r="54" spans="1:6" ht="15.75" customHeight="1" x14ac:dyDescent="0.25">
      <c r="A54" s="64" t="s">
        <v>54</v>
      </c>
      <c r="B54" s="132">
        <v>581430</v>
      </c>
      <c r="C54" s="132"/>
      <c r="D54" s="132"/>
    </row>
    <row r="55" spans="1:6" ht="15.75" customHeight="1" x14ac:dyDescent="0.25">
      <c r="A55" s="64" t="s">
        <v>55</v>
      </c>
      <c r="B55" s="132">
        <v>1134769</v>
      </c>
      <c r="C55" s="132"/>
      <c r="D55" s="132"/>
    </row>
    <row r="56" spans="1:6" ht="15.75" customHeight="1" x14ac:dyDescent="0.25">
      <c r="A56" s="64" t="s">
        <v>92</v>
      </c>
      <c r="B56" s="132">
        <v>280500</v>
      </c>
      <c r="C56" s="132"/>
      <c r="D56" s="132"/>
    </row>
    <row r="57" spans="1:6" ht="15.75" customHeight="1" x14ac:dyDescent="0.25">
      <c r="A57" s="61" t="s">
        <v>91</v>
      </c>
      <c r="B57" s="132">
        <v>615080</v>
      </c>
      <c r="C57" s="132"/>
      <c r="D57" s="132"/>
    </row>
    <row r="58" spans="1:6" ht="15.75" customHeight="1" x14ac:dyDescent="0.25"/>
    <row r="59" spans="1:6" ht="15.75" customHeight="1" x14ac:dyDescent="0.25"/>
    <row r="60" spans="1:6" ht="15.75" customHeight="1" x14ac:dyDescent="0.25"/>
  </sheetData>
  <mergeCells count="30">
    <mergeCell ref="B31:D31"/>
    <mergeCell ref="A3:B3"/>
    <mergeCell ref="A7:B7"/>
    <mergeCell ref="L8:L9"/>
    <mergeCell ref="B29:D29"/>
    <mergeCell ref="B30:D30"/>
    <mergeCell ref="B49:D49"/>
    <mergeCell ref="B32:D32"/>
    <mergeCell ref="B34:D34"/>
    <mergeCell ref="B35:D35"/>
    <mergeCell ref="B36:D36"/>
    <mergeCell ref="B37:D37"/>
    <mergeCell ref="B38:D38"/>
    <mergeCell ref="B39:D39"/>
    <mergeCell ref="B40:D40"/>
    <mergeCell ref="B43:D43"/>
    <mergeCell ref="B45:D45"/>
    <mergeCell ref="B47:D47"/>
    <mergeCell ref="B41:D41"/>
    <mergeCell ref="B44:D44"/>
    <mergeCell ref="B46:D46"/>
    <mergeCell ref="B48:D48"/>
    <mergeCell ref="B57:D57"/>
    <mergeCell ref="B50:D50"/>
    <mergeCell ref="B51:D51"/>
    <mergeCell ref="B53:D53"/>
    <mergeCell ref="B54:D54"/>
    <mergeCell ref="B55:D55"/>
    <mergeCell ref="B56:D56"/>
    <mergeCell ref="B52:D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58AA-E994-4C1D-864E-53EDCB1E1D72}">
  <dimension ref="A1:L49"/>
  <sheetViews>
    <sheetView view="pageBreakPreview" zoomScale="65" zoomScaleNormal="100" zoomScaleSheetLayoutView="65" workbookViewId="0">
      <selection activeCell="B2" sqref="B2"/>
    </sheetView>
  </sheetViews>
  <sheetFormatPr defaultRowHeight="15" x14ac:dyDescent="0.25"/>
  <cols>
    <col min="1" max="1" width="58.109375" style="33" customWidth="1"/>
    <col min="2" max="2" width="13" style="33" customWidth="1"/>
    <col min="3" max="3" width="32.109375" style="33" bestFit="1" customWidth="1"/>
    <col min="4" max="4" width="25.109375" style="33" bestFit="1" customWidth="1"/>
    <col min="5" max="5" width="11" style="33" bestFit="1" customWidth="1"/>
    <col min="6" max="6" width="12.5546875" style="33" bestFit="1" customWidth="1"/>
    <col min="7" max="7" width="14.33203125" style="33" bestFit="1" customWidth="1"/>
    <col min="8" max="8" width="19.77734375" style="33" bestFit="1" customWidth="1"/>
    <col min="9" max="9" width="18.77734375" style="33" bestFit="1" customWidth="1"/>
    <col min="10" max="10" width="10.109375" style="33" bestFit="1" customWidth="1"/>
    <col min="11" max="11" width="10.6640625" style="33" customWidth="1"/>
    <col min="12" max="12" width="12.88671875" style="33" bestFit="1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2" ht="15.75" customHeight="1" x14ac:dyDescent="0.25">
      <c r="B1" s="142" t="s">
        <v>114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.75" x14ac:dyDescent="0.25">
      <c r="A2" s="65" t="s">
        <v>56</v>
      </c>
      <c r="B2" s="65" t="s">
        <v>57</v>
      </c>
      <c r="C2" s="31" t="s">
        <v>58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44</v>
      </c>
    </row>
    <row r="3" spans="1:12" ht="15.75" x14ac:dyDescent="0.25">
      <c r="A3" s="60" t="s">
        <v>46</v>
      </c>
    </row>
    <row r="4" spans="1:12" ht="15.75" x14ac:dyDescent="0.25">
      <c r="A4" s="61" t="s">
        <v>47</v>
      </c>
      <c r="B4" s="66" t="s">
        <v>59</v>
      </c>
      <c r="C4" s="67">
        <f>'2021 base portion-inputs'!B36</f>
        <v>4094306</v>
      </c>
      <c r="D4" s="68">
        <f>IF(B4="Dist",'2021 base portion-inputs'!$C$8,'2021 base portion-inputs'!$C$9)*C4</f>
        <v>2582486.5125598656</v>
      </c>
      <c r="E4" s="68">
        <f>IF(B4="Dist",'2021 base portion-inputs'!$D$8,'2021 base portion-inputs'!$D$9)*C4</f>
        <v>199280.8656189006</v>
      </c>
      <c r="F4" s="68">
        <f>IF(B4="Dist",'2021 base portion-inputs'!$E$8,'2021 base portion-inputs'!$E$9)*C4</f>
        <v>1072970.8484574875</v>
      </c>
      <c r="G4" s="68">
        <f>IF(B4="Dist",'2021 base portion-inputs'!$F$8,'2021 base portion-inputs'!$F$9)*C4</f>
        <v>66717.329460283203</v>
      </c>
      <c r="H4" s="68">
        <f>IF(B4="Dist",'2021 base portion-inputs'!$G$8,'2021 base portion-inputs'!$G$9)*C4</f>
        <v>146955.46456558292</v>
      </c>
      <c r="I4" s="68">
        <f>IF(B4="Dist",'2021 base portion-inputs'!$H$8,'2021 base portion-inputs'!$H$9)*C4</f>
        <v>0</v>
      </c>
      <c r="J4" s="68">
        <f>IF(B4="Dist",'2021 base portion-inputs'!$I$8,'2021 base portion-inputs'!$I$9)*C4</f>
        <v>25894.979337879962</v>
      </c>
      <c r="K4" s="36">
        <f>IF(B4="Dist",'2021 base portion-inputs'!$J$4,'2021 base portion-inputs'!$J$5)*C4</f>
        <v>0</v>
      </c>
      <c r="L4" s="68">
        <f>SUM(D4:K4)</f>
        <v>4094305.9999999995</v>
      </c>
    </row>
    <row r="5" spans="1:12" ht="15.75" x14ac:dyDescent="0.25">
      <c r="A5" s="61" t="s">
        <v>48</v>
      </c>
      <c r="B5" s="66" t="s">
        <v>60</v>
      </c>
      <c r="C5" s="67">
        <f>'2021 base portion-inputs'!B37*'2021 base portion-inputs'!E30</f>
        <v>1095306.310057</v>
      </c>
      <c r="D5" s="68">
        <f>IF(B5="Dist",'2021 base portion-inputs'!$C$8,'2021 base portion-inputs'!$C$9)*C5</f>
        <v>648493.89854327159</v>
      </c>
      <c r="E5" s="68">
        <f>IF(B5="Dist",'2021 base portion-inputs'!$D$8,'2021 base portion-inputs'!$D$9)*C5</f>
        <v>55202.756697066972</v>
      </c>
      <c r="F5" s="68">
        <f>IF(B5="Dist",'2021 base portion-inputs'!$E$8,'2021 base portion-inputs'!$E$9)*C5</f>
        <v>308433.01224838838</v>
      </c>
      <c r="G5" s="68">
        <f>IF(B5="Dist",'2021 base portion-inputs'!$F$8,'2021 base portion-inputs'!$F$9)*C5</f>
        <v>19178.365306183441</v>
      </c>
      <c r="H5" s="68">
        <f>IF(B5="Dist",'2021 base portion-inputs'!$G$8,'2021 base portion-inputs'!$G$9)*C5</f>
        <v>40767.089995501912</v>
      </c>
      <c r="I5" s="68">
        <f>IF(B5="Dist",'2021 base portion-inputs'!$H$8,'2021 base portion-inputs'!$H$9)*C5</f>
        <v>22800.935077517806</v>
      </c>
      <c r="J5" s="68">
        <f>IF(B5="Dist",'2021 base portion-inputs'!$I$8,'2021 base portion-inputs'!$I$9)*C5</f>
        <v>430.25218907002494</v>
      </c>
      <c r="K5" s="36">
        <f>IF(B5="Dist",'2021 base portion-inputs'!$J$4,'2021 base portion-inputs'!$J$5)*C5</f>
        <v>0</v>
      </c>
      <c r="L5" s="68">
        <f t="shared" ref="L5:L9" si="0">SUM(D5:K5)</f>
        <v>1095306.310057</v>
      </c>
    </row>
    <row r="6" spans="1:12" ht="15.75" x14ac:dyDescent="0.25">
      <c r="A6" s="61" t="s">
        <v>49</v>
      </c>
      <c r="B6" s="66" t="s">
        <v>59</v>
      </c>
      <c r="C6" s="67">
        <f>'2021 base portion-inputs'!B38</f>
        <v>0</v>
      </c>
      <c r="D6" s="68">
        <f>IF(B6="Dist",'2021 base portion-inputs'!$C$8,'2021 base portion-inputs'!$C$9)*C6</f>
        <v>0</v>
      </c>
      <c r="E6" s="68">
        <f>IF(B6="Dist",'2021 base portion-inputs'!$D$8,'2021 base portion-inputs'!$D$9)*C6</f>
        <v>0</v>
      </c>
      <c r="F6" s="68">
        <f>IF(B6="Dist",'2021 base portion-inputs'!$E$8,'2021 base portion-inputs'!$E$9)*C6</f>
        <v>0</v>
      </c>
      <c r="G6" s="68">
        <f>IF(B6="Dist",'2021 base portion-inputs'!$F$8,'2021 base portion-inputs'!$F$9)*C6</f>
        <v>0</v>
      </c>
      <c r="H6" s="68">
        <f>IF(B6="Dist",'2021 base portion-inputs'!$G$8,'2021 base portion-inputs'!$G$9)*C6</f>
        <v>0</v>
      </c>
      <c r="I6" s="68">
        <f>IF(B6="Dist",'2021 base portion-inputs'!$H$8,'2021 base portion-inputs'!$H$9)*C6</f>
        <v>0</v>
      </c>
      <c r="J6" s="68">
        <f>IF(B6="Dist",'2021 base portion-inputs'!$I$8,'2021 base portion-inputs'!$I$9)*C6</f>
        <v>0</v>
      </c>
      <c r="K6" s="36">
        <f>IF(B6="Dist",'2021 base portion-inputs'!$J$4,'2021 base portion-inputs'!$J$5)*C6</f>
        <v>0</v>
      </c>
      <c r="L6" s="68">
        <f t="shared" si="0"/>
        <v>0</v>
      </c>
    </row>
    <row r="7" spans="1:12" ht="15.75" x14ac:dyDescent="0.25">
      <c r="A7" s="61" t="s">
        <v>50</v>
      </c>
      <c r="B7" s="66" t="s">
        <v>59</v>
      </c>
      <c r="C7" s="67">
        <f>'2021 base portion-inputs'!B39</f>
        <v>1108196</v>
      </c>
      <c r="D7" s="68">
        <f>IF(B7="Dist",'2021 base portion-inputs'!$C$8,'2021 base portion-inputs'!$C$9)*C7</f>
        <v>698995.43983102217</v>
      </c>
      <c r="E7" s="68">
        <f>IF(B7="Dist",'2021 base portion-inputs'!$D$8,'2021 base portion-inputs'!$D$9)*C7</f>
        <v>53938.874660419417</v>
      </c>
      <c r="F7" s="68">
        <f>IF(B7="Dist",'2021 base portion-inputs'!$E$8,'2021 base portion-inputs'!$E$9)*C7</f>
        <v>290418.45000769215</v>
      </c>
      <c r="G7" s="68">
        <f>IF(B7="Dist",'2021 base portion-inputs'!$F$8,'2021 base portion-inputs'!$F$9)*C7</f>
        <v>18058.21979074549</v>
      </c>
      <c r="H7" s="68">
        <f>IF(B7="Dist",'2021 base portion-inputs'!$G$8,'2021 base portion-inputs'!$G$9)*C7</f>
        <v>39776.083665881524</v>
      </c>
      <c r="I7" s="68">
        <f>IF(B7="Dist",'2021 base portion-inputs'!$H$8,'2021 base portion-inputs'!$H$9)*C7</f>
        <v>0</v>
      </c>
      <c r="J7" s="68">
        <f>IF(B7="Dist",'2021 base portion-inputs'!$I$8,'2021 base portion-inputs'!$I$9)*C7</f>
        <v>7008.9320442392982</v>
      </c>
      <c r="K7" s="36">
        <f>IF(B7="Dist",'2021 base portion-inputs'!$J$4,'2021 base portion-inputs'!$J$5)*C7</f>
        <v>0</v>
      </c>
      <c r="L7" s="68">
        <f t="shared" si="0"/>
        <v>1108196</v>
      </c>
    </row>
    <row r="8" spans="1:12" ht="15.75" x14ac:dyDescent="0.25">
      <c r="A8" s="61" t="s">
        <v>51</v>
      </c>
      <c r="B8" s="66" t="s">
        <v>60</v>
      </c>
      <c r="C8" s="67">
        <f>'2021 base portion-inputs'!B40*'2021 base portion-inputs'!E30</f>
        <v>28987.491055999999</v>
      </c>
      <c r="D8" s="68">
        <f>IF(B8="Dist",'2021 base portion-inputs'!$C$8,'2021 base portion-inputs'!$C$9)*C8</f>
        <v>17162.515098553016</v>
      </c>
      <c r="E8" s="68">
        <f>IF(B8="Dist",'2021 base portion-inputs'!$D$8,'2021 base portion-inputs'!$D$9)*C8</f>
        <v>1460.9515176987327</v>
      </c>
      <c r="F8" s="68">
        <f>IF(B8="Dist",'2021 base portion-inputs'!$E$8,'2021 base portion-inputs'!$E$9)*C8</f>
        <v>8162.7386803423224</v>
      </c>
      <c r="G8" s="68">
        <f>IF(B8="Dist",'2021 base portion-inputs'!$F$8,'2021 base portion-inputs'!$F$9)*C8</f>
        <v>507.55910714397538</v>
      </c>
      <c r="H8" s="68">
        <f>IF(B8="Dist",'2021 base portion-inputs'!$G$8,'2021 base portion-inputs'!$G$9)*C8</f>
        <v>1078.9088365265245</v>
      </c>
      <c r="I8" s="68">
        <f>IF(B8="Dist",'2021 base portion-inputs'!$H$8,'2021 base portion-inputs'!$H$9)*C8</f>
        <v>603.43110923335087</v>
      </c>
      <c r="J8" s="68">
        <f>IF(B8="Dist",'2021 base portion-inputs'!$I$8,'2021 base portion-inputs'!$I$9)*C8</f>
        <v>11.38670650207678</v>
      </c>
      <c r="K8" s="36">
        <f>IF(B8="Dist",'2021 base portion-inputs'!$J$4,'2021 base portion-inputs'!$J$5)*C8</f>
        <v>0</v>
      </c>
      <c r="L8" s="68">
        <f t="shared" si="0"/>
        <v>28987.491055999999</v>
      </c>
    </row>
    <row r="9" spans="1:12" ht="15.75" x14ac:dyDescent="0.25">
      <c r="A9" s="61" t="s">
        <v>91</v>
      </c>
      <c r="B9" s="115" t="s">
        <v>59</v>
      </c>
      <c r="C9" s="67">
        <f>'2021 base portion-inputs'!B41</f>
        <v>1409852</v>
      </c>
      <c r="D9" s="68">
        <f>IF(B9="Dist",'2021 base portion-inputs'!$C$8,'2021 base portion-inputs'!$C$9)*C9</f>
        <v>889265.1830873295</v>
      </c>
      <c r="E9" s="68">
        <f>IF(B9="Dist",'2021 base portion-inputs'!$D$8,'2021 base portion-inputs'!$D$9)*C9</f>
        <v>68621.282081636848</v>
      </c>
      <c r="F9" s="68">
        <f>IF(B9="Dist",'2021 base portion-inputs'!$E$8,'2021 base portion-inputs'!$E$9)*C9</f>
        <v>369471.67520929943</v>
      </c>
      <c r="G9" s="68">
        <f>IF(B9="Dist",'2021 base portion-inputs'!$F$8,'2021 base portion-inputs'!$F$9)*C9</f>
        <v>22973.749488738555</v>
      </c>
      <c r="H9" s="68">
        <f>IF(B9="Dist",'2021 base portion-inputs'!$G$8,'2021 base portion-inputs'!$G$9)*C9</f>
        <v>50603.314854511656</v>
      </c>
      <c r="I9" s="68">
        <f>IF(B9="Dist",'2021 base portion-inputs'!$H$8,'2021 base portion-inputs'!$H$9)*C9</f>
        <v>0</v>
      </c>
      <c r="J9" s="68">
        <f>IF(B9="Dist",'2021 base portion-inputs'!$I$8,'2021 base portion-inputs'!$I$9)*C9</f>
        <v>8916.7952784840072</v>
      </c>
      <c r="K9" s="36">
        <f>IF(B9="Dist",'2021 base portion-inputs'!$J$4,'2021 base portion-inputs'!$J$5)*C9</f>
        <v>0</v>
      </c>
      <c r="L9" s="68">
        <f t="shared" si="0"/>
        <v>1409852</v>
      </c>
    </row>
    <row r="10" spans="1:12" ht="15.75" x14ac:dyDescent="0.25">
      <c r="A10" s="61"/>
      <c r="B10" s="6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15.75" x14ac:dyDescent="0.25">
      <c r="A11" s="62" t="s">
        <v>52</v>
      </c>
      <c r="B11" s="69"/>
    </row>
    <row r="12" spans="1:12" ht="15.75" x14ac:dyDescent="0.25">
      <c r="A12" s="61" t="s">
        <v>47</v>
      </c>
      <c r="B12" s="115" t="s">
        <v>59</v>
      </c>
      <c r="C12" s="67">
        <f>'2021 base portion-inputs'!B44</f>
        <v>0</v>
      </c>
      <c r="D12" s="67">
        <f>IF(B12="Dist",'2021 base portion-inputs'!$C$8,'2021 base portion-inputs'!$C$9)*C12</f>
        <v>0</v>
      </c>
      <c r="E12" s="67">
        <f>IF(B12="Dist",'2021 base portion-inputs'!$D$8,'2021 base portion-inputs'!$D$9)*C12</f>
        <v>0</v>
      </c>
      <c r="F12" s="67">
        <f>IF(B12="Dist",'2021 base portion-inputs'!$E$8,'2021 base portion-inputs'!$E$9)*C12</f>
        <v>0</v>
      </c>
      <c r="G12" s="67">
        <f>IF(B12="Dist",'2021 base portion-inputs'!$F$8,'2021 base portion-inputs'!$F$9)*C12</f>
        <v>0</v>
      </c>
      <c r="H12" s="67">
        <f>IF(B12="Dist",'2021 base portion-inputs'!$G$8,'2021 base portion-inputs'!$G$9)*C12</f>
        <v>0</v>
      </c>
      <c r="I12" s="67">
        <f>IF(B12="Dist",'2021 base portion-inputs'!$H$8,'2021 base portion-inputs'!$H$9)*C12</f>
        <v>0</v>
      </c>
      <c r="J12" s="67">
        <f>IF(B12="Dist",'2021 base portion-inputs'!$I$8,'2021 base portion-inputs'!$I$9)*C12</f>
        <v>0</v>
      </c>
      <c r="K12" s="67">
        <f>IF(B12="Dist",'2021 base portion-inputs'!$J$4,'2021 base portion-inputs'!$J$5)*C12</f>
        <v>0</v>
      </c>
      <c r="L12" s="67">
        <f t="shared" ref="L12:L24" si="1">SUM(D12:K12)</f>
        <v>0</v>
      </c>
    </row>
    <row r="13" spans="1:12" ht="15.75" x14ac:dyDescent="0.25">
      <c r="A13" s="61" t="s">
        <v>93</v>
      </c>
      <c r="B13" s="66" t="s">
        <v>59</v>
      </c>
      <c r="C13" s="67">
        <f>'2021 base portion-inputs'!B45</f>
        <v>19793075</v>
      </c>
      <c r="D13" s="67">
        <f>IF(B13="Dist",'2021 base portion-inputs'!$C$8,'2021 base portion-inputs'!$C$9)*C13</f>
        <v>12484496.573921409</v>
      </c>
      <c r="E13" s="67">
        <f>IF(B13="Dist",'2021 base portion-inputs'!$D$8,'2021 base portion-inputs'!$D$9)*C13</f>
        <v>963382.10169435816</v>
      </c>
      <c r="F13" s="67">
        <f>IF(B13="Dist",'2021 base portion-inputs'!$E$8,'2021 base portion-inputs'!$E$9)*C13</f>
        <v>5187055.5049702404</v>
      </c>
      <c r="G13" s="67">
        <f>IF(B13="Dist",'2021 base portion-inputs'!$F$8,'2021 base portion-inputs'!$F$9)*C13</f>
        <v>322531.12146651838</v>
      </c>
      <c r="H13" s="67">
        <f>IF(B13="Dist",'2021 base portion-inputs'!$G$8,'2021 base portion-inputs'!$G$9)*C13</f>
        <v>710425.77955981425</v>
      </c>
      <c r="I13" s="67">
        <f>IF(B13="Dist",'2021 base portion-inputs'!$H$8,'2021 base portion-inputs'!$H$9)*C13</f>
        <v>0</v>
      </c>
      <c r="J13" s="67">
        <f>IF(B13="Dist",'2021 base portion-inputs'!$I$8,'2021 base portion-inputs'!$I$9)*C13</f>
        <v>125183.91838766044</v>
      </c>
      <c r="K13" s="67">
        <f>IF(B13="Dist",'2021 base portion-inputs'!$J$4,'2021 base portion-inputs'!$J$5)*C13</f>
        <v>0</v>
      </c>
      <c r="L13" s="67">
        <f t="shared" si="1"/>
        <v>19793074.999999996</v>
      </c>
    </row>
    <row r="14" spans="1:12" ht="15.75" x14ac:dyDescent="0.25">
      <c r="A14" s="61" t="s">
        <v>94</v>
      </c>
      <c r="B14" s="115" t="s">
        <v>59</v>
      </c>
      <c r="C14" s="67">
        <f>'2021 base portion-inputs'!B46</f>
        <v>1300000</v>
      </c>
      <c r="D14" s="67">
        <f>IF(B14="Dist",'2021 base portion-inputs'!$C$8,'2021 base portion-inputs'!$C$9)*C14</f>
        <v>819975.95351393509</v>
      </c>
      <c r="E14" s="67">
        <f>IF(B14="Dist",'2021 base portion-inputs'!$D$8,'2021 base portion-inputs'!$D$9)*C14</f>
        <v>63274.490305456107</v>
      </c>
      <c r="F14" s="67">
        <f>IF(B14="Dist",'2021 base portion-inputs'!$E$8,'2021 base portion-inputs'!$E$9)*C14</f>
        <v>340683.4034863867</v>
      </c>
      <c r="G14" s="67">
        <f>IF(B14="Dist",'2021 base portion-inputs'!$F$8,'2021 base portion-inputs'!$F$9)*C14</f>
        <v>21183.694696578164</v>
      </c>
      <c r="H14" s="67">
        <f>IF(B14="Dist",'2021 base portion-inputs'!$G$8,'2021 base portion-inputs'!$G$9)*C14</f>
        <v>46660.436209520682</v>
      </c>
      <c r="I14" s="67">
        <f>IF(B14="Dist",'2021 base portion-inputs'!$H$8,'2021 base portion-inputs'!$H$9)*C14</f>
        <v>0</v>
      </c>
      <c r="J14" s="67">
        <f>IF(B14="Dist",'2021 base portion-inputs'!$I$8,'2021 base portion-inputs'!$I$9)*C14</f>
        <v>8222.0217881232984</v>
      </c>
      <c r="K14" s="67">
        <f>IF(B14="Dist",'2021 base portion-inputs'!$J$4,'2021 base portion-inputs'!$J$5)*C14</f>
        <v>0</v>
      </c>
      <c r="L14" s="67">
        <f t="shared" si="1"/>
        <v>1300000.0000000002</v>
      </c>
    </row>
    <row r="15" spans="1:12" ht="15.75" x14ac:dyDescent="0.25">
      <c r="A15" s="64" t="s">
        <v>95</v>
      </c>
      <c r="B15" s="66" t="s">
        <v>60</v>
      </c>
      <c r="C15" s="67">
        <f>'2021 base portion-inputs'!B47*'2021 base portion-inputs'!E30</f>
        <v>3467176.8452300001</v>
      </c>
      <c r="D15" s="67">
        <f>IF(B15="Dist",'2021 base portion-inputs'!$C$8,'2021 base portion-inputs'!$C$9)*C15</f>
        <v>2052798.3895072737</v>
      </c>
      <c r="E15" s="67">
        <f>IF(B15="Dist",'2021 base portion-inputs'!$D$8,'2021 base portion-inputs'!$D$9)*C15</f>
        <v>174743.55625959605</v>
      </c>
      <c r="F15" s="67">
        <f>IF(B15="Dist",'2021 base portion-inputs'!$E$8,'2021 base portion-inputs'!$E$9)*C15</f>
        <v>976340.39770710503</v>
      </c>
      <c r="G15" s="67">
        <f>IF(B15="Dist",'2021 base portion-inputs'!$F$8,'2021 base portion-inputs'!$F$9)*C15</f>
        <v>60708.847843213087</v>
      </c>
      <c r="H15" s="67">
        <f>IF(B15="Dist",'2021 base portion-inputs'!$G$8,'2021 base portion-inputs'!$G$9)*C15</f>
        <v>129047.65468981558</v>
      </c>
      <c r="I15" s="67">
        <f>IF(B15="Dist",'2021 base portion-inputs'!$H$8,'2021 base portion-inputs'!$H$9)*C15</f>
        <v>72176.041920408737</v>
      </c>
      <c r="J15" s="67">
        <f>IF(B15="Dist",'2021 base portion-inputs'!$I$8,'2021 base portion-inputs'!$I$9)*C15</f>
        <v>1361.9573025882403</v>
      </c>
      <c r="K15" s="67">
        <f>IF(B15="Dist",'2021 base portion-inputs'!$J$4,'2021 base portion-inputs'!$J$5)*C15</f>
        <v>0</v>
      </c>
      <c r="L15" s="67">
        <f t="shared" si="1"/>
        <v>3467176.8452300001</v>
      </c>
    </row>
    <row r="16" spans="1:12" ht="15.75" x14ac:dyDescent="0.25">
      <c r="A16" s="64" t="s">
        <v>96</v>
      </c>
      <c r="B16" s="115" t="s">
        <v>60</v>
      </c>
      <c r="C16" s="67">
        <f>'2021 base portion-inputs'!B48*'2021 base portion-inputs'!E30</f>
        <v>0</v>
      </c>
      <c r="D16" s="67">
        <f>IF(B16="Dist",'2021 base portion-inputs'!$C$8,'2021 base portion-inputs'!$C$9)*C16</f>
        <v>0</v>
      </c>
      <c r="E16" s="67">
        <f>IF(B16="Dist",'2021 base portion-inputs'!$D$8,'2021 base portion-inputs'!$D$9)*C16</f>
        <v>0</v>
      </c>
      <c r="F16" s="67">
        <f>IF(B16="Dist",'2021 base portion-inputs'!$E$8,'2021 base portion-inputs'!$E$9)*C16</f>
        <v>0</v>
      </c>
      <c r="G16" s="67">
        <f>IF(B16="Dist",'2021 base portion-inputs'!$F$8,'2021 base portion-inputs'!$F$9)*C16</f>
        <v>0</v>
      </c>
      <c r="H16" s="67">
        <f>IF(B16="Dist",'2021 base portion-inputs'!$G$8,'2021 base portion-inputs'!$G$9)*C16</f>
        <v>0</v>
      </c>
      <c r="I16" s="67">
        <f>IF(B16="Dist",'2021 base portion-inputs'!$H$8,'2021 base portion-inputs'!$H$9)*C16</f>
        <v>0</v>
      </c>
      <c r="J16" s="67">
        <f>IF(B16="Dist",'2021 base portion-inputs'!$I$8,'2021 base portion-inputs'!$I$9)*C16</f>
        <v>0</v>
      </c>
      <c r="K16" s="67">
        <f>IF(B16="Dist",'2021 base portion-inputs'!$J$4,'2021 base portion-inputs'!$J$5)*C16</f>
        <v>0</v>
      </c>
      <c r="L16" s="67">
        <f t="shared" si="1"/>
        <v>0</v>
      </c>
    </row>
    <row r="17" spans="1:12" ht="15.75" x14ac:dyDescent="0.25">
      <c r="A17" s="64" t="s">
        <v>48</v>
      </c>
      <c r="B17" s="66" t="s">
        <v>60</v>
      </c>
      <c r="C17" s="67">
        <f>'2021 base portion-inputs'!B49*'2021 base portion-inputs'!E30</f>
        <v>382259.57761899999</v>
      </c>
      <c r="D17" s="67">
        <f>IF(B17="Dist",'2021 base portion-inputs'!$C$8,'2021 base portion-inputs'!$C$9)*C17</f>
        <v>226322.99427979119</v>
      </c>
      <c r="E17" s="67">
        <f>IF(B17="Dist",'2021 base portion-inputs'!$D$8,'2021 base portion-inputs'!$D$9)*C17</f>
        <v>19265.644929341364</v>
      </c>
      <c r="F17" s="67">
        <f>IF(B17="Dist",'2021 base portion-inputs'!$E$8,'2021 base portion-inputs'!$E$9)*C17</f>
        <v>107642.46668102291</v>
      </c>
      <c r="G17" s="67">
        <f>IF(B17="Dist",'2021 base portion-inputs'!$F$8,'2021 base portion-inputs'!$F$9)*C17</f>
        <v>6693.2087892226727</v>
      </c>
      <c r="H17" s="67">
        <f>IF(B17="Dist",'2021 base portion-inputs'!$G$8,'2021 base portion-inputs'!$G$9)*C17</f>
        <v>14227.627887604653</v>
      </c>
      <c r="I17" s="67">
        <f>IF(B17="Dist",'2021 base portion-inputs'!$H$8,'2021 base portion-inputs'!$H$9)*C17</f>
        <v>7957.4779511647484</v>
      </c>
      <c r="J17" s="67">
        <f>IF(B17="Dist",'2021 base portion-inputs'!$I$8,'2021 base portion-inputs'!$I$9)*C17</f>
        <v>150.15710085245368</v>
      </c>
      <c r="K17" s="67">
        <f>IF(B17="Dist",'2021 base portion-inputs'!$J$4,'2021 base portion-inputs'!$J$5)*C17</f>
        <v>0</v>
      </c>
      <c r="L17" s="67">
        <f t="shared" si="1"/>
        <v>382259.57761900005</v>
      </c>
    </row>
    <row r="18" spans="1:12" ht="15.75" x14ac:dyDescent="0.25">
      <c r="A18" s="61" t="s">
        <v>49</v>
      </c>
      <c r="B18" s="66" t="s">
        <v>59</v>
      </c>
      <c r="C18" s="67">
        <f>'2021 base portion-inputs'!B50</f>
        <v>250000</v>
      </c>
      <c r="D18" s="67">
        <f>IF(B18="Dist",'2021 base portion-inputs'!$C$8,'2021 base portion-inputs'!$C$9)*C18</f>
        <v>157687.68336806443</v>
      </c>
      <c r="E18" s="67">
        <f>IF(B18="Dist",'2021 base portion-inputs'!$D$8,'2021 base portion-inputs'!$D$9)*C18</f>
        <v>12168.171212587713</v>
      </c>
      <c r="F18" s="67">
        <f>IF(B18="Dist",'2021 base portion-inputs'!$E$8,'2021 base portion-inputs'!$E$9)*C18</f>
        <v>65516.039131997437</v>
      </c>
      <c r="G18" s="67">
        <f>IF(B18="Dist",'2021 base portion-inputs'!$F$8,'2021 base portion-inputs'!$F$9)*C18</f>
        <v>4073.787441649647</v>
      </c>
      <c r="H18" s="67">
        <f>IF(B18="Dist",'2021 base portion-inputs'!$G$8,'2021 base portion-inputs'!$G$9)*C18</f>
        <v>8973.1608095232077</v>
      </c>
      <c r="I18" s="67">
        <f>IF(B18="Dist",'2021 base portion-inputs'!$H$8,'2021 base portion-inputs'!$H$9)*C18</f>
        <v>0</v>
      </c>
      <c r="J18" s="67">
        <f>IF(B18="Dist",'2021 base portion-inputs'!$I$8,'2021 base portion-inputs'!$I$9)*C18</f>
        <v>1581.1580361775575</v>
      </c>
      <c r="K18" s="67">
        <f>IF(B18="Dist",'2021 base portion-inputs'!$J$4,'2021 base portion-inputs'!$J$5)*C18</f>
        <v>0</v>
      </c>
      <c r="L18" s="67">
        <f t="shared" si="1"/>
        <v>250000</v>
      </c>
    </row>
    <row r="19" spans="1:12" ht="15.75" x14ac:dyDescent="0.25">
      <c r="A19" s="64" t="s">
        <v>50</v>
      </c>
      <c r="B19" s="66" t="s">
        <v>59</v>
      </c>
      <c r="C19" s="67">
        <f>'2021 base portion-inputs'!B51</f>
        <v>465592</v>
      </c>
      <c r="D19" s="67">
        <f>IF(B19="Dist",'2021 base portion-inputs'!$C$8,'2021 base portion-inputs'!$C$9)*C19</f>
        <v>293672.49549881543</v>
      </c>
      <c r="E19" s="67">
        <f>IF(B19="Dist",'2021 base portion-inputs'!$D$8,'2021 base portion-inputs'!$D$9)*C19</f>
        <v>22661.612684844553</v>
      </c>
      <c r="F19" s="67">
        <f>IF(B19="Dist",'2021 base portion-inputs'!$E$8,'2021 base portion-inputs'!$E$9)*C19</f>
        <v>122014.9747661798</v>
      </c>
      <c r="G19" s="67">
        <f>IF(B19="Dist",'2021 base portion-inputs'!$F$8,'2021 base portion-inputs'!$F$9)*C19</f>
        <v>7586.8913701301699</v>
      </c>
      <c r="H19" s="67">
        <f>IF(B19="Dist",'2021 base portion-inputs'!$G$8,'2021 base portion-inputs'!$G$9)*C19</f>
        <v>16711.327550510119</v>
      </c>
      <c r="I19" s="67">
        <f>IF(B19="Dist",'2021 base portion-inputs'!$H$8,'2021 base portion-inputs'!$H$9)*C19</f>
        <v>0</v>
      </c>
      <c r="J19" s="67">
        <f>IF(B19="Dist",'2021 base portion-inputs'!$I$8,'2021 base portion-inputs'!$I$9)*C19</f>
        <v>2944.6981295199253</v>
      </c>
      <c r="K19" s="67">
        <f>IF(B19="Dist",'2021 base portion-inputs'!$J$4,'2021 base portion-inputs'!$J$5)*C19</f>
        <v>0</v>
      </c>
      <c r="L19" s="67">
        <f t="shared" si="1"/>
        <v>465592</v>
      </c>
    </row>
    <row r="20" spans="1:12" ht="15.75" x14ac:dyDescent="0.25">
      <c r="A20" s="64" t="s">
        <v>53</v>
      </c>
      <c r="B20" s="66" t="s">
        <v>59</v>
      </c>
      <c r="C20" s="67">
        <f>'2021 base portion-inputs'!B53</f>
        <v>593036</v>
      </c>
      <c r="D20" s="67">
        <f>IF(B20="Dist",'2021 base portion-inputs'!$C$8,'2021 base portion-inputs'!$C$9)*C20</f>
        <v>374057.89197545382</v>
      </c>
      <c r="E20" s="67">
        <f>IF(B20="Dist",'2021 base portion-inputs'!$D$8,'2021 base portion-inputs'!$D$9)*C20</f>
        <v>28864.654332912669</v>
      </c>
      <c r="F20" s="67">
        <f>IF(B20="Dist",'2021 base portion-inputs'!$E$8,'2021 base portion-inputs'!$E$9)*C20</f>
        <v>155413.47913073294</v>
      </c>
      <c r="G20" s="67">
        <f>IF(B20="Dist",'2021 base portion-inputs'!$F$8,'2021 base portion-inputs'!$F$9)*C20</f>
        <v>9663.6104369845598</v>
      </c>
      <c r="H20" s="67">
        <f>IF(B20="Dist",'2021 base portion-inputs'!$G$8,'2021 base portion-inputs'!$G$9)*C20</f>
        <v>21285.629575345622</v>
      </c>
      <c r="I20" s="67">
        <f>IF(B20="Dist",'2021 base portion-inputs'!$H$8,'2021 base portion-inputs'!$H$9)*C20</f>
        <v>0</v>
      </c>
      <c r="J20" s="67">
        <f>IF(B20="Dist",'2021 base portion-inputs'!$I$8,'2021 base portion-inputs'!$I$9)*C20</f>
        <v>3750.7345485703759</v>
      </c>
      <c r="K20" s="67">
        <f>IF(B20="Dist",'2021 base portion-inputs'!$J$4,'2021 base portion-inputs'!$J$5)*C20</f>
        <v>0</v>
      </c>
      <c r="L20" s="67">
        <f t="shared" si="1"/>
        <v>593036</v>
      </c>
    </row>
    <row r="21" spans="1:12" ht="15.75" x14ac:dyDescent="0.25">
      <c r="A21" s="64" t="s">
        <v>54</v>
      </c>
      <c r="B21" s="66" t="s">
        <v>60</v>
      </c>
      <c r="C21" s="67">
        <f>'2021 base portion-inputs'!B54*'2021 base portion-inputs'!E30</f>
        <v>538266.38109000004</v>
      </c>
      <c r="D21" s="67">
        <f>IF(B21="Dist",'2021 base portion-inputs'!$C$8,'2021 base portion-inputs'!$C$9)*C21</f>
        <v>318689.35723529902</v>
      </c>
      <c r="E21" s="67">
        <f>IF(B21="Dist",'2021 base portion-inputs'!$D$8,'2021 base portion-inputs'!$D$9)*C21</f>
        <v>27128.290781028816</v>
      </c>
      <c r="F21" s="67">
        <f>IF(B21="Dist",'2021 base portion-inputs'!$E$8,'2021 base portion-inputs'!$E$9)*C21</f>
        <v>151573.23552987471</v>
      </c>
      <c r="G21" s="67">
        <f>IF(B21="Dist",'2021 base portion-inputs'!$F$8,'2021 base portion-inputs'!$F$9)*C21</f>
        <v>9424.8240823556989</v>
      </c>
      <c r="H21" s="67">
        <f>IF(B21="Dist",'2021 base portion-inputs'!$G$8,'2021 base portion-inputs'!$G$9)*C21</f>
        <v>20034.171078871273</v>
      </c>
      <c r="I21" s="67">
        <f>IF(B21="Dist",'2021 base portion-inputs'!$H$8,'2021 base portion-inputs'!$H$9)*C21</f>
        <v>11205.063548848597</v>
      </c>
      <c r="J21" s="67">
        <f>IF(B21="Dist",'2021 base portion-inputs'!$I$8,'2021 base portion-inputs'!$I$9)*C21</f>
        <v>211.4388337219757</v>
      </c>
      <c r="K21" s="67">
        <f>IF(B21="Dist",'2021 base portion-inputs'!$J$4,'2021 base portion-inputs'!$J$5)*C21</f>
        <v>0</v>
      </c>
      <c r="L21" s="67">
        <f t="shared" si="1"/>
        <v>538266.38109000016</v>
      </c>
    </row>
    <row r="22" spans="1:12" ht="15.75" x14ac:dyDescent="0.25">
      <c r="A22" s="64" t="s">
        <v>55</v>
      </c>
      <c r="B22" s="66" t="s">
        <v>59</v>
      </c>
      <c r="C22" s="67">
        <f>'2021 base portion-inputs'!B55</f>
        <v>1134769</v>
      </c>
      <c r="D22" s="67">
        <f>IF(B22="Dist",'2021 base portion-inputs'!$C$8,'2021 base portion-inputs'!$C$9)*C22</f>
        <v>715756.37907158048</v>
      </c>
      <c r="E22" s="67">
        <f>IF(B22="Dist",'2021 base portion-inputs'!$D$8,'2021 base portion-inputs'!$D$9)*C22</f>
        <v>55232.253914947789</v>
      </c>
      <c r="F22" s="67">
        <f>IF(B22="Dist",'2021 base portion-inputs'!$E$8,'2021 base portion-inputs'!$E$9)*C22</f>
        <v>297382.28083911043</v>
      </c>
      <c r="G22" s="67">
        <f>IF(B22="Dist",'2021 base portion-inputs'!$F$8,'2021 base portion-inputs'!$F$9)*C22</f>
        <v>18491.230805493313</v>
      </c>
      <c r="H22" s="67">
        <f>IF(B22="Dist",'2021 base portion-inputs'!$G$8,'2021 base portion-inputs'!$G$9)*C22</f>
        <v>40729.858874647362</v>
      </c>
      <c r="I22" s="67">
        <f>IF(B22="Dist",'2021 base portion-inputs'!$H$8,'2021 base portion-inputs'!$H$9)*C22</f>
        <v>0</v>
      </c>
      <c r="J22" s="67">
        <f>IF(B22="Dist",'2021 base portion-inputs'!$I$8,'2021 base portion-inputs'!$I$9)*C22</f>
        <v>7176.9964942206834</v>
      </c>
      <c r="K22" s="67">
        <f>IF(B22="Dist",'2021 base portion-inputs'!$J$4,'2021 base portion-inputs'!$J$5)*C22</f>
        <v>0</v>
      </c>
      <c r="L22" s="67">
        <f t="shared" si="1"/>
        <v>1134769</v>
      </c>
    </row>
    <row r="23" spans="1:12" ht="15.75" x14ac:dyDescent="0.25">
      <c r="A23" s="64" t="s">
        <v>92</v>
      </c>
      <c r="B23" s="115" t="s">
        <v>59</v>
      </c>
      <c r="C23" s="67">
        <f>'2021 base portion-inputs'!B56</f>
        <v>280500</v>
      </c>
      <c r="D23" s="67">
        <f>IF(B23="Dist",'2021 base portion-inputs'!$C$8,'2021 base portion-inputs'!$C$9)*C23</f>
        <v>176925.5807389683</v>
      </c>
      <c r="E23" s="67">
        <f>IF(B23="Dist",'2021 base portion-inputs'!$D$8,'2021 base portion-inputs'!$D$9)*C23</f>
        <v>13652.688100523414</v>
      </c>
      <c r="F23" s="67">
        <f>IF(B23="Dist",'2021 base portion-inputs'!$E$8,'2021 base portion-inputs'!$E$9)*C23</f>
        <v>73508.995906101132</v>
      </c>
      <c r="G23" s="67">
        <f>IF(B23="Dist",'2021 base portion-inputs'!$F$8,'2021 base portion-inputs'!$F$9)*C23</f>
        <v>4570.7895095309041</v>
      </c>
      <c r="H23" s="67">
        <f>IF(B23="Dist",'2021 base portion-inputs'!$G$8,'2021 base portion-inputs'!$G$9)*C23</f>
        <v>10067.886428285039</v>
      </c>
      <c r="I23" s="67">
        <f>IF(B23="Dist",'2021 base portion-inputs'!$H$8,'2021 base portion-inputs'!$H$9)*C23</f>
        <v>0</v>
      </c>
      <c r="J23" s="67">
        <f>IF(B23="Dist",'2021 base portion-inputs'!$I$8,'2021 base portion-inputs'!$I$9)*C23</f>
        <v>1774.0593165912196</v>
      </c>
      <c r="K23" s="67">
        <f>IF(B23="Dist",'2021 base portion-inputs'!$J$4,'2021 base portion-inputs'!$J$5)*C23</f>
        <v>0</v>
      </c>
      <c r="L23" s="67">
        <f t="shared" si="1"/>
        <v>280500</v>
      </c>
    </row>
    <row r="24" spans="1:12" ht="15.75" x14ac:dyDescent="0.25">
      <c r="A24" s="61" t="s">
        <v>91</v>
      </c>
      <c r="B24" s="115" t="s">
        <v>59</v>
      </c>
      <c r="C24" s="67">
        <f>'2021 base portion-inputs'!B57</f>
        <v>615080</v>
      </c>
      <c r="D24" s="67">
        <f>IF(B24="Dist",'2021 base portion-inputs'!$C$8,'2021 base portion-inputs'!$C$9)*C24</f>
        <v>387962.16114411631</v>
      </c>
      <c r="E24" s="67">
        <f>IF(B24="Dist",'2021 base portion-inputs'!$D$8,'2021 base portion-inputs'!$D$9)*C24</f>
        <v>29937.594997753804</v>
      </c>
      <c r="F24" s="67">
        <f>IF(B24="Dist",'2021 base portion-inputs'!$E$8,'2021 base portion-inputs'!$E$9)*C24</f>
        <v>161190.42139723594</v>
      </c>
      <c r="G24" s="67">
        <f>IF(B24="Dist",'2021 base portion-inputs'!$F$8,'2021 base portion-inputs'!$F$9)*C24</f>
        <v>10022.82071843946</v>
      </c>
      <c r="H24" s="67">
        <f>IF(B24="Dist",'2021 base portion-inputs'!$G$8,'2021 base portion-inputs'!$G$9)*C24</f>
        <v>22076.847002886137</v>
      </c>
      <c r="I24" s="67">
        <f>IF(B24="Dist",'2021 base portion-inputs'!$H$8,'2021 base portion-inputs'!$H$9)*C24</f>
        <v>0</v>
      </c>
      <c r="J24" s="67">
        <f>IF(B24="Dist",'2021 base portion-inputs'!$I$8,'2021 base portion-inputs'!$I$9)*C24</f>
        <v>3890.1547395683683</v>
      </c>
      <c r="K24" s="67">
        <f>IF(B24="Dist",'2021 base portion-inputs'!$J$4,'2021 base portion-inputs'!$J$5)*C24</f>
        <v>0</v>
      </c>
      <c r="L24" s="67">
        <f t="shared" si="1"/>
        <v>615079.99999999988</v>
      </c>
    </row>
    <row r="25" spans="1:12" ht="15.75" x14ac:dyDescent="0.25">
      <c r="A25" s="116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7" spans="1:12" x14ac:dyDescent="0.25">
      <c r="A27" s="145" t="s">
        <v>44</v>
      </c>
      <c r="B27" s="145"/>
      <c r="C27" s="67">
        <f>SUM(C4:C9)+SUM(C12:C24)</f>
        <v>36556402.605052002</v>
      </c>
      <c r="D27" s="67">
        <f t="shared" ref="D27:L27" si="2">SUM(D4:D9)+SUM(D12:D24)</f>
        <v>22844749.009374749</v>
      </c>
      <c r="E27" s="67">
        <f t="shared" si="2"/>
        <v>1788815.7897890732</v>
      </c>
      <c r="F27" s="67">
        <f t="shared" si="2"/>
        <v>9687777.9241491966</v>
      </c>
      <c r="G27" s="67">
        <f t="shared" si="2"/>
        <v>602386.0503132107</v>
      </c>
      <c r="H27" s="67">
        <f t="shared" si="2"/>
        <v>1319421.2415848286</v>
      </c>
      <c r="I27" s="67">
        <f t="shared" si="2"/>
        <v>114742.94960717324</v>
      </c>
      <c r="J27" s="67">
        <f t="shared" si="2"/>
        <v>198509.64023376993</v>
      </c>
      <c r="K27" s="67">
        <f t="shared" si="2"/>
        <v>0</v>
      </c>
      <c r="L27" s="67">
        <f t="shared" si="2"/>
        <v>36556402.605052002</v>
      </c>
    </row>
    <row r="29" spans="1:12" x14ac:dyDescent="0.25">
      <c r="A29" s="145" t="s">
        <v>61</v>
      </c>
      <c r="B29" s="145"/>
      <c r="C29" s="36">
        <v>1.0007200000000001</v>
      </c>
      <c r="D29" s="36">
        <v>1.0007200000000001</v>
      </c>
      <c r="E29" s="36">
        <v>1.0007200000000001</v>
      </c>
      <c r="F29" s="36">
        <v>1.0007200000000001</v>
      </c>
      <c r="G29" s="36">
        <v>1.0007200000000001</v>
      </c>
      <c r="H29" s="36">
        <v>1.0007200000000001</v>
      </c>
      <c r="I29" s="36">
        <v>1.0007200000000001</v>
      </c>
      <c r="J29" s="36">
        <v>1.0007200000000001</v>
      </c>
      <c r="K29" s="36">
        <v>1.0007200000000001</v>
      </c>
    </row>
    <row r="31" spans="1:12" x14ac:dyDescent="0.25">
      <c r="A31" s="145" t="s">
        <v>62</v>
      </c>
      <c r="B31" s="145"/>
      <c r="C31" s="67">
        <f>C27*C29</f>
        <v>36582723.214927644</v>
      </c>
      <c r="D31" s="67">
        <f t="shared" ref="D31:K31" si="3">D27*D29</f>
        <v>22861197.2286615</v>
      </c>
      <c r="E31" s="67">
        <f t="shared" si="3"/>
        <v>1790103.7371577213</v>
      </c>
      <c r="F31" s="67">
        <f t="shared" si="3"/>
        <v>9694753.1242545843</v>
      </c>
      <c r="G31" s="67">
        <f t="shared" si="3"/>
        <v>602819.7682694362</v>
      </c>
      <c r="H31" s="67">
        <f t="shared" si="3"/>
        <v>1320371.2248787698</v>
      </c>
      <c r="I31" s="67">
        <f t="shared" si="3"/>
        <v>114825.56453089042</v>
      </c>
      <c r="J31" s="67">
        <f t="shared" si="3"/>
        <v>198652.56717473824</v>
      </c>
      <c r="K31" s="67">
        <f t="shared" si="3"/>
        <v>0</v>
      </c>
      <c r="L31" s="67">
        <f t="shared" ref="L31" si="4">SUM(D31:K31)</f>
        <v>36582723.214927644</v>
      </c>
    </row>
    <row r="33" spans="1:12" x14ac:dyDescent="0.25">
      <c r="A33" s="146" t="s">
        <v>63</v>
      </c>
      <c r="B33" s="147"/>
      <c r="C33" s="148"/>
      <c r="D33" s="70">
        <f>'2021 base portion-inputs'!C25</f>
        <v>9728164.6219999995</v>
      </c>
      <c r="E33" s="70">
        <f>'2021 base portion-inputs'!D25</f>
        <v>953392.38500000001</v>
      </c>
      <c r="F33" s="70">
        <f>'2021 base portion-inputs'!E25</f>
        <v>15876487.529999999</v>
      </c>
      <c r="G33" s="70">
        <f>'2021 base portion-inputs'!F25</f>
        <v>415088.27899999998</v>
      </c>
      <c r="H33" s="70">
        <f>'2021 base portion-inputs'!G25</f>
        <v>2439151.87</v>
      </c>
      <c r="I33" s="70">
        <f>'2021 base portion-inputs'!H25</f>
        <v>2627756.0699999998</v>
      </c>
      <c r="J33" s="70">
        <f>'2021 base portion-inputs'!I25</f>
        <v>110703.23299999999</v>
      </c>
      <c r="K33" s="70">
        <f>'2021 base portion-inputs'!J25</f>
        <v>0</v>
      </c>
    </row>
    <row r="35" spans="1:12" x14ac:dyDescent="0.25">
      <c r="C35" s="45" t="s">
        <v>64</v>
      </c>
      <c r="D35" s="71" t="str">
        <f>D2</f>
        <v>RS (Tier 1, Tier 2, RSVP)</v>
      </c>
      <c r="E35" s="71" t="str">
        <f t="shared" ref="E35:K35" si="5">E2</f>
        <v>GS &amp; CS</v>
      </c>
      <c r="F35" s="71" t="str">
        <f t="shared" si="5"/>
        <v>GSD, SBD</v>
      </c>
      <c r="G35" s="71" t="str">
        <f t="shared" si="5"/>
        <v>GSD Optional</v>
      </c>
      <c r="H35" s="71" t="str">
        <f t="shared" si="5"/>
        <v>GSLDPR, SBLDPR</v>
      </c>
      <c r="I35" s="71" t="str">
        <f t="shared" si="5"/>
        <v>GSLDSU, SBLDSU</v>
      </c>
      <c r="J35" s="71" t="str">
        <f t="shared" si="5"/>
        <v>LS1, LS2</v>
      </c>
      <c r="K35" s="71" t="str">
        <f t="shared" si="5"/>
        <v>LTG-FAC</v>
      </c>
    </row>
    <row r="36" spans="1:12" x14ac:dyDescent="0.25">
      <c r="A36" s="143" t="s">
        <v>65</v>
      </c>
      <c r="B36" s="143"/>
      <c r="C36" s="144"/>
      <c r="D36" s="108">
        <f>D31/(D33*1000)</f>
        <v>2.3500010656646864E-3</v>
      </c>
      <c r="E36" s="108">
        <f>E31/(E33*1000)</f>
        <v>1.8776148890236009E-3</v>
      </c>
      <c r="F36" s="108"/>
      <c r="G36" s="108">
        <f>G31/(G33*1000)</f>
        <v>1.4522688275412281E-3</v>
      </c>
      <c r="H36" s="108"/>
      <c r="I36" s="108"/>
      <c r="J36" s="108">
        <f t="shared" ref="J36" si="6">J31/(J33*1000)</f>
        <v>1.7944603946186308E-3</v>
      </c>
      <c r="K36" s="108">
        <v>0</v>
      </c>
      <c r="L36" s="109"/>
    </row>
    <row r="37" spans="1:12" x14ac:dyDescent="0.25">
      <c r="A37" s="143" t="s">
        <v>66</v>
      </c>
      <c r="B37" s="143"/>
      <c r="C37" s="144"/>
      <c r="D37" s="108"/>
      <c r="E37" s="108"/>
      <c r="F37" s="108">
        <f>F31/F33</f>
        <v>0.61063589197141421</v>
      </c>
      <c r="G37" s="108"/>
      <c r="H37" s="108">
        <f>H31/H33</f>
        <v>0.54132390898594185</v>
      </c>
      <c r="I37" s="108">
        <f>I31/I33</f>
        <v>4.3697193145819817E-2</v>
      </c>
      <c r="J37" s="108"/>
      <c r="K37" s="110"/>
      <c r="L37" s="109"/>
    </row>
    <row r="38" spans="1:12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1:12" x14ac:dyDescent="0.25">
      <c r="A39" s="109"/>
      <c r="B39" s="109"/>
      <c r="C39" s="111" t="s">
        <v>67</v>
      </c>
      <c r="D39" s="83" t="str">
        <f t="shared" ref="D39:K40" si="7">D35</f>
        <v>RS (Tier 1, Tier 2, RSVP)</v>
      </c>
      <c r="E39" s="83" t="str">
        <f t="shared" si="7"/>
        <v>GS &amp; CS</v>
      </c>
      <c r="F39" s="83"/>
      <c r="G39" s="83" t="str">
        <f t="shared" si="7"/>
        <v>GSD Optional</v>
      </c>
      <c r="H39" s="83"/>
      <c r="I39" s="83"/>
      <c r="J39" s="83" t="str">
        <f t="shared" si="7"/>
        <v>LS1, LS2</v>
      </c>
      <c r="K39" s="83" t="str">
        <f t="shared" si="7"/>
        <v>LTG-FAC</v>
      </c>
      <c r="L39" s="109"/>
    </row>
    <row r="40" spans="1:12" x14ac:dyDescent="0.25">
      <c r="A40" s="109"/>
      <c r="B40" s="109"/>
      <c r="C40" s="111" t="s">
        <v>68</v>
      </c>
      <c r="D40" s="108">
        <f>D36</f>
        <v>2.3500010656646864E-3</v>
      </c>
      <c r="E40" s="108">
        <f>E36</f>
        <v>1.8776148890236009E-3</v>
      </c>
      <c r="F40" s="110"/>
      <c r="G40" s="108">
        <f>G36</f>
        <v>1.4522688275412281E-3</v>
      </c>
      <c r="H40" s="110"/>
      <c r="I40" s="110"/>
      <c r="J40" s="108">
        <f t="shared" si="7"/>
        <v>1.7944603946186308E-3</v>
      </c>
      <c r="K40" s="108">
        <f t="shared" si="7"/>
        <v>0</v>
      </c>
      <c r="L40" s="109"/>
    </row>
    <row r="41" spans="1:12" x14ac:dyDescent="0.25">
      <c r="A41" s="109"/>
      <c r="B41" s="109"/>
      <c r="C41" s="111" t="s">
        <v>69</v>
      </c>
      <c r="D41" s="110"/>
      <c r="E41" s="110"/>
      <c r="F41" s="110"/>
      <c r="G41" s="108">
        <f>G40*0.99</f>
        <v>1.4377461392658158E-3</v>
      </c>
      <c r="H41" s="110"/>
      <c r="I41" s="110"/>
      <c r="J41" s="110"/>
      <c r="K41" s="110"/>
      <c r="L41" s="109"/>
    </row>
    <row r="42" spans="1:12" x14ac:dyDescent="0.25">
      <c r="A42" s="109"/>
      <c r="B42" s="109"/>
      <c r="C42" s="111" t="s">
        <v>70</v>
      </c>
      <c r="D42" s="110"/>
      <c r="E42" s="110"/>
      <c r="F42" s="110"/>
      <c r="G42" s="108">
        <f>G40*0.98</f>
        <v>1.4232234509904036E-3</v>
      </c>
      <c r="H42" s="110"/>
      <c r="I42" s="110"/>
      <c r="J42" s="110"/>
      <c r="K42" s="110"/>
      <c r="L42" s="109"/>
    </row>
    <row r="43" spans="1:12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</row>
    <row r="44" spans="1:12" x14ac:dyDescent="0.25">
      <c r="A44" s="109"/>
      <c r="B44" s="109"/>
      <c r="C44" s="111" t="s">
        <v>71</v>
      </c>
      <c r="D44" s="83"/>
      <c r="E44" s="83"/>
      <c r="F44" s="83" t="str">
        <f>F35</f>
        <v>GSD, SBD</v>
      </c>
      <c r="G44" s="83"/>
      <c r="H44" s="83" t="str">
        <f t="shared" ref="H44:I44" si="8">H35</f>
        <v>GSLDPR, SBLDPR</v>
      </c>
      <c r="I44" s="83" t="str">
        <f t="shared" si="8"/>
        <v>GSLDSU, SBLDSU</v>
      </c>
      <c r="J44" s="83"/>
      <c r="K44" s="83"/>
      <c r="L44" s="109"/>
    </row>
    <row r="45" spans="1:12" x14ac:dyDescent="0.25">
      <c r="A45" s="109"/>
      <c r="B45" s="109"/>
      <c r="C45" s="111" t="s">
        <v>68</v>
      </c>
      <c r="D45" s="108"/>
      <c r="E45" s="108"/>
      <c r="F45" s="108">
        <f>F37</f>
        <v>0.61063589197141421</v>
      </c>
      <c r="G45" s="108"/>
      <c r="H45" s="108"/>
      <c r="I45" s="108"/>
      <c r="J45" s="108"/>
      <c r="K45" s="108"/>
      <c r="L45" s="109"/>
    </row>
    <row r="46" spans="1:12" x14ac:dyDescent="0.25">
      <c r="A46" s="109"/>
      <c r="B46" s="109"/>
      <c r="C46" s="111" t="s">
        <v>69</v>
      </c>
      <c r="D46" s="110"/>
      <c r="E46" s="110"/>
      <c r="F46" s="108">
        <f>F45*0.99</f>
        <v>0.6045295330517001</v>
      </c>
      <c r="G46" s="112"/>
      <c r="H46" s="108">
        <f>H37</f>
        <v>0.54132390898594185</v>
      </c>
      <c r="I46" s="108"/>
      <c r="J46" s="110"/>
      <c r="K46" s="110"/>
      <c r="L46" s="109"/>
    </row>
    <row r="47" spans="1:12" x14ac:dyDescent="0.25">
      <c r="A47" s="109"/>
      <c r="B47" s="109"/>
      <c r="C47" s="111" t="s">
        <v>70</v>
      </c>
      <c r="D47" s="110"/>
      <c r="E47" s="110"/>
      <c r="F47" s="108">
        <f>F45*0.98</f>
        <v>0.59842317413198587</v>
      </c>
      <c r="G47" s="112"/>
      <c r="H47" s="108"/>
      <c r="I47" s="108">
        <f>I37</f>
        <v>4.3697193145819817E-2</v>
      </c>
      <c r="J47" s="110"/>
      <c r="K47" s="110"/>
      <c r="L47" s="109"/>
    </row>
    <row r="48" spans="1:12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</row>
    <row r="49" spans="1:12" x14ac:dyDescent="0.25">
      <c r="A49" s="109"/>
      <c r="B49" s="109"/>
      <c r="C49" s="109"/>
      <c r="D49" s="113"/>
      <c r="E49" s="109"/>
      <c r="F49" s="109"/>
      <c r="G49" s="109"/>
      <c r="H49" s="109"/>
      <c r="I49" s="109"/>
      <c r="J49" s="109"/>
      <c r="K49" s="109"/>
      <c r="L49" s="109"/>
    </row>
  </sheetData>
  <mergeCells count="7">
    <mergeCell ref="B1:L1"/>
    <mergeCell ref="A37:C37"/>
    <mergeCell ref="A27:B27"/>
    <mergeCell ref="A29:B29"/>
    <mergeCell ref="A31:B31"/>
    <mergeCell ref="A33:C33"/>
    <mergeCell ref="A36:C36"/>
  </mergeCells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D5BC-43AD-489B-B6D1-0412079A7A7F}">
  <dimension ref="A1:G37"/>
  <sheetViews>
    <sheetView topLeftCell="A10" workbookViewId="0">
      <selection activeCell="G15" sqref="G14:G15"/>
    </sheetView>
  </sheetViews>
  <sheetFormatPr defaultRowHeight="15" x14ac:dyDescent="0.25"/>
  <cols>
    <col min="1" max="1" width="44.77734375" style="33" bestFit="1" customWidth="1"/>
    <col min="2" max="2" width="17.21875" style="33" customWidth="1"/>
    <col min="3" max="4" width="16.88671875" style="33" customWidth="1"/>
    <col min="5" max="5" width="19.21875" style="33" customWidth="1"/>
    <col min="6" max="10" width="16.88671875" style="33" customWidth="1"/>
    <col min="11" max="11" width="7.88671875" style="33" bestFit="1" customWidth="1"/>
    <col min="12" max="16384" width="8.88671875" style="33"/>
  </cols>
  <sheetData>
    <row r="1" spans="1:7" x14ac:dyDescent="0.25">
      <c r="A1" s="31" t="s">
        <v>20</v>
      </c>
      <c r="B1" s="32">
        <v>2023</v>
      </c>
    </row>
    <row r="3" spans="1:7" x14ac:dyDescent="0.25">
      <c r="A3" s="31" t="s">
        <v>39</v>
      </c>
      <c r="B3" s="141"/>
      <c r="C3" s="141"/>
      <c r="D3" s="141"/>
      <c r="E3" s="55" t="s">
        <v>40</v>
      </c>
    </row>
    <row r="4" spans="1:7" x14ac:dyDescent="0.25">
      <c r="A4" s="124" t="s">
        <v>41</v>
      </c>
      <c r="B4" s="137">
        <f>'Settlement Demand Allocation'!C23</f>
        <v>0.932446</v>
      </c>
      <c r="C4" s="137"/>
      <c r="D4" s="137"/>
      <c r="E4" s="56">
        <f>B4/B6</f>
        <v>0.932446</v>
      </c>
    </row>
    <row r="5" spans="1:7" x14ac:dyDescent="0.25">
      <c r="A5" s="124" t="s">
        <v>42</v>
      </c>
      <c r="B5" s="137">
        <f>'Settlement Demand Allocation'!C24</f>
        <v>6.7554000000000003E-2</v>
      </c>
      <c r="C5" s="137"/>
      <c r="D5" s="137"/>
      <c r="E5" s="56">
        <f>B5/B6</f>
        <v>6.7554000000000003E-2</v>
      </c>
      <c r="G5" s="33" t="s">
        <v>43</v>
      </c>
    </row>
    <row r="6" spans="1:7" x14ac:dyDescent="0.25">
      <c r="A6" s="124" t="s">
        <v>44</v>
      </c>
      <c r="B6" s="133">
        <f>SUM(B4:B5)</f>
        <v>1</v>
      </c>
      <c r="C6" s="133"/>
      <c r="D6" s="133"/>
      <c r="E6" s="57">
        <f>SUM(E4:E5)</f>
        <v>1</v>
      </c>
      <c r="F6" s="33" t="s">
        <v>33</v>
      </c>
    </row>
    <row r="7" spans="1:7" x14ac:dyDescent="0.25">
      <c r="A7" s="124"/>
      <c r="B7" s="58"/>
      <c r="C7" s="58"/>
      <c r="D7" s="58"/>
      <c r="E7" s="59"/>
    </row>
    <row r="8" spans="1:7" x14ac:dyDescent="0.25">
      <c r="A8" s="36"/>
      <c r="B8" s="134" t="s">
        <v>45</v>
      </c>
      <c r="C8" s="134"/>
      <c r="D8" s="134"/>
      <c r="E8" s="123" t="s">
        <v>105</v>
      </c>
    </row>
    <row r="9" spans="1:7" ht="15.75" x14ac:dyDescent="0.25">
      <c r="A9" s="60" t="s">
        <v>46</v>
      </c>
      <c r="B9" s="135"/>
      <c r="C9" s="135"/>
      <c r="D9" s="135"/>
    </row>
    <row r="10" spans="1:7" ht="15.75" x14ac:dyDescent="0.25">
      <c r="A10" s="61" t="s">
        <v>47</v>
      </c>
      <c r="B10" s="132">
        <v>19872327</v>
      </c>
      <c r="C10" s="132"/>
      <c r="D10" s="132"/>
      <c r="E10" s="67">
        <f>B10</f>
        <v>19872327</v>
      </c>
    </row>
    <row r="11" spans="1:7" ht="15.75" x14ac:dyDescent="0.25">
      <c r="A11" s="61" t="s">
        <v>48</v>
      </c>
      <c r="B11" s="132">
        <v>5350739</v>
      </c>
      <c r="C11" s="132"/>
      <c r="D11" s="132"/>
      <c r="E11" s="67">
        <f>B11*B4</f>
        <v>4989275.1775939995</v>
      </c>
      <c r="G11" s="73"/>
    </row>
    <row r="12" spans="1:7" ht="15.75" x14ac:dyDescent="0.25">
      <c r="A12" s="61" t="s">
        <v>103</v>
      </c>
      <c r="B12" s="150">
        <v>15166</v>
      </c>
      <c r="C12" s="151"/>
      <c r="D12" s="152"/>
      <c r="E12" s="67">
        <f>B12</f>
        <v>15166</v>
      </c>
    </row>
    <row r="13" spans="1:7" ht="15.75" x14ac:dyDescent="0.25">
      <c r="A13" s="61" t="s">
        <v>104</v>
      </c>
      <c r="B13" s="132">
        <v>0</v>
      </c>
      <c r="C13" s="132"/>
      <c r="D13" s="132"/>
      <c r="E13" s="67">
        <f>B13*B4</f>
        <v>0</v>
      </c>
    </row>
    <row r="14" spans="1:7" ht="15.75" x14ac:dyDescent="0.25">
      <c r="A14" s="61" t="s">
        <v>50</v>
      </c>
      <c r="B14" s="132">
        <v>7363357</v>
      </c>
      <c r="C14" s="132"/>
      <c r="D14" s="132"/>
      <c r="E14" s="67">
        <f>B14</f>
        <v>7363357</v>
      </c>
    </row>
    <row r="15" spans="1:7" ht="15.75" x14ac:dyDescent="0.25">
      <c r="A15" s="61" t="s">
        <v>51</v>
      </c>
      <c r="B15" s="132">
        <v>449217</v>
      </c>
      <c r="C15" s="132"/>
      <c r="D15" s="132"/>
      <c r="E15" s="67">
        <f>B15*B4</f>
        <v>418870.594782</v>
      </c>
      <c r="G15" s="73"/>
    </row>
    <row r="16" spans="1:7" ht="15.75" x14ac:dyDescent="0.25">
      <c r="A16" s="61" t="s">
        <v>91</v>
      </c>
      <c r="B16" s="132">
        <v>3136696</v>
      </c>
      <c r="C16" s="132"/>
      <c r="D16" s="132"/>
      <c r="E16" s="67">
        <f>B16</f>
        <v>3136696</v>
      </c>
    </row>
    <row r="17" spans="1:7" ht="15.75" x14ac:dyDescent="0.25">
      <c r="A17" s="61"/>
      <c r="B17" s="153"/>
      <c r="C17" s="154"/>
      <c r="D17" s="154"/>
    </row>
    <row r="18" spans="1:7" ht="15.75" x14ac:dyDescent="0.25">
      <c r="A18" s="62" t="s">
        <v>52</v>
      </c>
      <c r="B18" s="134" t="s">
        <v>45</v>
      </c>
      <c r="C18" s="134"/>
      <c r="D18" s="134"/>
    </row>
    <row r="19" spans="1:7" ht="15.75" x14ac:dyDescent="0.25">
      <c r="A19" s="61" t="s">
        <v>47</v>
      </c>
      <c r="B19" s="136">
        <v>176187</v>
      </c>
      <c r="C19" s="136"/>
      <c r="D19" s="136"/>
      <c r="E19" s="67">
        <f>B19</f>
        <v>176187</v>
      </c>
    </row>
    <row r="20" spans="1:7" ht="15.75" customHeight="1" x14ac:dyDescent="0.25">
      <c r="A20" s="61" t="s">
        <v>93</v>
      </c>
      <c r="B20" s="132">
        <v>24001408</v>
      </c>
      <c r="C20" s="132"/>
      <c r="D20" s="132"/>
      <c r="E20" s="67">
        <f t="shared" ref="E20:E21" si="0">B20</f>
        <v>24001408</v>
      </c>
      <c r="F20" s="63"/>
    </row>
    <row r="21" spans="1:7" ht="15.75" customHeight="1" x14ac:dyDescent="0.25">
      <c r="A21" s="61" t="s">
        <v>94</v>
      </c>
      <c r="B21" s="132">
        <v>1400000</v>
      </c>
      <c r="C21" s="132"/>
      <c r="D21" s="132"/>
      <c r="E21" s="67">
        <f t="shared" si="0"/>
        <v>1400000</v>
      </c>
      <c r="F21" s="63"/>
    </row>
    <row r="22" spans="1:7" ht="15.75" customHeight="1" x14ac:dyDescent="0.25">
      <c r="A22" s="64" t="s">
        <v>95</v>
      </c>
      <c r="B22" s="132">
        <v>3660969</v>
      </c>
      <c r="C22" s="132"/>
      <c r="D22" s="132"/>
      <c r="E22" s="67">
        <f>B22*B4</f>
        <v>3413655.9001739998</v>
      </c>
      <c r="F22" s="63"/>
      <c r="G22" s="73"/>
    </row>
    <row r="23" spans="1:7" ht="15.75" customHeight="1" x14ac:dyDescent="0.25">
      <c r="A23" s="64" t="s">
        <v>96</v>
      </c>
      <c r="B23" s="132">
        <v>0</v>
      </c>
      <c r="C23" s="132"/>
      <c r="D23" s="132"/>
      <c r="E23" s="67">
        <f>B23*B4</f>
        <v>0</v>
      </c>
      <c r="F23" s="63"/>
    </row>
    <row r="24" spans="1:7" ht="15.75" customHeight="1" x14ac:dyDescent="0.25">
      <c r="A24" s="64" t="s">
        <v>48</v>
      </c>
      <c r="B24" s="132">
        <v>523914</v>
      </c>
      <c r="C24" s="132"/>
      <c r="D24" s="132"/>
      <c r="E24" s="67">
        <f>B24*B4</f>
        <v>488521.51364399999</v>
      </c>
      <c r="G24" s="73"/>
    </row>
    <row r="25" spans="1:7" ht="15.75" customHeight="1" x14ac:dyDescent="0.25">
      <c r="A25" s="61" t="s">
        <v>103</v>
      </c>
      <c r="B25" s="150">
        <v>0</v>
      </c>
      <c r="C25" s="151"/>
      <c r="D25" s="152"/>
      <c r="E25" s="67">
        <f>B25</f>
        <v>0</v>
      </c>
    </row>
    <row r="26" spans="1:7" ht="15.75" customHeight="1" x14ac:dyDescent="0.25">
      <c r="A26" s="61" t="s">
        <v>104</v>
      </c>
      <c r="B26" s="132">
        <v>0</v>
      </c>
      <c r="C26" s="132"/>
      <c r="D26" s="132"/>
      <c r="E26" s="67">
        <f>B26*B4</f>
        <v>0</v>
      </c>
      <c r="F26" s="63"/>
    </row>
    <row r="27" spans="1:7" ht="15.75" customHeight="1" x14ac:dyDescent="0.25">
      <c r="A27" s="64" t="s">
        <v>50</v>
      </c>
      <c r="B27" s="132">
        <v>618654</v>
      </c>
      <c r="C27" s="132"/>
      <c r="D27" s="132"/>
      <c r="E27" s="67">
        <f>B27</f>
        <v>618654</v>
      </c>
    </row>
    <row r="28" spans="1:7" ht="15.75" customHeight="1" x14ac:dyDescent="0.25">
      <c r="A28" s="64" t="s">
        <v>51</v>
      </c>
      <c r="B28" s="132">
        <v>0</v>
      </c>
      <c r="C28" s="132"/>
      <c r="D28" s="132"/>
      <c r="E28" s="67">
        <f>B28*B4</f>
        <v>0</v>
      </c>
    </row>
    <row r="29" spans="1:7" ht="15.75" customHeight="1" x14ac:dyDescent="0.25">
      <c r="A29" s="64" t="s">
        <v>53</v>
      </c>
      <c r="B29" s="132">
        <v>1040358</v>
      </c>
      <c r="C29" s="132"/>
      <c r="D29" s="132"/>
      <c r="E29" s="67">
        <f>B29</f>
        <v>1040358</v>
      </c>
    </row>
    <row r="30" spans="1:7" ht="15.75" customHeight="1" x14ac:dyDescent="0.25">
      <c r="A30" s="64" t="s">
        <v>54</v>
      </c>
      <c r="B30" s="132">
        <v>543644</v>
      </c>
      <c r="C30" s="132"/>
      <c r="D30" s="132"/>
      <c r="E30" s="67">
        <f>B30*B4</f>
        <v>506918.67322400003</v>
      </c>
      <c r="G30" s="73"/>
    </row>
    <row r="31" spans="1:7" ht="15.75" customHeight="1" x14ac:dyDescent="0.25">
      <c r="A31" s="64" t="s">
        <v>55</v>
      </c>
      <c r="B31" s="132">
        <v>866300</v>
      </c>
      <c r="C31" s="132"/>
      <c r="D31" s="132"/>
      <c r="E31" s="67">
        <f>B31</f>
        <v>866300</v>
      </c>
    </row>
    <row r="32" spans="1:7" ht="15.75" customHeight="1" x14ac:dyDescent="0.25">
      <c r="A32" s="64" t="s">
        <v>92</v>
      </c>
      <c r="B32" s="132">
        <v>291832</v>
      </c>
      <c r="C32" s="132"/>
      <c r="D32" s="132"/>
      <c r="E32" s="67">
        <f t="shared" ref="E32:E33" si="1">B32</f>
        <v>291832</v>
      </c>
    </row>
    <row r="33" spans="1:7" ht="15.75" customHeight="1" x14ac:dyDescent="0.25">
      <c r="A33" s="61" t="s">
        <v>91</v>
      </c>
      <c r="B33" s="132">
        <v>833851</v>
      </c>
      <c r="C33" s="132"/>
      <c r="D33" s="132"/>
      <c r="E33" s="67">
        <f t="shared" si="1"/>
        <v>833851</v>
      </c>
    </row>
    <row r="34" spans="1:7" ht="15.75" customHeight="1" x14ac:dyDescent="0.25"/>
    <row r="35" spans="1:7" ht="15.75" customHeight="1" x14ac:dyDescent="0.25">
      <c r="B35" s="126" t="s">
        <v>107</v>
      </c>
      <c r="C35" s="67">
        <f>SUM(B10:D16)+SUM(B19:D33)</f>
        <v>70144619</v>
      </c>
      <c r="E35" s="67">
        <f>SUM(E10:E16)+SUM(E19:E33)</f>
        <v>69433377.859418005</v>
      </c>
      <c r="F35" s="149" t="s">
        <v>106</v>
      </c>
      <c r="G35" s="149"/>
    </row>
    <row r="36" spans="1:7" ht="15.75" customHeight="1" x14ac:dyDescent="0.25"/>
    <row r="37" spans="1:7" x14ac:dyDescent="0.25">
      <c r="E37" s="73">
        <f>E35*1.00072</f>
        <v>69483369.891476795</v>
      </c>
    </row>
  </sheetData>
  <mergeCells count="31">
    <mergeCell ref="B13:D13"/>
    <mergeCell ref="B12:D12"/>
    <mergeCell ref="B3:D3"/>
    <mergeCell ref="B4:D4"/>
    <mergeCell ref="B5:D5"/>
    <mergeCell ref="B6:D6"/>
    <mergeCell ref="B8:D8"/>
    <mergeCell ref="B9:D9"/>
    <mergeCell ref="B10:D10"/>
    <mergeCell ref="B11:D11"/>
    <mergeCell ref="B27:D27"/>
    <mergeCell ref="B25:D25"/>
    <mergeCell ref="B14:D14"/>
    <mergeCell ref="B15:D15"/>
    <mergeCell ref="B16:D16"/>
    <mergeCell ref="B18:D18"/>
    <mergeCell ref="B19:D19"/>
    <mergeCell ref="B20:D20"/>
    <mergeCell ref="B17:D17"/>
    <mergeCell ref="B21:D21"/>
    <mergeCell ref="B22:D22"/>
    <mergeCell ref="B23:D23"/>
    <mergeCell ref="B24:D24"/>
    <mergeCell ref="B26:D26"/>
    <mergeCell ref="F35:G35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orientation="portrait" r:id="rId1"/>
  <ignoredErrors>
    <ignoredError sqref="E11:E15 E26:E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EE2A-796A-4C4D-840A-85275EEA4DDE}">
  <dimension ref="A1:M26"/>
  <sheetViews>
    <sheetView view="pageBreakPreview" zoomScale="60" zoomScaleNormal="100" workbookViewId="0">
      <selection activeCell="C8" sqref="C8"/>
    </sheetView>
  </sheetViews>
  <sheetFormatPr defaultRowHeight="15" x14ac:dyDescent="0.25"/>
  <cols>
    <col min="1" max="1" width="42" style="33" customWidth="1"/>
    <col min="2" max="2" width="13.109375" style="33" customWidth="1"/>
    <col min="3" max="3" width="22.33203125" style="33" bestFit="1" customWidth="1"/>
    <col min="4" max="4" width="16.88671875" style="33" bestFit="1" customWidth="1"/>
    <col min="5" max="5" width="12.109375" style="33" customWidth="1"/>
    <col min="6" max="7" width="10.6640625" style="33" customWidth="1"/>
    <col min="8" max="8" width="12.109375" style="33" bestFit="1" customWidth="1"/>
    <col min="9" max="9" width="12.33203125" style="33" bestFit="1" customWidth="1"/>
    <col min="10" max="11" width="10.6640625" style="33" customWidth="1"/>
    <col min="12" max="12" width="14.88671875" style="33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3" ht="15.75" customHeight="1" x14ac:dyDescent="0.25">
      <c r="B1" s="142" t="s">
        <v>113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13" ht="15.75" x14ac:dyDescent="0.25">
      <c r="A2" s="119" t="s">
        <v>56</v>
      </c>
      <c r="B2" s="65"/>
      <c r="C2" s="31" t="s">
        <v>58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44</v>
      </c>
    </row>
    <row r="3" spans="1:13" ht="15.75" x14ac:dyDescent="0.25">
      <c r="A3" s="120"/>
    </row>
    <row r="4" spans="1:13" x14ac:dyDescent="0.25">
      <c r="A4" s="145" t="s">
        <v>44</v>
      </c>
      <c r="B4" s="145"/>
      <c r="C4" s="68">
        <f>'2023 incremental portion-inputs'!B22</f>
        <v>32876975.254366003</v>
      </c>
      <c r="D4" s="68">
        <f>$C$4*'2023 incremental portion-inputs'!C7</f>
        <v>25683267.227334488</v>
      </c>
      <c r="E4" s="68">
        <f>$C$4*'2023 incremental portion-inputs'!D7</f>
        <v>3142454.8376770229</v>
      </c>
      <c r="F4" s="68">
        <f>$C$4*'2023 incremental portion-inputs'!E7</f>
        <v>1456101.6637403076</v>
      </c>
      <c r="G4" s="68">
        <f>$C$4*'2023 incremental portion-inputs'!F7</f>
        <v>90540.404305567383</v>
      </c>
      <c r="H4" s="68">
        <f>$C$4*'2023 incremental portion-inputs'!G7</f>
        <v>211640.32745269808</v>
      </c>
      <c r="I4" s="68">
        <f>$C$4*'2023 incremental portion-inputs'!H7</f>
        <v>119316.31783279649</v>
      </c>
      <c r="J4" s="68">
        <f>$C$4*'2023 incremental portion-inputs'!I7</f>
        <v>2173654.4760231213</v>
      </c>
      <c r="K4" s="68">
        <f>$C$4*'2023 incremental portion-inputs'!J7</f>
        <v>0</v>
      </c>
      <c r="L4" s="68">
        <f t="shared" ref="L4" si="0">SUM(D4:K4)</f>
        <v>32876975.254366003</v>
      </c>
    </row>
    <row r="6" spans="1:13" x14ac:dyDescent="0.25">
      <c r="A6" s="145" t="s">
        <v>61</v>
      </c>
      <c r="B6" s="145"/>
      <c r="C6" s="36">
        <v>1.0007200000000001</v>
      </c>
      <c r="D6" s="36">
        <v>1.0007200000000001</v>
      </c>
      <c r="E6" s="36">
        <v>1.0007200000000001</v>
      </c>
      <c r="F6" s="36">
        <v>1.0007200000000001</v>
      </c>
      <c r="G6" s="36">
        <v>1.0007200000000001</v>
      </c>
      <c r="H6" s="36">
        <v>1.0007200000000001</v>
      </c>
      <c r="I6" s="36">
        <v>1.0007200000000001</v>
      </c>
      <c r="J6" s="36">
        <v>1.0007200000000001</v>
      </c>
      <c r="K6" s="36">
        <v>1.0007200000000001</v>
      </c>
    </row>
    <row r="8" spans="1:13" x14ac:dyDescent="0.25">
      <c r="A8" s="145" t="s">
        <v>62</v>
      </c>
      <c r="B8" s="145"/>
      <c r="C8" s="68">
        <f>C4*C6</f>
        <v>32900646.676549148</v>
      </c>
      <c r="D8" s="68">
        <f t="shared" ref="D8:K8" si="1">D4*D6</f>
        <v>25701759.179738171</v>
      </c>
      <c r="E8" s="68">
        <f t="shared" si="1"/>
        <v>3144717.4051601505</v>
      </c>
      <c r="F8" s="68">
        <f t="shared" si="1"/>
        <v>1457150.0569382007</v>
      </c>
      <c r="G8" s="68">
        <f t="shared" si="1"/>
        <v>90605.593396667391</v>
      </c>
      <c r="H8" s="68">
        <f t="shared" si="1"/>
        <v>211792.70848846404</v>
      </c>
      <c r="I8" s="68">
        <f t="shared" si="1"/>
        <v>119402.2255816361</v>
      </c>
      <c r="J8" s="68">
        <f t="shared" si="1"/>
        <v>2175219.5072458582</v>
      </c>
      <c r="K8" s="68">
        <f t="shared" si="1"/>
        <v>0</v>
      </c>
      <c r="L8" s="68">
        <f t="shared" ref="L8" si="2">SUM(D8:K8)</f>
        <v>32900646.676549148</v>
      </c>
    </row>
    <row r="10" spans="1:13" x14ac:dyDescent="0.25">
      <c r="A10" s="146" t="s">
        <v>63</v>
      </c>
      <c r="B10" s="147"/>
      <c r="C10" s="148"/>
      <c r="D10" s="70">
        <f>'2021 base portion-inputs'!C25</f>
        <v>9728164.6219999995</v>
      </c>
      <c r="E10" s="70">
        <f>'2021 base portion-inputs'!D25</f>
        <v>953392.38500000001</v>
      </c>
      <c r="F10" s="70">
        <f>'2021 base portion-inputs'!E25</f>
        <v>15876487.529999999</v>
      </c>
      <c r="G10" s="70">
        <f>'2021 base portion-inputs'!F25</f>
        <v>415088.27899999998</v>
      </c>
      <c r="H10" s="70">
        <f>'2021 base portion-inputs'!G25</f>
        <v>2439151.87</v>
      </c>
      <c r="I10" s="70">
        <f>'2021 base portion-inputs'!H25</f>
        <v>2627756.0699999998</v>
      </c>
      <c r="J10" s="70">
        <f>'2021 base portion-inputs'!I25</f>
        <v>110703.23299999999</v>
      </c>
      <c r="K10" s="70">
        <f>'2021 base portion-inputs'!J25</f>
        <v>0</v>
      </c>
    </row>
    <row r="12" spans="1:13" x14ac:dyDescent="0.25">
      <c r="C12" s="45" t="s">
        <v>64</v>
      </c>
      <c r="D12" s="71" t="str">
        <f t="shared" ref="D12:K12" si="3">D2</f>
        <v>RS (Tier 1, Tier 2, RSVP)</v>
      </c>
      <c r="E12" s="71" t="str">
        <f t="shared" si="3"/>
        <v>GS &amp; CS</v>
      </c>
      <c r="F12" s="71" t="str">
        <f t="shared" si="3"/>
        <v>GSD, SBD</v>
      </c>
      <c r="G12" s="71" t="str">
        <f t="shared" si="3"/>
        <v>GSD Optional</v>
      </c>
      <c r="H12" s="71" t="str">
        <f t="shared" si="3"/>
        <v>GSLDPR, SBLDPR</v>
      </c>
      <c r="I12" s="71" t="str">
        <f t="shared" si="3"/>
        <v>GSLDSU, SBLDSU</v>
      </c>
      <c r="J12" s="71" t="str">
        <f t="shared" si="3"/>
        <v>LS1, LS2</v>
      </c>
      <c r="K12" s="71" t="str">
        <f t="shared" si="3"/>
        <v>LTG-FAC</v>
      </c>
    </row>
    <row r="13" spans="1:13" x14ac:dyDescent="0.25">
      <c r="A13" s="147" t="s">
        <v>65</v>
      </c>
      <c r="B13" s="147"/>
      <c r="C13" s="148"/>
      <c r="D13" s="72">
        <f>D8/(D10*1000)</f>
        <v>2.6419946802312831E-3</v>
      </c>
      <c r="E13" s="72">
        <f>E8/(E10*1000)</f>
        <v>3.2984503071735258E-3</v>
      </c>
      <c r="F13" s="72"/>
      <c r="G13" s="72">
        <f>G8/(G10*1000)</f>
        <v>2.1828029838603897E-4</v>
      </c>
      <c r="H13" s="72"/>
      <c r="I13" s="72"/>
      <c r="J13" s="72">
        <f t="shared" ref="J13" si="4">J8/(J10*1000)</f>
        <v>1.9649105525634092E-2</v>
      </c>
      <c r="K13" s="72">
        <v>0</v>
      </c>
    </row>
    <row r="14" spans="1:13" x14ac:dyDescent="0.25">
      <c r="A14" s="143" t="s">
        <v>66</v>
      </c>
      <c r="B14" s="143"/>
      <c r="C14" s="144"/>
      <c r="D14" s="108"/>
      <c r="E14" s="108"/>
      <c r="F14" s="108">
        <f>F8/F10</f>
        <v>9.1780379897303449E-2</v>
      </c>
      <c r="G14" s="108"/>
      <c r="H14" s="108">
        <f>H8/H10</f>
        <v>8.6830472138032147E-2</v>
      </c>
      <c r="I14" s="108">
        <f>I8/I10</f>
        <v>4.54388544449775E-2</v>
      </c>
      <c r="J14" s="108"/>
      <c r="K14" s="110"/>
      <c r="L14" s="109"/>
      <c r="M14" s="109"/>
    </row>
    <row r="15" spans="1:13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5">
      <c r="A16" s="109"/>
      <c r="B16" s="109"/>
      <c r="C16" s="111" t="s">
        <v>67</v>
      </c>
      <c r="D16" s="83" t="str">
        <f t="shared" ref="D16:K17" si="5">D12</f>
        <v>RS (Tier 1, Tier 2, RSVP)</v>
      </c>
      <c r="E16" s="83" t="str">
        <f t="shared" si="5"/>
        <v>GS &amp; CS</v>
      </c>
      <c r="F16" s="83"/>
      <c r="G16" s="83" t="str">
        <f t="shared" si="5"/>
        <v>GSD Optional</v>
      </c>
      <c r="H16" s="83"/>
      <c r="I16" s="83"/>
      <c r="J16" s="83" t="str">
        <f t="shared" si="5"/>
        <v>LS1, LS2</v>
      </c>
      <c r="K16" s="83" t="str">
        <f t="shared" si="5"/>
        <v>LTG-FAC</v>
      </c>
      <c r="L16" s="109"/>
      <c r="M16" s="109"/>
    </row>
    <row r="17" spans="1:13" x14ac:dyDescent="0.25">
      <c r="A17" s="109"/>
      <c r="B17" s="109"/>
      <c r="C17" s="111" t="s">
        <v>68</v>
      </c>
      <c r="D17" s="108">
        <f>D13</f>
        <v>2.6419946802312831E-3</v>
      </c>
      <c r="E17" s="108">
        <f>E13</f>
        <v>3.2984503071735258E-3</v>
      </c>
      <c r="F17" s="110"/>
      <c r="G17" s="108">
        <f>G13</f>
        <v>2.1828029838603897E-4</v>
      </c>
      <c r="H17" s="110"/>
      <c r="I17" s="110"/>
      <c r="J17" s="108">
        <f t="shared" si="5"/>
        <v>1.9649105525634092E-2</v>
      </c>
      <c r="K17" s="108">
        <f t="shared" si="5"/>
        <v>0</v>
      </c>
      <c r="L17" s="109"/>
      <c r="M17" s="109"/>
    </row>
    <row r="18" spans="1:13" x14ac:dyDescent="0.25">
      <c r="A18" s="109"/>
      <c r="B18" s="109"/>
      <c r="C18" s="111" t="s">
        <v>69</v>
      </c>
      <c r="D18" s="110"/>
      <c r="E18" s="110"/>
      <c r="F18" s="110"/>
      <c r="G18" s="108">
        <f>G17*0.99</f>
        <v>2.1609749540217859E-4</v>
      </c>
      <c r="H18" s="110"/>
      <c r="I18" s="110"/>
      <c r="J18" s="110"/>
      <c r="K18" s="110"/>
      <c r="L18" s="109"/>
      <c r="M18" s="109"/>
    </row>
    <row r="19" spans="1:13" x14ac:dyDescent="0.25">
      <c r="A19" s="109"/>
      <c r="B19" s="109"/>
      <c r="C19" s="111" t="s">
        <v>70</v>
      </c>
      <c r="D19" s="110"/>
      <c r="E19" s="110"/>
      <c r="F19" s="110"/>
      <c r="G19" s="108">
        <f>G17*0.98</f>
        <v>2.1391469241831818E-4</v>
      </c>
      <c r="H19" s="110"/>
      <c r="I19" s="110"/>
      <c r="J19" s="110"/>
      <c r="K19" s="110"/>
      <c r="L19" s="109"/>
      <c r="M19" s="109"/>
    </row>
    <row r="20" spans="1:13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25">
      <c r="A21" s="109"/>
      <c r="B21" s="109"/>
      <c r="C21" s="111" t="s">
        <v>71</v>
      </c>
      <c r="D21" s="83"/>
      <c r="E21" s="83"/>
      <c r="F21" s="83" t="str">
        <f>F12</f>
        <v>GSD, SBD</v>
      </c>
      <c r="G21" s="83"/>
      <c r="H21" s="83" t="str">
        <f t="shared" ref="H21:I21" si="6">H12</f>
        <v>GSLDPR, SBLDPR</v>
      </c>
      <c r="I21" s="83" t="str">
        <f t="shared" si="6"/>
        <v>GSLDSU, SBLDSU</v>
      </c>
      <c r="J21" s="83"/>
      <c r="K21" s="83"/>
      <c r="L21" s="109"/>
      <c r="M21" s="109"/>
    </row>
    <row r="22" spans="1:13" x14ac:dyDescent="0.25">
      <c r="A22" s="109"/>
      <c r="B22" s="109"/>
      <c r="C22" s="111" t="s">
        <v>68</v>
      </c>
      <c r="D22" s="108"/>
      <c r="E22" s="108"/>
      <c r="F22" s="108">
        <f>F14</f>
        <v>9.1780379897303449E-2</v>
      </c>
      <c r="G22" s="108"/>
      <c r="H22" s="108"/>
      <c r="I22" s="108"/>
      <c r="J22" s="108"/>
      <c r="K22" s="108"/>
      <c r="L22" s="109"/>
      <c r="M22" s="109"/>
    </row>
    <row r="23" spans="1:13" x14ac:dyDescent="0.25">
      <c r="A23" s="109"/>
      <c r="B23" s="109"/>
      <c r="C23" s="111" t="s">
        <v>69</v>
      </c>
      <c r="D23" s="110"/>
      <c r="E23" s="110"/>
      <c r="F23" s="108">
        <f>F22*0.99</f>
        <v>9.0862576098330414E-2</v>
      </c>
      <c r="G23" s="112"/>
      <c r="H23" s="108">
        <f>H14</f>
        <v>8.6830472138032147E-2</v>
      </c>
      <c r="I23" s="108"/>
      <c r="J23" s="110"/>
      <c r="K23" s="110"/>
      <c r="L23" s="109"/>
      <c r="M23" s="109"/>
    </row>
    <row r="24" spans="1:13" x14ac:dyDescent="0.25">
      <c r="A24" s="109"/>
      <c r="B24" s="109"/>
      <c r="C24" s="111" t="s">
        <v>70</v>
      </c>
      <c r="D24" s="110"/>
      <c r="E24" s="110"/>
      <c r="F24" s="108">
        <f>F22*0.98</f>
        <v>8.9944772299357378E-2</v>
      </c>
      <c r="G24" s="112"/>
      <c r="H24" s="108"/>
      <c r="I24" s="108">
        <f>I14</f>
        <v>4.54388544449775E-2</v>
      </c>
      <c r="J24" s="110"/>
      <c r="K24" s="110"/>
      <c r="L24" s="109"/>
      <c r="M24" s="109"/>
    </row>
    <row r="25" spans="1:13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5">
      <c r="D26" s="73"/>
    </row>
  </sheetData>
  <mergeCells count="7">
    <mergeCell ref="B1:K1"/>
    <mergeCell ref="A14:C14"/>
    <mergeCell ref="A4:B4"/>
    <mergeCell ref="A6:B6"/>
    <mergeCell ref="A8:B8"/>
    <mergeCell ref="A10:C10"/>
    <mergeCell ref="A13:C13"/>
  </mergeCell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3ACC-72D6-45AC-A9A8-E2751E76EF58}">
  <dimension ref="A1:I35"/>
  <sheetViews>
    <sheetView view="pageBreakPreview" zoomScale="60" zoomScaleNormal="100" workbookViewId="0">
      <selection activeCell="A2" sqref="A2"/>
    </sheetView>
  </sheetViews>
  <sheetFormatPr defaultRowHeight="15" x14ac:dyDescent="0.25"/>
  <cols>
    <col min="1" max="1" width="27.109375" style="33" customWidth="1"/>
    <col min="2" max="2" width="25.109375" style="33" bestFit="1" customWidth="1"/>
    <col min="3" max="9" width="19.77734375" style="33" customWidth="1"/>
    <col min="10" max="10" width="10.44140625" style="33" customWidth="1"/>
    <col min="11" max="11" width="8.88671875" style="33"/>
    <col min="12" max="12" width="8.109375" style="33" customWidth="1"/>
    <col min="13" max="13" width="8.6640625" style="33" customWidth="1"/>
    <col min="14" max="14" width="8.21875" style="33" customWidth="1"/>
    <col min="15" max="15" width="8.88671875" style="33"/>
    <col min="16" max="16" width="7.77734375" style="33" customWidth="1"/>
    <col min="17" max="17" width="8.6640625" style="33" customWidth="1"/>
    <col min="18" max="16384" width="8.88671875" style="33"/>
  </cols>
  <sheetData>
    <row r="1" spans="1:9" ht="15.75" customHeight="1" x14ac:dyDescent="0.25">
      <c r="A1" s="142" t="s">
        <v>117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25">
      <c r="A2" s="31"/>
      <c r="B2" s="34" t="str">
        <f>'2021 base portion-inputs'!C3</f>
        <v>RS (Tier 1, Tier 2, RSVP)</v>
      </c>
      <c r="C2" s="34" t="str">
        <f>'2021 base portion-inputs'!D3</f>
        <v>GS &amp; CS</v>
      </c>
      <c r="D2" s="34" t="str">
        <f>'2021 base portion-inputs'!E3</f>
        <v>GSD, SBD</v>
      </c>
      <c r="E2" s="34" t="str">
        <f>'2021 base portion-inputs'!F3</f>
        <v>GSD Optional</v>
      </c>
      <c r="F2" s="34" t="str">
        <f>'2021 base portion-inputs'!G3</f>
        <v>GSLDPR, SBLDPR</v>
      </c>
      <c r="G2" s="34" t="str">
        <f>'2021 base portion-inputs'!H3</f>
        <v>GSLDSU, SBLDSU</v>
      </c>
      <c r="H2" s="34" t="str">
        <f>'2021 base portion-inputs'!I3</f>
        <v>LS1, LS2</v>
      </c>
      <c r="I2" s="34" t="str">
        <f>'2021 base portion-inputs'!J3</f>
        <v>LTG-FAC</v>
      </c>
    </row>
    <row r="4" spans="1:9" x14ac:dyDescent="0.25">
      <c r="A4" s="82" t="s">
        <v>77</v>
      </c>
    </row>
    <row r="5" spans="1:9" x14ac:dyDescent="0.25">
      <c r="A5" s="45" t="s">
        <v>67</v>
      </c>
      <c r="B5" s="83" t="s">
        <v>22</v>
      </c>
      <c r="C5" s="83" t="s">
        <v>23</v>
      </c>
      <c r="D5" s="83"/>
      <c r="E5" s="83" t="s">
        <v>25</v>
      </c>
      <c r="F5" s="83"/>
      <c r="G5" s="83"/>
      <c r="H5" s="83" t="s">
        <v>28</v>
      </c>
      <c r="I5" s="83" t="s">
        <v>29</v>
      </c>
    </row>
    <row r="6" spans="1:9" x14ac:dyDescent="0.25">
      <c r="A6" s="45" t="s">
        <v>68</v>
      </c>
      <c r="B6" s="84">
        <f>'P-1sa'!D40</f>
        <v>2.3500010656646864E-3</v>
      </c>
      <c r="C6" s="84">
        <f>'P-1sa'!E40</f>
        <v>1.8776148890236009E-3</v>
      </c>
      <c r="D6" s="84"/>
      <c r="E6" s="84">
        <f>'P-1sa'!G40</f>
        <v>1.4522688275412281E-3</v>
      </c>
      <c r="F6" s="84"/>
      <c r="G6" s="84"/>
      <c r="H6" s="84">
        <f>'P-1sa'!J40</f>
        <v>1.7944603946186308E-3</v>
      </c>
      <c r="I6" s="84">
        <f>'P-1sa'!K40</f>
        <v>0</v>
      </c>
    </row>
    <row r="7" spans="1:9" x14ac:dyDescent="0.25">
      <c r="A7" s="45" t="s">
        <v>69</v>
      </c>
      <c r="B7" s="84"/>
      <c r="C7" s="84"/>
      <c r="D7" s="84"/>
      <c r="E7" s="84">
        <f>'P-1sa'!G41</f>
        <v>1.4377461392658158E-3</v>
      </c>
      <c r="F7" s="84"/>
      <c r="G7" s="84"/>
      <c r="H7" s="84"/>
      <c r="I7" s="84"/>
    </row>
    <row r="8" spans="1:9" x14ac:dyDescent="0.25">
      <c r="A8" s="45" t="s">
        <v>70</v>
      </c>
      <c r="B8" s="84"/>
      <c r="C8" s="84"/>
      <c r="D8" s="84"/>
      <c r="E8" s="84">
        <f>'P-1sa'!G42</f>
        <v>1.4232234509904036E-3</v>
      </c>
      <c r="F8" s="84"/>
      <c r="G8" s="84"/>
      <c r="H8" s="84"/>
      <c r="I8" s="84"/>
    </row>
    <row r="9" spans="1:9" x14ac:dyDescent="0.25">
      <c r="B9" s="85"/>
      <c r="C9" s="85"/>
      <c r="D9" s="85"/>
      <c r="E9" s="85"/>
      <c r="F9" s="85"/>
      <c r="G9" s="85"/>
      <c r="H9" s="85"/>
      <c r="I9" s="85"/>
    </row>
    <row r="10" spans="1:9" x14ac:dyDescent="0.25">
      <c r="A10" s="45" t="s">
        <v>71</v>
      </c>
      <c r="B10" s="84"/>
      <c r="C10" s="84"/>
      <c r="D10" s="84" t="s">
        <v>24</v>
      </c>
      <c r="E10" s="84"/>
      <c r="F10" s="84" t="s">
        <v>26</v>
      </c>
      <c r="G10" s="84" t="s">
        <v>27</v>
      </c>
      <c r="H10" s="84"/>
      <c r="I10" s="84"/>
    </row>
    <row r="11" spans="1:9" x14ac:dyDescent="0.25">
      <c r="A11" s="45" t="s">
        <v>68</v>
      </c>
      <c r="B11" s="86"/>
      <c r="C11" s="86"/>
      <c r="D11" s="84">
        <f>'P-1sa'!F45</f>
        <v>0.61063589197141421</v>
      </c>
      <c r="E11" s="86"/>
      <c r="F11" s="86"/>
      <c r="G11" s="86"/>
      <c r="H11" s="86"/>
      <c r="I11" s="86"/>
    </row>
    <row r="12" spans="1:9" x14ac:dyDescent="0.25">
      <c r="A12" s="45" t="s">
        <v>69</v>
      </c>
      <c r="B12" s="86"/>
      <c r="C12" s="86"/>
      <c r="D12" s="84">
        <f>'P-1sa'!F46</f>
        <v>0.6045295330517001</v>
      </c>
      <c r="E12" s="86"/>
      <c r="F12" s="84">
        <f>'P-1sa'!H46</f>
        <v>0.54132390898594185</v>
      </c>
      <c r="G12" s="86"/>
      <c r="H12" s="86"/>
      <c r="I12" s="86"/>
    </row>
    <row r="13" spans="1:9" x14ac:dyDescent="0.25">
      <c r="A13" s="45" t="s">
        <v>70</v>
      </c>
      <c r="B13" s="86"/>
      <c r="C13" s="86"/>
      <c r="D13" s="84">
        <f>'P-1sa'!F47</f>
        <v>0.59842317413198587</v>
      </c>
      <c r="E13" s="86"/>
      <c r="F13" s="86"/>
      <c r="G13" s="84">
        <f>'P-1sa'!I47</f>
        <v>4.3697193145819817E-2</v>
      </c>
      <c r="H13" s="86"/>
      <c r="I13" s="86"/>
    </row>
    <row r="15" spans="1:9" x14ac:dyDescent="0.25">
      <c r="A15" s="82" t="s">
        <v>75</v>
      </c>
    </row>
    <row r="16" spans="1:9" x14ac:dyDescent="0.25">
      <c r="A16" s="45" t="s">
        <v>67</v>
      </c>
      <c r="B16" s="83" t="s">
        <v>22</v>
      </c>
      <c r="C16" s="83" t="s">
        <v>23</v>
      </c>
      <c r="D16" s="83"/>
      <c r="E16" s="83" t="s">
        <v>25</v>
      </c>
      <c r="F16" s="83"/>
      <c r="G16" s="83"/>
      <c r="H16" s="83" t="s">
        <v>28</v>
      </c>
      <c r="I16" s="83" t="s">
        <v>29</v>
      </c>
    </row>
    <row r="17" spans="1:9" x14ac:dyDescent="0.25">
      <c r="A17" s="45" t="s">
        <v>68</v>
      </c>
      <c r="B17" s="84">
        <f>'P-1sb'!D17</f>
        <v>2.6419946802312831E-3</v>
      </c>
      <c r="C17" s="84">
        <f>'P-1sb'!E17</f>
        <v>3.2984503071735258E-3</v>
      </c>
      <c r="D17" s="84"/>
      <c r="E17" s="84">
        <f>'P-1sb'!G17</f>
        <v>2.1828029838603897E-4</v>
      </c>
      <c r="F17" s="84"/>
      <c r="G17" s="84"/>
      <c r="H17" s="84">
        <f>'P-1sb'!J17</f>
        <v>1.9649105525634092E-2</v>
      </c>
      <c r="I17" s="84">
        <f>'P-1sb'!K17</f>
        <v>0</v>
      </c>
    </row>
    <row r="18" spans="1:9" x14ac:dyDescent="0.25">
      <c r="A18" s="45" t="s">
        <v>69</v>
      </c>
      <c r="B18" s="84"/>
      <c r="C18" s="84"/>
      <c r="D18" s="84"/>
      <c r="E18" s="84">
        <f>'P-1sb'!G18</f>
        <v>2.1609749540217859E-4</v>
      </c>
      <c r="F18" s="84"/>
      <c r="G18" s="84"/>
      <c r="H18" s="84"/>
      <c r="I18" s="84"/>
    </row>
    <row r="19" spans="1:9" x14ac:dyDescent="0.25">
      <c r="A19" s="45" t="s">
        <v>70</v>
      </c>
      <c r="B19" s="84"/>
      <c r="C19" s="84"/>
      <c r="D19" s="84"/>
      <c r="E19" s="84">
        <f>'P-1sb'!G19</f>
        <v>2.1391469241831818E-4</v>
      </c>
      <c r="F19" s="84"/>
      <c r="G19" s="84"/>
      <c r="H19" s="84"/>
      <c r="I19" s="84"/>
    </row>
    <row r="20" spans="1:9" x14ac:dyDescent="0.25">
      <c r="B20" s="85"/>
      <c r="C20" s="85"/>
      <c r="D20" s="85"/>
      <c r="E20" s="85"/>
      <c r="F20" s="85"/>
      <c r="G20" s="85"/>
      <c r="H20" s="85"/>
      <c r="I20" s="85"/>
    </row>
    <row r="21" spans="1:9" x14ac:dyDescent="0.25">
      <c r="A21" s="45" t="s">
        <v>71</v>
      </c>
      <c r="B21" s="84"/>
      <c r="C21" s="84"/>
      <c r="D21" s="84" t="s">
        <v>24</v>
      </c>
      <c r="E21" s="84"/>
      <c r="F21" s="84" t="s">
        <v>26</v>
      </c>
      <c r="G21" s="84" t="s">
        <v>27</v>
      </c>
      <c r="H21" s="84"/>
      <c r="I21" s="84"/>
    </row>
    <row r="22" spans="1:9" x14ac:dyDescent="0.25">
      <c r="A22" s="45" t="s">
        <v>68</v>
      </c>
      <c r="B22" s="86"/>
      <c r="C22" s="86"/>
      <c r="D22" s="84">
        <f>'P-1sb'!F22</f>
        <v>9.1780379897303449E-2</v>
      </c>
      <c r="E22" s="86"/>
      <c r="F22" s="86"/>
      <c r="G22" s="86"/>
      <c r="H22" s="86"/>
      <c r="I22" s="86"/>
    </row>
    <row r="23" spans="1:9" x14ac:dyDescent="0.25">
      <c r="A23" s="45" t="s">
        <v>69</v>
      </c>
      <c r="B23" s="86"/>
      <c r="C23" s="86"/>
      <c r="D23" s="84">
        <f>'P-1sb'!F23</f>
        <v>9.0862576098330414E-2</v>
      </c>
      <c r="E23" s="86"/>
      <c r="F23" s="84">
        <f>'P-1sb'!H23</f>
        <v>8.6830472138032147E-2</v>
      </c>
      <c r="G23" s="86"/>
      <c r="H23" s="86"/>
      <c r="I23" s="86"/>
    </row>
    <row r="24" spans="1:9" x14ac:dyDescent="0.25">
      <c r="A24" s="45" t="s">
        <v>70</v>
      </c>
      <c r="B24" s="86"/>
      <c r="C24" s="86"/>
      <c r="D24" s="84">
        <f>'P-1sb'!F24</f>
        <v>8.9944772299357378E-2</v>
      </c>
      <c r="E24" s="86"/>
      <c r="F24" s="86"/>
      <c r="G24" s="84">
        <f>'P-1sb'!I24</f>
        <v>4.54388544449775E-2</v>
      </c>
      <c r="H24" s="86"/>
      <c r="I24" s="86"/>
    </row>
    <row r="26" spans="1:9" x14ac:dyDescent="0.25">
      <c r="A26" s="82" t="s">
        <v>79</v>
      </c>
    </row>
    <row r="27" spans="1:9" x14ac:dyDescent="0.25">
      <c r="A27" s="45" t="s">
        <v>67</v>
      </c>
      <c r="B27" s="83" t="s">
        <v>22</v>
      </c>
      <c r="C27" s="83" t="s">
        <v>23</v>
      </c>
      <c r="D27" s="83"/>
      <c r="E27" s="83" t="s">
        <v>25</v>
      </c>
      <c r="F27" s="83"/>
      <c r="G27" s="83"/>
      <c r="H27" s="83" t="s">
        <v>28</v>
      </c>
      <c r="I27" s="83" t="s">
        <v>29</v>
      </c>
    </row>
    <row r="28" spans="1:9" x14ac:dyDescent="0.25">
      <c r="A28" s="45" t="s">
        <v>68</v>
      </c>
      <c r="B28" s="84">
        <f>B6+B17</f>
        <v>4.9919957458959691E-3</v>
      </c>
      <c r="C28" s="84">
        <f t="shared" ref="C28:I28" si="0">C6+C17</f>
        <v>5.1760651961971268E-3</v>
      </c>
      <c r="D28" s="84"/>
      <c r="E28" s="84">
        <f t="shared" si="0"/>
        <v>1.670549125927267E-3</v>
      </c>
      <c r="F28" s="84"/>
      <c r="G28" s="84"/>
      <c r="H28" s="84">
        <f t="shared" si="0"/>
        <v>2.1443565920252722E-2</v>
      </c>
      <c r="I28" s="84">
        <f t="shared" si="0"/>
        <v>0</v>
      </c>
    </row>
    <row r="29" spans="1:9" x14ac:dyDescent="0.25">
      <c r="A29" s="45" t="s">
        <v>69</v>
      </c>
      <c r="B29" s="84"/>
      <c r="C29" s="84"/>
      <c r="D29" s="84"/>
      <c r="E29" s="84">
        <f t="shared" ref="E29" si="1">E7+E18</f>
        <v>1.6538436346679945E-3</v>
      </c>
      <c r="F29" s="84"/>
      <c r="G29" s="84"/>
      <c r="H29" s="84"/>
      <c r="I29" s="84"/>
    </row>
    <row r="30" spans="1:9" x14ac:dyDescent="0.25">
      <c r="A30" s="45" t="s">
        <v>70</v>
      </c>
      <c r="B30" s="84"/>
      <c r="C30" s="84"/>
      <c r="D30" s="84"/>
      <c r="E30" s="84">
        <f t="shared" ref="E30" si="2">E8+E19</f>
        <v>1.6371381434087218E-3</v>
      </c>
      <c r="F30" s="84"/>
      <c r="G30" s="84"/>
      <c r="H30" s="84"/>
      <c r="I30" s="84"/>
    </row>
    <row r="31" spans="1:9" x14ac:dyDescent="0.25">
      <c r="B31" s="85"/>
      <c r="C31" s="85"/>
      <c r="D31" s="85"/>
      <c r="E31" s="85"/>
      <c r="F31" s="85"/>
      <c r="G31" s="85"/>
      <c r="H31" s="85"/>
      <c r="I31" s="85"/>
    </row>
    <row r="32" spans="1:9" x14ac:dyDescent="0.25">
      <c r="A32" s="45" t="s">
        <v>71</v>
      </c>
      <c r="B32" s="84"/>
      <c r="C32" s="84"/>
      <c r="D32" s="84" t="s">
        <v>24</v>
      </c>
      <c r="E32" s="84"/>
      <c r="F32" s="84" t="s">
        <v>26</v>
      </c>
      <c r="G32" s="84" t="s">
        <v>27</v>
      </c>
      <c r="H32" s="84"/>
      <c r="I32" s="84"/>
    </row>
    <row r="33" spans="1:9" x14ac:dyDescent="0.25">
      <c r="A33" s="45" t="s">
        <v>68</v>
      </c>
      <c r="B33" s="86"/>
      <c r="C33" s="86"/>
      <c r="D33" s="84">
        <f t="shared" ref="D33" si="3">D11+D22</f>
        <v>0.70241627186871769</v>
      </c>
      <c r="E33" s="86"/>
      <c r="F33" s="86"/>
      <c r="G33" s="86"/>
      <c r="H33" s="86"/>
      <c r="I33" s="86"/>
    </row>
    <row r="34" spans="1:9" x14ac:dyDescent="0.25">
      <c r="A34" s="45" t="s">
        <v>69</v>
      </c>
      <c r="B34" s="86"/>
      <c r="C34" s="86"/>
      <c r="D34" s="84">
        <f t="shared" ref="D34" si="4">D12+D23</f>
        <v>0.69539210915003047</v>
      </c>
      <c r="E34" s="86"/>
      <c r="F34" s="84">
        <f t="shared" ref="F34" si="5">F12+F23</f>
        <v>0.62815438112397404</v>
      </c>
      <c r="G34" s="86"/>
      <c r="H34" s="86"/>
      <c r="I34" s="86"/>
    </row>
    <row r="35" spans="1:9" x14ac:dyDescent="0.25">
      <c r="A35" s="45" t="s">
        <v>70</v>
      </c>
      <c r="B35" s="86"/>
      <c r="C35" s="86"/>
      <c r="D35" s="84">
        <f t="shared" ref="D35" si="6">D13+D24</f>
        <v>0.68836794643134325</v>
      </c>
      <c r="E35" s="86"/>
      <c r="F35" s="86"/>
      <c r="G35" s="84">
        <f t="shared" ref="G35" si="7">G13+G24</f>
        <v>8.9136047590797324E-2</v>
      </c>
      <c r="H35" s="86"/>
      <c r="I35" s="86"/>
    </row>
  </sheetData>
  <mergeCells count="1">
    <mergeCell ref="A1:I1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79AE-C163-49EB-9549-CF3A627B18DE}">
  <sheetPr transitionEvaluation="1" transitionEntry="1">
    <pageSetUpPr fitToPage="1"/>
  </sheetPr>
  <dimension ref="A1:Q39"/>
  <sheetViews>
    <sheetView tabSelected="1" defaultGridColor="0" view="pageBreakPreview" colorId="22" zoomScaleNormal="80" zoomScaleSheetLayoutView="100" workbookViewId="0">
      <selection activeCell="A7" sqref="A7"/>
    </sheetView>
  </sheetViews>
  <sheetFormatPr defaultColWidth="10.21875" defaultRowHeight="15" x14ac:dyDescent="0.2"/>
  <cols>
    <col min="1" max="1" width="4.33203125" style="4" bestFit="1" customWidth="1"/>
    <col min="2" max="2" width="3.6640625" style="4" customWidth="1"/>
    <col min="3" max="3" width="17.6640625" style="4" customWidth="1"/>
    <col min="4" max="4" width="21.44140625" style="4" customWidth="1"/>
    <col min="5" max="5" width="18.5546875" style="4" customWidth="1"/>
    <col min="6" max="6" width="13.6640625" style="4" customWidth="1"/>
    <col min="7" max="7" width="1.6640625" style="4" customWidth="1"/>
    <col min="8" max="8" width="13.6640625" style="4" customWidth="1"/>
    <col min="9" max="9" width="7.33203125" style="4" customWidth="1"/>
    <col min="10" max="10" width="17.5546875" style="2" customWidth="1"/>
    <col min="11" max="11" width="3.77734375" style="4" customWidth="1"/>
    <col min="12" max="12" width="15.77734375" style="4" bestFit="1" customWidth="1"/>
    <col min="13" max="16384" width="10.21875" style="4"/>
  </cols>
  <sheetData>
    <row r="1" spans="1:17" s="2" customFormat="1" ht="15.75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" t="s">
        <v>19</v>
      </c>
    </row>
    <row r="2" spans="1:17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3" t="s">
        <v>2</v>
      </c>
    </row>
    <row r="3" spans="1:17" x14ac:dyDescent="0.2">
      <c r="A3" s="158" t="s">
        <v>12</v>
      </c>
      <c r="B3" s="158"/>
      <c r="C3" s="158"/>
      <c r="D3" s="158"/>
      <c r="E3" s="158"/>
      <c r="F3" s="158"/>
      <c r="G3" s="158"/>
      <c r="H3" s="158"/>
      <c r="I3" s="158"/>
    </row>
    <row r="4" spans="1:17" x14ac:dyDescent="0.2">
      <c r="A4" s="158" t="s">
        <v>13</v>
      </c>
      <c r="B4" s="158"/>
      <c r="C4" s="158"/>
      <c r="D4" s="158"/>
      <c r="E4" s="158"/>
      <c r="F4" s="158"/>
      <c r="G4" s="158"/>
      <c r="H4" s="158"/>
      <c r="I4" s="158"/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7" ht="15.75" x14ac:dyDescent="0.25">
      <c r="A6" s="159" t="s">
        <v>118</v>
      </c>
      <c r="B6" s="159"/>
      <c r="C6" s="159"/>
      <c r="D6" s="159"/>
      <c r="E6" s="159"/>
      <c r="F6" s="159"/>
      <c r="G6" s="159"/>
      <c r="H6" s="159"/>
      <c r="I6" s="159"/>
    </row>
    <row r="7" spans="1:17" ht="15.75" x14ac:dyDescent="0.25">
      <c r="A7" s="5"/>
      <c r="B7" s="5"/>
      <c r="C7" s="5"/>
      <c r="D7" s="5"/>
      <c r="E7" s="5"/>
      <c r="F7" s="5"/>
      <c r="G7" s="5"/>
      <c r="H7" s="5"/>
      <c r="I7" s="5"/>
    </row>
    <row r="8" spans="1:17" ht="15.75" x14ac:dyDescent="0.25">
      <c r="A8" s="159" t="s">
        <v>109</v>
      </c>
      <c r="B8" s="159"/>
      <c r="C8" s="159"/>
      <c r="D8" s="159"/>
      <c r="E8" s="159"/>
      <c r="F8" s="159"/>
      <c r="G8" s="159"/>
      <c r="H8" s="159"/>
      <c r="I8" s="159"/>
    </row>
    <row r="9" spans="1:17" x14ac:dyDescent="0.2">
      <c r="A9" s="6" t="s">
        <v>3</v>
      </c>
      <c r="B9" s="6"/>
      <c r="C9" s="6"/>
      <c r="D9" s="6"/>
      <c r="E9" s="6"/>
      <c r="F9" s="6"/>
      <c r="G9" s="6"/>
      <c r="H9" s="6"/>
      <c r="I9" s="6"/>
    </row>
    <row r="10" spans="1:17" ht="15.75" x14ac:dyDescent="0.25">
      <c r="A10" s="7"/>
      <c r="B10" s="7"/>
      <c r="C10" s="6"/>
      <c r="D10" s="6"/>
      <c r="E10" s="6"/>
      <c r="F10" s="6"/>
      <c r="G10" s="6"/>
      <c r="H10" s="6"/>
      <c r="I10" s="6"/>
    </row>
    <row r="11" spans="1:17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17" ht="16.5" customHeight="1" x14ac:dyDescent="0.2">
      <c r="J12" s="8" t="s">
        <v>4</v>
      </c>
    </row>
    <row r="13" spans="1:17" ht="15.75" thickBot="1" x14ac:dyDescent="0.25">
      <c r="A13" s="9" t="s">
        <v>5</v>
      </c>
      <c r="B13" s="10"/>
      <c r="C13" s="11"/>
      <c r="D13" s="11"/>
      <c r="E13" s="11"/>
      <c r="F13" s="11"/>
      <c r="G13" s="11"/>
      <c r="H13" s="11"/>
      <c r="I13" s="11"/>
      <c r="J13" s="12" t="s">
        <v>6</v>
      </c>
    </row>
    <row r="14" spans="1:17" x14ac:dyDescent="0.2">
      <c r="K14" s="13"/>
      <c r="L14" s="13"/>
      <c r="M14" s="13"/>
      <c r="N14" s="13"/>
      <c r="O14" s="13"/>
      <c r="P14" s="13"/>
      <c r="Q14" s="13"/>
    </row>
    <row r="15" spans="1:17" ht="15.75" x14ac:dyDescent="0.25">
      <c r="B15" s="155"/>
      <c r="C15" s="155"/>
      <c r="D15" s="155"/>
      <c r="E15" s="30"/>
      <c r="J15" s="14"/>
      <c r="K15" s="13"/>
      <c r="L15" s="13"/>
      <c r="M15" s="13"/>
      <c r="N15" s="13"/>
      <c r="O15" s="13"/>
      <c r="P15" s="13"/>
      <c r="Q15" s="13"/>
    </row>
    <row r="16" spans="1:17" x14ac:dyDescent="0.2">
      <c r="A16" s="15" t="s">
        <v>7</v>
      </c>
      <c r="B16" s="16" t="s">
        <v>97</v>
      </c>
      <c r="D16" s="16"/>
      <c r="J16" s="17">
        <f>SUM('P-1sa'!C12:C24)</f>
        <v>28819754.803939</v>
      </c>
    </row>
    <row r="17" spans="1:10" x14ac:dyDescent="0.2">
      <c r="A17" s="11"/>
      <c r="B17" s="11"/>
      <c r="C17" s="18"/>
      <c r="D17" s="16"/>
      <c r="G17" s="11"/>
      <c r="H17" s="11"/>
      <c r="I17" s="11"/>
      <c r="J17" s="14"/>
    </row>
    <row r="18" spans="1:10" x14ac:dyDescent="0.2">
      <c r="A18" s="19" t="s">
        <v>8</v>
      </c>
      <c r="B18" s="11" t="s">
        <v>98</v>
      </c>
      <c r="J18" s="26">
        <f>SUM('P-1sa'!C4:C9)</f>
        <v>7736647.8011130001</v>
      </c>
    </row>
    <row r="19" spans="1:10" ht="15.75" x14ac:dyDescent="0.25">
      <c r="A19" s="11"/>
      <c r="B19" s="11"/>
      <c r="C19" s="20"/>
      <c r="J19" s="27"/>
    </row>
    <row r="20" spans="1:10" ht="16.5" thickBot="1" x14ac:dyDescent="0.3">
      <c r="A20" s="19" t="s">
        <v>9</v>
      </c>
      <c r="B20" s="11" t="s">
        <v>99</v>
      </c>
      <c r="C20" s="20"/>
      <c r="J20" s="28">
        <f>J16+J18</f>
        <v>36556402.605052002</v>
      </c>
    </row>
    <row r="21" spans="1:10" ht="15.75" x14ac:dyDescent="0.25">
      <c r="A21" s="19"/>
      <c r="B21" s="11"/>
      <c r="C21" s="20"/>
      <c r="J21" s="27"/>
    </row>
    <row r="22" spans="1:10" ht="15.75" customHeight="1" x14ac:dyDescent="0.25">
      <c r="A22" s="11"/>
      <c r="B22" s="156"/>
      <c r="C22" s="156"/>
      <c r="D22" s="156"/>
      <c r="J22" s="27"/>
    </row>
    <row r="23" spans="1:10" x14ac:dyDescent="0.2">
      <c r="A23" s="19" t="s">
        <v>10</v>
      </c>
      <c r="B23" s="16" t="s">
        <v>110</v>
      </c>
      <c r="D23" s="16"/>
      <c r="J23" s="121">
        <f>SUM('2023 Rev Requirement-inputs'!E19:E33)</f>
        <v>33637686.087041996</v>
      </c>
    </row>
    <row r="24" spans="1:10" x14ac:dyDescent="0.2">
      <c r="A24" s="11"/>
      <c r="B24" s="11"/>
      <c r="C24" s="18"/>
      <c r="D24" s="16"/>
      <c r="J24" s="14"/>
    </row>
    <row r="25" spans="1:10" x14ac:dyDescent="0.2">
      <c r="A25" s="19" t="s">
        <v>11</v>
      </c>
      <c r="B25" s="11" t="s">
        <v>111</v>
      </c>
      <c r="J25" s="122">
        <f>SUM('2023 Rev Requirement-inputs'!E10:E16)</f>
        <v>35795691.772376001</v>
      </c>
    </row>
    <row r="26" spans="1:10" ht="15.75" x14ac:dyDescent="0.25">
      <c r="A26" s="11"/>
      <c r="B26" s="11"/>
      <c r="C26" s="20"/>
      <c r="J26" s="27"/>
    </row>
    <row r="27" spans="1:10" ht="16.5" thickBot="1" x14ac:dyDescent="0.3">
      <c r="A27" s="19" t="s">
        <v>14</v>
      </c>
      <c r="B27" s="11" t="s">
        <v>112</v>
      </c>
      <c r="C27" s="20"/>
      <c r="J27" s="28">
        <f>J23+J25</f>
        <v>69433377.859418005</v>
      </c>
    </row>
    <row r="28" spans="1:10" ht="15.75" x14ac:dyDescent="0.25">
      <c r="A28" s="11"/>
      <c r="B28" s="11"/>
      <c r="C28" s="20"/>
      <c r="J28" s="21"/>
    </row>
    <row r="29" spans="1:10" ht="15.75" x14ac:dyDescent="0.25">
      <c r="A29" s="11"/>
      <c r="B29" s="11"/>
      <c r="C29" s="20"/>
      <c r="J29" s="21"/>
    </row>
    <row r="30" spans="1:10" ht="15.75" thickBot="1" x14ac:dyDescent="0.25">
      <c r="A30" s="19" t="s">
        <v>15</v>
      </c>
      <c r="B30" s="16" t="s">
        <v>100</v>
      </c>
      <c r="J30" s="29">
        <f>J27-J20</f>
        <v>32876975.254366003</v>
      </c>
    </row>
    <row r="31" spans="1:10" x14ac:dyDescent="0.2">
      <c r="C31" s="18" t="s">
        <v>16</v>
      </c>
      <c r="J31" s="4"/>
    </row>
    <row r="32" spans="1:10" x14ac:dyDescent="0.2">
      <c r="C32" s="18"/>
      <c r="J32" s="4"/>
    </row>
    <row r="33" spans="1:12" x14ac:dyDescent="0.2">
      <c r="J33" s="14"/>
    </row>
    <row r="34" spans="1:12" ht="15.75" thickBot="1" x14ac:dyDescent="0.25">
      <c r="A34" s="19" t="s">
        <v>17</v>
      </c>
      <c r="B34" s="127" t="s">
        <v>101</v>
      </c>
      <c r="C34" s="127"/>
      <c r="D34" s="127"/>
      <c r="E34" s="127"/>
      <c r="F34" s="127"/>
      <c r="G34" s="127"/>
      <c r="H34" s="127"/>
      <c r="J34" s="23">
        <f>J20</f>
        <v>36556402.605052002</v>
      </c>
    </row>
    <row r="35" spans="1:12" x14ac:dyDescent="0.2">
      <c r="C35" s="22"/>
    </row>
    <row r="36" spans="1:12" ht="15.75" thickBot="1" x14ac:dyDescent="0.25">
      <c r="A36" s="19" t="s">
        <v>18</v>
      </c>
      <c r="B36" s="4" t="s">
        <v>102</v>
      </c>
      <c r="C36" s="22"/>
      <c r="J36" s="23">
        <f>0</f>
        <v>0</v>
      </c>
    </row>
    <row r="37" spans="1:12" x14ac:dyDescent="0.2">
      <c r="C37" s="22"/>
    </row>
    <row r="38" spans="1:12" ht="15.75" thickBot="1" x14ac:dyDescent="0.25">
      <c r="A38" s="19" t="s">
        <v>74</v>
      </c>
      <c r="B38" s="128" t="s">
        <v>116</v>
      </c>
      <c r="C38" s="128"/>
      <c r="D38" s="128"/>
      <c r="E38" s="128"/>
      <c r="F38" s="128"/>
      <c r="G38" s="128"/>
      <c r="H38" s="128"/>
      <c r="J38" s="23">
        <f>J30-J36</f>
        <v>32876975.254366003</v>
      </c>
      <c r="L38" s="24"/>
    </row>
    <row r="39" spans="1:12" x14ac:dyDescent="0.2">
      <c r="A39" s="19"/>
      <c r="C39" s="75" t="s">
        <v>78</v>
      </c>
    </row>
  </sheetData>
  <mergeCells count="8">
    <mergeCell ref="B15:D15"/>
    <mergeCell ref="B22:D22"/>
    <mergeCell ref="A1:I1"/>
    <mergeCell ref="A2:I2"/>
    <mergeCell ref="A3:I3"/>
    <mergeCell ref="A6:I6"/>
    <mergeCell ref="A8:I8"/>
    <mergeCell ref="A4:I4"/>
  </mergeCells>
  <printOptions horizontalCentered="1"/>
  <pageMargins left="0.75" right="0.75" top="1" bottom="0.75" header="0.5" footer="0.5"/>
  <pageSetup scale="71" orientation="landscape" r:id="rId1"/>
  <headerFooter alignWithMargins="0">
    <oddFooter>&amp;L&amp;Z&amp;F&amp;RVersion : 7.20.20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E36B-3B8F-4454-AD30-BB23B9BD45F7}">
  <dimension ref="A1:M25"/>
  <sheetViews>
    <sheetView workbookViewId="0">
      <selection activeCell="B22" sqref="B22"/>
    </sheetView>
  </sheetViews>
  <sheetFormatPr defaultRowHeight="15" x14ac:dyDescent="0.25"/>
  <cols>
    <col min="1" max="1" width="49.88671875" style="33" bestFit="1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20</v>
      </c>
      <c r="B1" s="32">
        <v>2023</v>
      </c>
    </row>
    <row r="3" spans="1:13" x14ac:dyDescent="0.25">
      <c r="A3" s="138" t="s">
        <v>21</v>
      </c>
      <c r="B3" s="139"/>
      <c r="C3" s="34" t="s">
        <v>22</v>
      </c>
      <c r="D3" s="34" t="s">
        <v>23</v>
      </c>
      <c r="E3" s="34" t="s">
        <v>24</v>
      </c>
      <c r="F3" s="34" t="s">
        <v>25</v>
      </c>
      <c r="G3" s="34" t="s">
        <v>26</v>
      </c>
      <c r="H3" s="34" t="s">
        <v>27</v>
      </c>
      <c r="I3" s="34" t="s">
        <v>28</v>
      </c>
      <c r="J3" s="34" t="s">
        <v>29</v>
      </c>
    </row>
    <row r="4" spans="1:13" x14ac:dyDescent="0.25">
      <c r="A4" s="35" t="s">
        <v>73</v>
      </c>
      <c r="B4" s="36"/>
      <c r="C4" s="37">
        <v>0.7811931307130755</v>
      </c>
      <c r="D4" s="37">
        <v>9.5582236910912624E-2</v>
      </c>
      <c r="E4" s="37">
        <v>4.7043320015897255E-2</v>
      </c>
      <c r="F4" s="38">
        <f>E4*B14/(B13+B14)</f>
        <v>2.753915273685154E-3</v>
      </c>
      <c r="G4" s="39">
        <v>6.4373418118685551E-3</v>
      </c>
      <c r="H4" s="40">
        <v>3.6291756437341811E-3</v>
      </c>
      <c r="I4" s="39">
        <v>6.61147949045119E-2</v>
      </c>
      <c r="J4" s="40">
        <v>0</v>
      </c>
    </row>
    <row r="5" spans="1:13" x14ac:dyDescent="0.25">
      <c r="A5" s="31"/>
      <c r="C5" s="41"/>
      <c r="D5" s="41"/>
      <c r="E5" s="41"/>
      <c r="F5" s="41"/>
      <c r="G5" s="41"/>
      <c r="H5" s="41"/>
      <c r="I5" s="41"/>
      <c r="J5" s="41"/>
    </row>
    <row r="6" spans="1:13" x14ac:dyDescent="0.25">
      <c r="A6" s="138" t="s">
        <v>32</v>
      </c>
      <c r="B6" s="139"/>
      <c r="C6" s="42" t="str">
        <f t="shared" ref="C6:J6" si="0">C3</f>
        <v>RS (Tier 1, Tier 2, RSVP)</v>
      </c>
      <c r="D6" s="42" t="str">
        <f t="shared" si="0"/>
        <v>GS &amp; CS</v>
      </c>
      <c r="E6" s="42" t="str">
        <f t="shared" si="0"/>
        <v>GSD, SBD</v>
      </c>
      <c r="F6" s="42" t="str">
        <f t="shared" si="0"/>
        <v>GSD Optional</v>
      </c>
      <c r="G6" s="42" t="str">
        <f t="shared" si="0"/>
        <v>GSLDPR, SBLDPR</v>
      </c>
      <c r="H6" s="42" t="str">
        <f t="shared" si="0"/>
        <v>GSLDSU, SBLDSU</v>
      </c>
      <c r="I6" s="42" t="str">
        <f t="shared" si="0"/>
        <v>LS1, LS2</v>
      </c>
      <c r="J6" s="42" t="str">
        <f t="shared" si="0"/>
        <v>LTG-FAC</v>
      </c>
    </row>
    <row r="7" spans="1:13" x14ac:dyDescent="0.25">
      <c r="A7" s="35" t="s">
        <v>72</v>
      </c>
      <c r="B7" s="36"/>
      <c r="C7" s="38">
        <f>C4</f>
        <v>0.7811931307130755</v>
      </c>
      <c r="D7" s="38">
        <f>D4</f>
        <v>9.5582236910912624E-2</v>
      </c>
      <c r="E7" s="38">
        <f>E4-F4</f>
        <v>4.4289404742212102E-2</v>
      </c>
      <c r="F7" s="38">
        <f>F4</f>
        <v>2.753915273685154E-3</v>
      </c>
      <c r="G7" s="38">
        <f>G4</f>
        <v>6.4373418118685551E-3</v>
      </c>
      <c r="H7" s="38">
        <f>H4</f>
        <v>3.6291756437341811E-3</v>
      </c>
      <c r="I7" s="38">
        <f>I4</f>
        <v>6.61147949045119E-2</v>
      </c>
      <c r="J7" s="38">
        <f>J4</f>
        <v>0</v>
      </c>
      <c r="K7" s="43">
        <f>SUM(C7:J7)</f>
        <v>1</v>
      </c>
      <c r="L7" s="74" t="s">
        <v>33</v>
      </c>
    </row>
    <row r="8" spans="1:13" x14ac:dyDescent="0.25">
      <c r="A8" s="31"/>
      <c r="C8" s="41"/>
      <c r="D8" s="41"/>
      <c r="E8" s="41"/>
      <c r="F8" s="41"/>
      <c r="G8" s="41"/>
      <c r="H8" s="41"/>
      <c r="I8" s="41"/>
      <c r="J8" s="41"/>
    </row>
    <row r="9" spans="1:13" x14ac:dyDescent="0.25">
      <c r="A9" s="31"/>
      <c r="C9" s="41"/>
      <c r="D9" s="41"/>
      <c r="E9" s="41"/>
      <c r="F9" s="41"/>
      <c r="G9" s="41"/>
      <c r="H9" s="41"/>
      <c r="I9" s="41"/>
      <c r="J9" s="41"/>
    </row>
    <row r="10" spans="1:13" x14ac:dyDescent="0.25">
      <c r="A10" s="31" t="s">
        <v>34</v>
      </c>
      <c r="B10" s="34" t="s">
        <v>35</v>
      </c>
      <c r="C10" s="44" t="s">
        <v>36</v>
      </c>
      <c r="D10" s="41"/>
      <c r="E10" s="41"/>
      <c r="F10" s="41"/>
      <c r="G10" s="41"/>
      <c r="H10" s="41"/>
      <c r="I10" s="41"/>
    </row>
    <row r="11" spans="1:13" x14ac:dyDescent="0.25">
      <c r="A11" s="45" t="s">
        <v>22</v>
      </c>
      <c r="B11" s="91">
        <v>9728164.6219999995</v>
      </c>
      <c r="C11" s="46"/>
      <c r="D11" s="41"/>
      <c r="E11" s="41"/>
      <c r="F11" s="41"/>
      <c r="G11" s="41"/>
      <c r="H11" s="41"/>
      <c r="I11" s="41"/>
    </row>
    <row r="12" spans="1:13" x14ac:dyDescent="0.25">
      <c r="A12" s="45" t="s">
        <v>23</v>
      </c>
      <c r="B12" s="91">
        <v>953392.38500000001</v>
      </c>
      <c r="C12" s="46"/>
      <c r="D12" s="41"/>
      <c r="E12" s="41"/>
      <c r="F12" s="41"/>
      <c r="G12" s="41"/>
      <c r="H12" s="41"/>
      <c r="I12" s="41"/>
    </row>
    <row r="13" spans="1:13" x14ac:dyDescent="0.25">
      <c r="A13" s="45" t="s">
        <v>24</v>
      </c>
      <c r="B13" s="91">
        <v>6675591.2819999997</v>
      </c>
      <c r="C13" s="92">
        <v>15876487.529999999</v>
      </c>
      <c r="D13" s="48"/>
      <c r="E13" s="49"/>
      <c r="F13" s="49"/>
      <c r="G13" s="49"/>
      <c r="H13" s="49"/>
      <c r="I13" s="49"/>
      <c r="J13" s="50"/>
      <c r="K13" s="50"/>
      <c r="L13" s="50"/>
      <c r="M13" s="50"/>
    </row>
    <row r="14" spans="1:13" x14ac:dyDescent="0.25">
      <c r="A14" s="45" t="s">
        <v>25</v>
      </c>
      <c r="B14" s="91">
        <v>415088.27899999998</v>
      </c>
      <c r="C14" s="46"/>
      <c r="D14" s="41"/>
      <c r="E14" s="51"/>
      <c r="F14" s="49"/>
      <c r="G14" s="49"/>
      <c r="H14" s="49"/>
      <c r="I14" s="49"/>
      <c r="J14" s="50"/>
      <c r="K14" s="50"/>
      <c r="L14" s="50"/>
      <c r="M14" s="50"/>
    </row>
    <row r="15" spans="1:13" x14ac:dyDescent="0.25">
      <c r="A15" s="45" t="s">
        <v>26</v>
      </c>
      <c r="B15" s="52"/>
      <c r="C15" s="47">
        <v>2439151.87</v>
      </c>
      <c r="D15" s="41"/>
      <c r="E15" s="53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27</v>
      </c>
      <c r="B16" s="52"/>
      <c r="C16" s="47">
        <v>2627756.0699999998</v>
      </c>
      <c r="D16" s="41"/>
      <c r="E16" s="53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28</v>
      </c>
      <c r="B17" s="91">
        <v>110703.23299999999</v>
      </c>
      <c r="C17" s="46"/>
      <c r="D17" s="41"/>
      <c r="E17" s="49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29</v>
      </c>
      <c r="B18" s="91">
        <v>0</v>
      </c>
      <c r="C18" s="46"/>
      <c r="D18" s="41"/>
      <c r="E18" s="49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31"/>
      <c r="C19" s="41"/>
      <c r="D19" s="41"/>
      <c r="E19" s="41"/>
      <c r="F19" s="41"/>
      <c r="G19" s="41"/>
      <c r="H19" s="41"/>
      <c r="I19" s="41"/>
      <c r="J19" s="41"/>
    </row>
    <row r="20" spans="1:13" x14ac:dyDescent="0.25">
      <c r="A20" s="45"/>
      <c r="B20" s="58"/>
      <c r="C20" s="58"/>
      <c r="D20" s="58"/>
      <c r="E20" s="59"/>
    </row>
    <row r="21" spans="1:13" ht="44.25" customHeight="1" x14ac:dyDescent="0.25">
      <c r="A21" s="78"/>
      <c r="B21" s="160" t="s">
        <v>108</v>
      </c>
      <c r="C21" s="161"/>
      <c r="D21" s="81"/>
      <c r="E21" s="77"/>
      <c r="F21" s="77"/>
    </row>
    <row r="22" spans="1:13" ht="15.75" x14ac:dyDescent="0.25">
      <c r="A22" s="79" t="s">
        <v>76</v>
      </c>
      <c r="B22" s="125">
        <f>'P-1sd'!J38</f>
        <v>32876975.254366003</v>
      </c>
      <c r="C22" s="80"/>
      <c r="D22" s="80"/>
      <c r="E22" s="76"/>
      <c r="F22" s="76"/>
    </row>
    <row r="23" spans="1:13" ht="15.75" customHeight="1" x14ac:dyDescent="0.25"/>
    <row r="24" spans="1:13" ht="15.75" customHeight="1" x14ac:dyDescent="0.25"/>
    <row r="25" spans="1:13" ht="15.75" customHeight="1" x14ac:dyDescent="0.25"/>
  </sheetData>
  <mergeCells count="3">
    <mergeCell ref="B21:C21"/>
    <mergeCell ref="A3:B3"/>
    <mergeCell ref="A6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373104615C247AFF48713E375DF27" ma:contentTypeVersion="" ma:contentTypeDescription="Create a new document." ma:contentTypeScope="" ma:versionID="1244c592a2278da205aca27ee5b30567">
  <xsd:schema xmlns:xsd="http://www.w3.org/2001/XMLSchema" xmlns:xs="http://www.w3.org/2001/XMLSchema" xmlns:p="http://schemas.microsoft.com/office/2006/metadata/properties" xmlns:ns2="498A4116-DAB2-4DDA-BB26-DD553F2F4635" xmlns:ns3="498a4116-dab2-4dda-bb26-dd553f2f4635" targetNamespace="http://schemas.microsoft.com/office/2006/metadata/properties" ma:root="true" ma:fieldsID="49b66264fa28609b3f76a0626e9c6e26" ns2:_="" ns3:_="">
    <xsd:import namespace="498A4116-DAB2-4DDA-BB26-DD553F2F4635"/>
    <xsd:import namespace="498a4116-dab2-4dda-bb26-dd553f2f463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498a4116-dab2-4dda-bb26-dd553f2f4635" xsi:nil="true"/>
    <CaseNumber xmlns="498a4116-dab2-4dda-bb26-dd553f2f4635" xsi:nil="true"/>
    <CaseCompanyName xmlns="498a4116-dab2-4dda-bb26-dd553f2f4635" xsi:nil="true"/>
    <IsKeyDocket xmlns="498a4116-dab2-4dda-bb26-dd553f2f4635">false</IsKeyDocket>
    <CaseJurisdiction xmlns="498a4116-dab2-4dda-bb26-dd553f2f4635" xsi:nil="true"/>
    <CaseStatus xmlns="498a4116-dab2-4dda-bb26-dd553f2f4635" xsi:nil="true"/>
    <SRCH_DocketId xmlns="498a4116-dab2-4dda-bb26-dd553f2f4635">1310</SRCH_DocketId>
    <SRCH_ObjectType xmlns="498a4116-dab2-4dda-bb26-dd553f2f4635">PWD</SRCH_ObjectType>
    <Comments xmlns="498A4116-DAB2-4DDA-BB26-DD553F2F4635" xsi:nil="true"/>
    <CaseSubjects xmlns="498a4116-dab2-4dda-bb26-dd553f2f4635" xsi:nil="true"/>
    <CaseType xmlns="498a4116-dab2-4dda-bb26-dd553f2f4635" xsi:nil="true"/>
  </documentManagement>
</p:properties>
</file>

<file path=customXml/itemProps1.xml><?xml version="1.0" encoding="utf-8"?>
<ds:datastoreItem xmlns:ds="http://schemas.openxmlformats.org/officeDocument/2006/customXml" ds:itemID="{F5BC4A37-4E18-4763-895E-84B66CC3BFE5}"/>
</file>

<file path=customXml/itemProps2.xml><?xml version="1.0" encoding="utf-8"?>
<ds:datastoreItem xmlns:ds="http://schemas.openxmlformats.org/officeDocument/2006/customXml" ds:itemID="{BA790E44-947B-4141-9652-F8E84831AEF1}"/>
</file>

<file path=customXml/itemProps3.xml><?xml version="1.0" encoding="utf-8"?>
<ds:datastoreItem xmlns:ds="http://schemas.openxmlformats.org/officeDocument/2006/customXml" ds:itemID="{DFE25D7C-59A0-4E04-908C-41C881C3C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20130040 Demand Allocation</vt:lpstr>
      <vt:lpstr>Settlement Demand Allocation</vt:lpstr>
      <vt:lpstr>2021 base portion-inputs</vt:lpstr>
      <vt:lpstr>P-1sa</vt:lpstr>
      <vt:lpstr>2023 Rev Requirement-inputs</vt:lpstr>
      <vt:lpstr>P-1sb</vt:lpstr>
      <vt:lpstr>P-1sc</vt:lpstr>
      <vt:lpstr>P-1sd</vt:lpstr>
      <vt:lpstr>2023 incremental portion-inputs</vt:lpstr>
      <vt:lpstr>Clause</vt:lpstr>
      <vt:lpstr>Company_Name</vt:lpstr>
      <vt:lpstr>Filing</vt:lpstr>
      <vt:lpstr>Period</vt:lpstr>
      <vt:lpstr>'P-1sd'!Print_Area</vt:lpstr>
      <vt:lpstr>'Settlement Demand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2022-05-13T13:23:48Z</dcterms:created>
  <dcterms:modified xsi:type="dcterms:W3CDTF">2022-05-13T13:23:54Z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2022-05-13T13:23:53Z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c41e2fa4-e7e3-4fcc-beb0-7094e47f9e15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0x010100FC9373104615C247AFF48713E375DF27</vt:lpwstr>
  </property>
</Properties>
</file>