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-120" yWindow="-120" windowWidth="29040" windowHeight="15840" firstSheet="5" activeTab="5"/>
  </bookViews>
  <sheets>
    <sheet name="Appendix A" sheetId="14" r:id="rId2"/>
    <sheet name="Estimated Rev Req - bs" sheetId="1" r:id="rId3"/>
    <sheet name="Cons Dep Rate" sheetId="7" r:id="rId4"/>
    <sheet name="FE Cost Rate Cal" sheetId="8" r:id="rId5"/>
    <sheet name="Uniform Rate Inc" sheetId="9" state="hidden" r:id="rId6"/>
    <sheet name="Budgeted Volumes and Margins " sheetId="10" r:id="rId7"/>
    <sheet name="Annual usage per customer" sheetId="18" r:id="rId8"/>
    <sheet name="Typical Bill - V1" sheetId="11" state="hidden" r:id="rId9"/>
    <sheet name="FPUC Surcharge 2022 - 2023 " sheetId="13" r:id="rId10"/>
    <sheet name="FPUC Surcharge 2024" sheetId="15" r:id="rId11"/>
    <sheet name="FPUC Surcharge 2025" sheetId="16" r:id="rId12"/>
    <sheet name="FPUC Surcharge 2026" sheetId="17" r:id="rId13"/>
    <sheet name="Typical Bill - V2" sheetId="12" state="hidden" r:id="rId14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D" localSheetId="8">#REF!</definedName>
    <definedName name="\D" localSheetId="9">#REF!</definedName>
    <definedName name="\D" localSheetId="10">#REF!</definedName>
    <definedName name="\D">#REF!</definedName>
    <definedName name="\I" localSheetId="8">#REF!</definedName>
    <definedName name="\I" localSheetId="9">#REF!</definedName>
    <definedName name="\I" localSheetId="10">#REF!</definedName>
    <definedName name="\I">#REF!</definedName>
    <definedName name="\INPUT" localSheetId="9">#REF!</definedName>
    <definedName name="\INPUT" localSheetId="10">#REF!</definedName>
    <definedName name="\INPUT">#REF!</definedName>
    <definedName name="\PRINTADJ" localSheetId="9">#REF!</definedName>
    <definedName name="\PRINTADJ" localSheetId="10">#REF!</definedName>
    <definedName name="\PRINTADJ">#REF!</definedName>
    <definedName name="\S" localSheetId="9">#REF!</definedName>
    <definedName name="\S" localSheetId="10">#REF!</definedName>
    <definedName name="\S">#REF!</definedName>
    <definedName name="\STORAGEINPUT" localSheetId="9">#REF!</definedName>
    <definedName name="\STORAGEINPUT" localSheetId="10">#REF!</definedName>
    <definedName name="\STORAGEINPUT">#REF!</definedName>
    <definedName name="__123Graph_X" localSheetId="9" hidden="1">'[1]BUDGET CASH 2002'!#REF!</definedName>
    <definedName name="__123Graph_X" localSheetId="10" hidden="1">'[1]BUDGET CASH 2002'!#REF!</definedName>
    <definedName name="__123Graph_X" hidden="1">'[1]BUDGET CASH 2002'!#REF!</definedName>
    <definedName name="__FDS_HYPERLINK_TOGGLE_STATE__" hidden="1">"ON"</definedName>
    <definedName name="__yr1" localSheetId="9">#REF!</definedName>
    <definedName name="__yr1" localSheetId="10">#REF!</definedName>
    <definedName name="__yr1">#REF!</definedName>
    <definedName name="__yr2" localSheetId="9">#REF!</definedName>
    <definedName name="__yr2" localSheetId="10">#REF!</definedName>
    <definedName name="__yr2">#REF!</definedName>
    <definedName name="__YR2006" localSheetId="9">#REF!</definedName>
    <definedName name="__YR2006" localSheetId="10">#REF!</definedName>
    <definedName name="__YR2006">#REF!</definedName>
    <definedName name="__YR2007" localSheetId="9">#REF!</definedName>
    <definedName name="__YR2007" localSheetId="10">#REF!</definedName>
    <definedName name="__YR2007">#REF!</definedName>
    <definedName name="__yr3" localSheetId="9">#REF!</definedName>
    <definedName name="__yr3" localSheetId="10">#REF!</definedName>
    <definedName name="__yr3">#REF!</definedName>
    <definedName name="_1" localSheetId="9">#REF!</definedName>
    <definedName name="_1" localSheetId="10">#REF!</definedName>
    <definedName name="_1">#REF!</definedName>
    <definedName name="_10O_MBORDER" localSheetId="9">#REF!</definedName>
    <definedName name="_10O_MBORDER" localSheetId="10">#REF!</definedName>
    <definedName name="_10O_MBORDER">#REF!</definedName>
    <definedName name="_11PRODUCTION_TILD" localSheetId="9">#REF!</definedName>
    <definedName name="_11PRODUCTION_TILD" localSheetId="10">#REF!</definedName>
    <definedName name="_11PRODUCTION_TILD">#REF!</definedName>
    <definedName name="_12PROJECT_1" localSheetId="9">#REF!</definedName>
    <definedName name="_12PROJECT_1" localSheetId="10">#REF!</definedName>
    <definedName name="_12PROJECT_1">#REF!</definedName>
    <definedName name="_13PROJECT_2" localSheetId="9">#REF!</definedName>
    <definedName name="_13PROJECT_2" localSheetId="10">#REF!</definedName>
    <definedName name="_13PROJECT_2">#REF!</definedName>
    <definedName name="_14PROJECT_3" localSheetId="9">#REF!</definedName>
    <definedName name="_14PROJECT_3" localSheetId="10">#REF!</definedName>
    <definedName name="_14PROJECT_3">#REF!</definedName>
    <definedName name="_15PROJECT_4" localSheetId="9">#REF!</definedName>
    <definedName name="_15PROJECT_4" localSheetId="10">#REF!</definedName>
    <definedName name="_15PROJECT_4">#REF!</definedName>
    <definedName name="_16PROJECT_5" localSheetId="9">#REF!</definedName>
    <definedName name="_16PROJECT_5" localSheetId="10">#REF!</definedName>
    <definedName name="_16PROJECT_5">#REF!</definedName>
    <definedName name="_17PROJECT_6" localSheetId="9">#REF!</definedName>
    <definedName name="_17PROJECT_6" localSheetId="10">#REF!</definedName>
    <definedName name="_17PROJECT_6">#REF!</definedName>
    <definedName name="_18RET_TAXBTO" localSheetId="9">#REF!</definedName>
    <definedName name="_18RET_TAXBTO" localSheetId="10">#REF!</definedName>
    <definedName name="_18RET_TAXBTO">#REF!</definedName>
    <definedName name="_19STORBASE1" localSheetId="9">#REF!</definedName>
    <definedName name="_19STORBASE1" localSheetId="10">#REF!</definedName>
    <definedName name="_19STORBASE1">#REF!</definedName>
    <definedName name="_1D_9">[2]Template!$A$1:$R$48</definedName>
    <definedName name="_1INCREMCOS" localSheetId="9">#REF!</definedName>
    <definedName name="_1INCREMCOS" localSheetId="10">#REF!</definedName>
    <definedName name="_1INCREMCOS">#REF!</definedName>
    <definedName name="_1TXPT" localSheetId="8">#REF!</definedName>
    <definedName name="_1TXPT" localSheetId="9">#REF!</definedName>
    <definedName name="_1TXPT" localSheetId="10">#REF!</definedName>
    <definedName name="_1TXPT">#REF!</definedName>
    <definedName name="_1UNDER" localSheetId="8">#REF!</definedName>
    <definedName name="_1UNDER" localSheetId="9">#REF!</definedName>
    <definedName name="_1UNDER" localSheetId="10">#REF!</definedName>
    <definedName name="_1UNDER">#REF!</definedName>
    <definedName name="_2" localSheetId="9">#REF!</definedName>
    <definedName name="_2" localSheetId="10">#REF!</definedName>
    <definedName name="_2">#REF!</definedName>
    <definedName name="_20STORBASE2" localSheetId="9">#REF!</definedName>
    <definedName name="_20STORBASE2" localSheetId="10">#REF!</definedName>
    <definedName name="_20STORBASE2">#REF!</definedName>
    <definedName name="_21STOR_GSSTRANSP" localSheetId="9">#REF!</definedName>
    <definedName name="_21STOR_GSSTRANSP" localSheetId="10">#REF!</definedName>
    <definedName name="_21STOR_GSSTRANSP">#REF!</definedName>
    <definedName name="_22STOR_WSSTRANSP" localSheetId="9">#REF!</definedName>
    <definedName name="_22STOR_WSSTRANSP" localSheetId="10">#REF!</definedName>
    <definedName name="_22STOR_WSSTRANSP">#REF!</definedName>
    <definedName name="_23TRANSM_GSS" localSheetId="9">#REF!</definedName>
    <definedName name="_23TRANSM_GSS" localSheetId="10">#REF!</definedName>
    <definedName name="_23TRANSM_GSS">#REF!</definedName>
    <definedName name="_24TRANSM_LSS" localSheetId="9">#REF!</definedName>
    <definedName name="_24TRANSM_LSS" localSheetId="10">#REF!</definedName>
    <definedName name="_24TRANSM_LSS">#REF!</definedName>
    <definedName name="_25TRANSM_SS1" localSheetId="9">#REF!</definedName>
    <definedName name="_25TRANSM_SS1" localSheetId="10">#REF!</definedName>
    <definedName name="_25TRANSM_SS1">#REF!</definedName>
    <definedName name="_2A" localSheetId="9">#REF!</definedName>
    <definedName name="_2A" localSheetId="10">#REF!</definedName>
    <definedName name="_2A">#REF!</definedName>
    <definedName name="_2B" localSheetId="9">#REF!</definedName>
    <definedName name="_2B" localSheetId="10">#REF!</definedName>
    <definedName name="_2B">#REF!</definedName>
    <definedName name="_2INPUTSHEET" localSheetId="9">#REF!</definedName>
    <definedName name="_2INPUTSHEET" localSheetId="10">#REF!</definedName>
    <definedName name="_2INPUTSHEET">#REF!</definedName>
    <definedName name="_2TXPT" localSheetId="9">#REF!</definedName>
    <definedName name="_2TXPT" localSheetId="10">#REF!</definedName>
    <definedName name="_2TXPT">#REF!</definedName>
    <definedName name="_2UNDER" localSheetId="9">#REF!</definedName>
    <definedName name="_2UNDER" localSheetId="10">#REF!</definedName>
    <definedName name="_2UNDER">#REF!</definedName>
    <definedName name="_3" localSheetId="9">#REF!</definedName>
    <definedName name="_3" localSheetId="10">#REF!</definedName>
    <definedName name="_3">#REF!</definedName>
    <definedName name="_3MACROS" localSheetId="9">#REF!</definedName>
    <definedName name="_3MACROS" localSheetId="10">#REF!</definedName>
    <definedName name="_3MACROS">#REF!</definedName>
    <definedName name="_3TXPT" localSheetId="9">#REF!</definedName>
    <definedName name="_3TXPT" localSheetId="10">#REF!</definedName>
    <definedName name="_3TXPT">#REF!</definedName>
    <definedName name="_3UNDER" localSheetId="9">#REF!</definedName>
    <definedName name="_3UNDER" localSheetId="10">#REF!</definedName>
    <definedName name="_3UNDER">#REF!</definedName>
    <definedName name="_4" localSheetId="9">#REF!</definedName>
    <definedName name="_4" localSheetId="10">#REF!</definedName>
    <definedName name="_4">#REF!</definedName>
    <definedName name="_4ROLLINPROJECTS" localSheetId="9">#REF!</definedName>
    <definedName name="_4ROLLINPROJECTS" localSheetId="10">#REF!</definedName>
    <definedName name="_4ROLLINPROJECTS">#REF!</definedName>
    <definedName name="_4TXPT" localSheetId="9">#REF!</definedName>
    <definedName name="_4TXPT" localSheetId="10">#REF!</definedName>
    <definedName name="_4TXPT">#REF!</definedName>
    <definedName name="_4UNDER" localSheetId="9">#REF!</definedName>
    <definedName name="_4UNDER" localSheetId="10">#REF!</definedName>
    <definedName name="_4UNDER">#REF!</definedName>
    <definedName name="_5" localSheetId="9">#REF!</definedName>
    <definedName name="_5" localSheetId="10">#REF!</definedName>
    <definedName name="_5">#REF!</definedName>
    <definedName name="_5\I_FILING" localSheetId="9">#REF!</definedName>
    <definedName name="_5\I_FILING" localSheetId="10">#REF!</definedName>
    <definedName name="_5\I_FILING">#REF!</definedName>
    <definedName name="_5_6" localSheetId="9">#REF!</definedName>
    <definedName name="_5_6" localSheetId="10">#REF!</definedName>
    <definedName name="_5_6">#REF!</definedName>
    <definedName name="_5A" localSheetId="9">#REF!</definedName>
    <definedName name="_5A" localSheetId="10">#REF!</definedName>
    <definedName name="_5A">#REF!</definedName>
    <definedName name="_6" localSheetId="9">#REF!</definedName>
    <definedName name="_6" localSheetId="10">#REF!</definedName>
    <definedName name="_6">#REF!</definedName>
    <definedName name="_6_1CHOICE" localSheetId="9">#REF!</definedName>
    <definedName name="_6_1CHOICE" localSheetId="10">#REF!</definedName>
    <definedName name="_6_1CHOICE">#REF!</definedName>
    <definedName name="_7" localSheetId="9">#REF!</definedName>
    <definedName name="_7" localSheetId="10">#REF!</definedName>
    <definedName name="_7">#REF!</definedName>
    <definedName name="_7HESTER_MIDLA" localSheetId="9">#REF!</definedName>
    <definedName name="_7HESTER_MIDLA" localSheetId="10">#REF!</definedName>
    <definedName name="_7HESTER_MIDLA">#REF!</definedName>
    <definedName name="_8" localSheetId="9">#REF!</definedName>
    <definedName name="_8" localSheetId="10">#REF!</definedName>
    <definedName name="_8">#REF!</definedName>
    <definedName name="_8HESTER_FT" localSheetId="9">#REF!</definedName>
    <definedName name="_8HESTER_FT" localSheetId="10">#REF!</definedName>
    <definedName name="_8HESTER_FT">#REF!</definedName>
    <definedName name="_9INC_PLANT" localSheetId="9">#REF!</definedName>
    <definedName name="_9INC_PLANT" localSheetId="10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 localSheetId="9">#REF!</definedName>
    <definedName name="_FAS106" localSheetId="10">#REF!</definedName>
    <definedName name="_FAS106">#REF!</definedName>
    <definedName name="_Fill" localSheetId="9" hidden="1">[3]FxdChg!#REF!</definedName>
    <definedName name="_Fill" localSheetId="10" hidden="1">[3]FxdChg!#REF!</definedName>
    <definedName name="_Fill" hidden="1">[3]FxdChg!#REF!</definedName>
    <definedName name="_Key1" localSheetId="9" hidden="1">#REF!</definedName>
    <definedName name="_Key1" localSheetId="10" hidden="1">#REF!</definedName>
    <definedName name="_Key1" hidden="1">#REF!</definedName>
    <definedName name="_Order1" hidden="1">255</definedName>
    <definedName name="_Order2" hidden="1">255</definedName>
    <definedName name="_SCH5" localSheetId="8">#REF!</definedName>
    <definedName name="_SCH5" localSheetId="9">#REF!</definedName>
    <definedName name="_SCH5" localSheetId="10">#REF!</definedName>
    <definedName name="_SCH5">#REF!</definedName>
    <definedName name="_Sort" localSheetId="9" hidden="1">#REF!</definedName>
    <definedName name="_Sort" localSheetId="10" hidden="1">#REF!</definedName>
    <definedName name="_Sort" hidden="1">#REF!</definedName>
    <definedName name="_yr1" localSheetId="9">#REF!</definedName>
    <definedName name="_yr1" localSheetId="10">#REF!</definedName>
    <definedName name="_yr1">#REF!</definedName>
    <definedName name="_yr2" localSheetId="9">#REF!</definedName>
    <definedName name="_yr2" localSheetId="10">#REF!</definedName>
    <definedName name="_yr2">#REF!</definedName>
    <definedName name="_YR2006" localSheetId="9">#REF!</definedName>
    <definedName name="_YR2006" localSheetId="10">#REF!</definedName>
    <definedName name="_YR2006">#REF!</definedName>
    <definedName name="_YR2007" localSheetId="9">#REF!</definedName>
    <definedName name="_YR2007" localSheetId="10">#REF!</definedName>
    <definedName name="_YR2007">#REF!</definedName>
    <definedName name="_yr3" localSheetId="9">#REF!</definedName>
    <definedName name="_yr3" localSheetId="10">#REF!</definedName>
    <definedName name="_yr3">#REF!</definedName>
    <definedName name="_zP2" localSheetId="9">#REF!,#REF!,#REF!</definedName>
    <definedName name="_zP2" localSheetId="10">#REF!,#REF!,#REF!</definedName>
    <definedName name="_zP2">#REF!,#REF!,#REF!</definedName>
    <definedName name="AcqStockPrice" localSheetId="9">#REF!</definedName>
    <definedName name="AcqStockPrice" localSheetId="10">#REF!</definedName>
    <definedName name="AcqStockPrice">#REF!</definedName>
    <definedName name="AD_BAL2" localSheetId="9">#REF!</definedName>
    <definedName name="AD_BAL2" localSheetId="10">#REF!</definedName>
    <definedName name="AD_BAL2">#REF!</definedName>
    <definedName name="ADD" localSheetId="9">#REF!</definedName>
    <definedName name="ADD" localSheetId="10">#REF!</definedName>
    <definedName name="ADD">#REF!</definedName>
    <definedName name="ADD_BY_DIST" localSheetId="9">#REF!</definedName>
    <definedName name="ADD_BY_DIST" localSheetId="10">#REF!</definedName>
    <definedName name="ADD_BY_DIST">#REF!</definedName>
    <definedName name="ADJEMINENCE" localSheetId="9">#REF!</definedName>
    <definedName name="ADJEMINENCE" localSheetId="10">#REF!</definedName>
    <definedName name="ADJEMINENCE">#REF!</definedName>
    <definedName name="ADJGSS" localSheetId="9">#REF!</definedName>
    <definedName name="ADJGSS" localSheetId="10">#REF!</definedName>
    <definedName name="ADJGSS">#REF!</definedName>
    <definedName name="ADJHESTER" localSheetId="9">#REF!</definedName>
    <definedName name="ADJHESTER" localSheetId="10">#REF!</definedName>
    <definedName name="ADJHESTER">#REF!</definedName>
    <definedName name="ADJTOTSTOR" localSheetId="9">#REF!</definedName>
    <definedName name="ADJTOTSTOR" localSheetId="10">#REF!</definedName>
    <definedName name="ADJTOTSTOR">#REF!</definedName>
    <definedName name="ADJWSS" localSheetId="9">#REF!</definedName>
    <definedName name="ADJWSS" localSheetId="10">#REF!</definedName>
    <definedName name="ADJWSS">#REF!</definedName>
    <definedName name="ALLOTRANSP3" localSheetId="9">#REF!</definedName>
    <definedName name="ALLOTRANSP3" localSheetId="10">#REF!</definedName>
    <definedName name="ALLOTRANSP3">#REF!</definedName>
    <definedName name="AllTables">{2}</definedName>
    <definedName name="alt_boxsize" localSheetId="9">#REF!</definedName>
    <definedName name="alt_boxsize" localSheetId="10">#REF!</definedName>
    <definedName name="alt_boxsize">#REF!</definedName>
    <definedName name="aopyr1" localSheetId="9">#REF!</definedName>
    <definedName name="aopyr1" localSheetId="10">#REF!</definedName>
    <definedName name="aopyr1">#REF!</definedName>
    <definedName name="aopyr2" localSheetId="9">#REF!</definedName>
    <definedName name="aopyr2" localSheetId="10">#REF!</definedName>
    <definedName name="aopyr2">#REF!</definedName>
    <definedName name="aopyr3" localSheetId="9">#REF!</definedName>
    <definedName name="aopyr3" localSheetId="10">#REF!</definedName>
    <definedName name="aopyr3">#REF!</definedName>
    <definedName name="AREA1" localSheetId="9">#REF!</definedName>
    <definedName name="AREA1" localSheetId="10">#REF!</definedName>
    <definedName name="AREA1">#REF!</definedName>
    <definedName name="AS2DocOpenMode" hidden="1">"AS2DocumentEdit"</definedName>
    <definedName name="BACK_UP" localSheetId="8">#REF!</definedName>
    <definedName name="BACK_UP" localSheetId="9">#REF!</definedName>
    <definedName name="BACK_UP" localSheetId="10">#REF!</definedName>
    <definedName name="BACK_UP">#REF!</definedName>
    <definedName name="basis" localSheetId="9">#REF!</definedName>
    <definedName name="basis" localSheetId="10">#REF!</definedName>
    <definedName name="basis">#REF!</definedName>
    <definedName name="BATTLEBORO" localSheetId="9">#REF!</definedName>
    <definedName name="BATTLEBORO" localSheetId="10">#REF!</definedName>
    <definedName name="BATTLEBORO">#REF!</definedName>
    <definedName name="bb">[4]Main!$H$8:$S$56,[4]Main!$H$16:$S$132</definedName>
    <definedName name="BBUAprDec" localSheetId="9">#REF!</definedName>
    <definedName name="BBUAprDec" localSheetId="10">#REF!</definedName>
    <definedName name="BBUAprDec">#REF!</definedName>
    <definedName name="BBUAugDec" localSheetId="9">#REF!</definedName>
    <definedName name="BBUAugDec" localSheetId="10">#REF!</definedName>
    <definedName name="BBUAugDec">#REF!</definedName>
    <definedName name="BBUDec" localSheetId="9">#REF!</definedName>
    <definedName name="BBUDec" localSheetId="10">#REF!</definedName>
    <definedName name="BBUDec">#REF!</definedName>
    <definedName name="BBUFebDec" localSheetId="9">#REF!</definedName>
    <definedName name="BBUFebDec" localSheetId="10">#REF!</definedName>
    <definedName name="BBUFebDec">#REF!</definedName>
    <definedName name="BBUJan" localSheetId="9">#REF!</definedName>
    <definedName name="BBUJan" localSheetId="10">#REF!</definedName>
    <definedName name="BBUJan">#REF!</definedName>
    <definedName name="BBUJanApr" localSheetId="9">#REF!</definedName>
    <definedName name="BBUJanApr" localSheetId="10">#REF!</definedName>
    <definedName name="BBUJanApr">#REF!</definedName>
    <definedName name="BBUJanAug" localSheetId="9">#REF!</definedName>
    <definedName name="BBUJanAug" localSheetId="10">#REF!</definedName>
    <definedName name="BBUJanAug">#REF!</definedName>
    <definedName name="BBUJanDec" localSheetId="9">#REF!</definedName>
    <definedName name="BBUJanDec" localSheetId="10">#REF!</definedName>
    <definedName name="BBUJanDec">#REF!</definedName>
    <definedName name="BBUJanFeb" localSheetId="9">#REF!</definedName>
    <definedName name="BBUJanFeb" localSheetId="10">#REF!</definedName>
    <definedName name="BBUJanFeb">#REF!</definedName>
    <definedName name="BBUJanJul" localSheetId="9">#REF!</definedName>
    <definedName name="BBUJanJul" localSheetId="10">#REF!</definedName>
    <definedName name="BBUJanJul">#REF!</definedName>
    <definedName name="BBUJanJun" localSheetId="9">#REF!</definedName>
    <definedName name="BBUJanJun" localSheetId="10">#REF!</definedName>
    <definedName name="BBUJanJun">#REF!</definedName>
    <definedName name="BBUJanMar" localSheetId="9">#REF!</definedName>
    <definedName name="BBUJanMar" localSheetId="10">#REF!</definedName>
    <definedName name="BBUJanMar">#REF!</definedName>
    <definedName name="BBUJanMay" localSheetId="9">#REF!</definedName>
    <definedName name="BBUJanMay" localSheetId="10">#REF!</definedName>
    <definedName name="BBUJanMay">#REF!</definedName>
    <definedName name="BBUJanNov" localSheetId="9">#REF!</definedName>
    <definedName name="BBUJanNov" localSheetId="10">#REF!</definedName>
    <definedName name="BBUJanNov">#REF!</definedName>
    <definedName name="BBUJanOct" localSheetId="9">#REF!</definedName>
    <definedName name="BBUJanOct" localSheetId="10">#REF!</definedName>
    <definedName name="BBUJanOct">#REF!</definedName>
    <definedName name="BBUJanSep" localSheetId="9">#REF!</definedName>
    <definedName name="BBUJanSep" localSheetId="10">#REF!</definedName>
    <definedName name="BBUJanSep">#REF!</definedName>
    <definedName name="BBUJulDec" localSheetId="9">#REF!</definedName>
    <definedName name="BBUJulDec" localSheetId="10">#REF!</definedName>
    <definedName name="BBUJulDec">#REF!</definedName>
    <definedName name="BBUJunDec" localSheetId="9">#REF!</definedName>
    <definedName name="BBUJunDec" localSheetId="10">#REF!</definedName>
    <definedName name="BBUJunDec">#REF!</definedName>
    <definedName name="BBUMarDec" localSheetId="9">#REF!</definedName>
    <definedName name="BBUMarDec" localSheetId="10">#REF!</definedName>
    <definedName name="BBUMarDec">#REF!</definedName>
    <definedName name="BBUMayDec" localSheetId="9">#REF!</definedName>
    <definedName name="BBUMayDec" localSheetId="10">#REF!</definedName>
    <definedName name="BBUMayDec">#REF!</definedName>
    <definedName name="BBUNovDec" localSheetId="9">#REF!</definedName>
    <definedName name="BBUNovDec" localSheetId="10">#REF!</definedName>
    <definedName name="BBUNovDec">#REF!</definedName>
    <definedName name="BBUOctDec" localSheetId="9">#REF!</definedName>
    <definedName name="BBUOctDec" localSheetId="10">#REF!</definedName>
    <definedName name="BBUOctDec">#REF!</definedName>
    <definedName name="BBUSepDec" localSheetId="9">#REF!</definedName>
    <definedName name="BBUSepDec" localSheetId="10">#REF!</definedName>
    <definedName name="BBUSepDec">#REF!</definedName>
    <definedName name="BCAprDec" localSheetId="9">#REF!</definedName>
    <definedName name="BCAprDec" localSheetId="10">#REF!</definedName>
    <definedName name="BCAprDec">#REF!</definedName>
    <definedName name="BCAugDec" localSheetId="9">#REF!</definedName>
    <definedName name="BCAugDec" localSheetId="10">#REF!</definedName>
    <definedName name="BCAugDec">#REF!</definedName>
    <definedName name="BCDec" localSheetId="9">#REF!</definedName>
    <definedName name="BCDec" localSheetId="10">#REF!</definedName>
    <definedName name="BCDec">#REF!</definedName>
    <definedName name="BCFebDec" localSheetId="9">#REF!</definedName>
    <definedName name="BCFebDec" localSheetId="10">#REF!</definedName>
    <definedName name="BCFebDec">#REF!</definedName>
    <definedName name="BCJan" localSheetId="9">#REF!</definedName>
    <definedName name="BCJan" localSheetId="10">#REF!</definedName>
    <definedName name="BCJan">#REF!</definedName>
    <definedName name="BCJanApr" localSheetId="9">#REF!</definedName>
    <definedName name="BCJanApr" localSheetId="10">#REF!</definedName>
    <definedName name="BCJanApr">#REF!</definedName>
    <definedName name="BCJanAug" localSheetId="9">#REF!</definedName>
    <definedName name="BCJanAug" localSheetId="10">#REF!</definedName>
    <definedName name="BCJanAug">#REF!</definedName>
    <definedName name="BCJanDec" localSheetId="9">#REF!</definedName>
    <definedName name="BCJanDec" localSheetId="10">#REF!</definedName>
    <definedName name="BCJanDec">#REF!</definedName>
    <definedName name="BCJanFeb" localSheetId="9">#REF!</definedName>
    <definedName name="BCJanFeb" localSheetId="10">#REF!</definedName>
    <definedName name="BCJanFeb">#REF!</definedName>
    <definedName name="BCJanJul" localSheetId="9">#REF!</definedName>
    <definedName name="BCJanJul" localSheetId="10">#REF!</definedName>
    <definedName name="BCJanJul">#REF!</definedName>
    <definedName name="BCJanJun" localSheetId="9">#REF!</definedName>
    <definedName name="BCJanJun" localSheetId="10">#REF!</definedName>
    <definedName name="BCJanJun">#REF!</definedName>
    <definedName name="BCJanMar" localSheetId="9">#REF!</definedName>
    <definedName name="BCJanMar" localSheetId="10">#REF!</definedName>
    <definedName name="BCJanMar">#REF!</definedName>
    <definedName name="BCJanMay" localSheetId="9">#REF!</definedName>
    <definedName name="BCJanMay" localSheetId="10">#REF!</definedName>
    <definedName name="BCJanMay">#REF!</definedName>
    <definedName name="BCJanNov" localSheetId="9">#REF!</definedName>
    <definedName name="BCJanNov" localSheetId="10">#REF!</definedName>
    <definedName name="BCJanNov">#REF!</definedName>
    <definedName name="BCJanOct" localSheetId="9">#REF!</definedName>
    <definedName name="BCJanOct" localSheetId="10">#REF!</definedName>
    <definedName name="BCJanOct">#REF!</definedName>
    <definedName name="BCJanSep" localSheetId="9">#REF!</definedName>
    <definedName name="BCJanSep" localSheetId="10">#REF!</definedName>
    <definedName name="BCJanSep">#REF!</definedName>
    <definedName name="BCJulDec" localSheetId="9">#REF!</definedName>
    <definedName name="BCJulDec" localSheetId="10">#REF!</definedName>
    <definedName name="BCJulDec">#REF!</definedName>
    <definedName name="BCJunDec" localSheetId="9">#REF!</definedName>
    <definedName name="BCJunDec" localSheetId="10">#REF!</definedName>
    <definedName name="BCJunDec">#REF!</definedName>
    <definedName name="BCMarDec" localSheetId="9">#REF!</definedName>
    <definedName name="BCMarDec" localSheetId="10">#REF!</definedName>
    <definedName name="BCMarDec">#REF!</definedName>
    <definedName name="BCMayDec" localSheetId="9">#REF!</definedName>
    <definedName name="BCMayDec" localSheetId="10">#REF!</definedName>
    <definedName name="BCMayDec">#REF!</definedName>
    <definedName name="BCNovDec" localSheetId="9">#REF!</definedName>
    <definedName name="BCNovDec" localSheetId="10">#REF!</definedName>
    <definedName name="BCNovDec">#REF!</definedName>
    <definedName name="BCOctDec" localSheetId="9">#REF!</definedName>
    <definedName name="BCOctDec" localSheetId="10">#REF!</definedName>
    <definedName name="BCOctDec">#REF!</definedName>
    <definedName name="BCSepDec" localSheetId="9">#REF!</definedName>
    <definedName name="BCSepDec" localSheetId="10">#REF!</definedName>
    <definedName name="BCSepDec">#REF!</definedName>
    <definedName name="beta_observed" localSheetId="9">#REF!</definedName>
    <definedName name="beta_observed" localSheetId="10">#REF!</definedName>
    <definedName name="beta_observed">#REF!</definedName>
    <definedName name="beta_observed_unlevered" localSheetId="9">#REF!</definedName>
    <definedName name="beta_observed_unlevered" localSheetId="10">#REF!</definedName>
    <definedName name="beta_observed_unlevered">#REF!</definedName>
    <definedName name="beta_unlev_comps" localSheetId="9">#REF!</definedName>
    <definedName name="beta_unlev_comps" localSheetId="10">#REF!</definedName>
    <definedName name="beta_unlev_comps">#REF!</definedName>
    <definedName name="BGMAprDec" localSheetId="9">#REF!</definedName>
    <definedName name="BGMAprDec" localSheetId="10">#REF!</definedName>
    <definedName name="BGMAprDec">#REF!</definedName>
    <definedName name="BGMAugDec" localSheetId="9">#REF!</definedName>
    <definedName name="BGMAugDec" localSheetId="10">#REF!</definedName>
    <definedName name="BGMAugDec">#REF!</definedName>
    <definedName name="BGMDec" localSheetId="9">#REF!</definedName>
    <definedName name="BGMDec" localSheetId="10">#REF!</definedName>
    <definedName name="BGMDec">#REF!</definedName>
    <definedName name="BGMFebDec" localSheetId="9">#REF!</definedName>
    <definedName name="BGMFebDec" localSheetId="10">#REF!</definedName>
    <definedName name="BGMFebDec">#REF!</definedName>
    <definedName name="BGMJan" localSheetId="9">#REF!</definedName>
    <definedName name="BGMJan" localSheetId="10">#REF!</definedName>
    <definedName name="BGMJan">#REF!</definedName>
    <definedName name="BGMJanApr" localSheetId="9">#REF!</definedName>
    <definedName name="BGMJanApr" localSheetId="10">#REF!</definedName>
    <definedName name="BGMJanApr">#REF!</definedName>
    <definedName name="BGMJanAug" localSheetId="9">#REF!</definedName>
    <definedName name="BGMJanAug" localSheetId="10">#REF!</definedName>
    <definedName name="BGMJanAug">#REF!</definedName>
    <definedName name="BGMJanDec" localSheetId="9">#REF!</definedName>
    <definedName name="BGMJanDec" localSheetId="10">#REF!</definedName>
    <definedName name="BGMJanDec">#REF!</definedName>
    <definedName name="BGMJanFeb" localSheetId="9">#REF!</definedName>
    <definedName name="BGMJanFeb" localSheetId="10">#REF!</definedName>
    <definedName name="BGMJanFeb">#REF!</definedName>
    <definedName name="BGMJanJul" localSheetId="9">#REF!</definedName>
    <definedName name="BGMJanJul" localSheetId="10">#REF!</definedName>
    <definedName name="BGMJanJul">#REF!</definedName>
    <definedName name="BGMJanJun" localSheetId="9">#REF!</definedName>
    <definedName name="BGMJanJun" localSheetId="10">#REF!</definedName>
    <definedName name="BGMJanJun">#REF!</definedName>
    <definedName name="BGMJanMar" localSheetId="9">#REF!</definedName>
    <definedName name="BGMJanMar" localSheetId="10">#REF!</definedName>
    <definedName name="BGMJanMar">#REF!</definedName>
    <definedName name="BGMJanMay" localSheetId="9">#REF!</definedName>
    <definedName name="BGMJanMay" localSheetId="10">#REF!</definedName>
    <definedName name="BGMJanMay">#REF!</definedName>
    <definedName name="BGMJanNov" localSheetId="9">#REF!</definedName>
    <definedName name="BGMJanNov" localSheetId="10">#REF!</definedName>
    <definedName name="BGMJanNov">#REF!</definedName>
    <definedName name="BGMJanOct" localSheetId="9">#REF!</definedName>
    <definedName name="BGMJanOct" localSheetId="10">#REF!</definedName>
    <definedName name="BGMJanOct">#REF!</definedName>
    <definedName name="BGMJanSep" localSheetId="9">#REF!</definedName>
    <definedName name="BGMJanSep" localSheetId="10">#REF!</definedName>
    <definedName name="BGMJanSep">#REF!</definedName>
    <definedName name="BGMJulDec" localSheetId="9">#REF!</definedName>
    <definedName name="BGMJulDec" localSheetId="10">#REF!</definedName>
    <definedName name="BGMJulDec">#REF!</definedName>
    <definedName name="BGMJunDec" localSheetId="9">#REF!</definedName>
    <definedName name="BGMJunDec" localSheetId="10">#REF!</definedName>
    <definedName name="BGMJunDec">#REF!</definedName>
    <definedName name="BGMMarDec" localSheetId="9">#REF!</definedName>
    <definedName name="BGMMarDec" localSheetId="10">#REF!</definedName>
    <definedName name="BGMMarDec">#REF!</definedName>
    <definedName name="BGMMayDec" localSheetId="9">#REF!</definedName>
    <definedName name="BGMMayDec" localSheetId="10">#REF!</definedName>
    <definedName name="BGMMayDec">#REF!</definedName>
    <definedName name="BGMNovDec" localSheetId="9">#REF!</definedName>
    <definedName name="BGMNovDec" localSheetId="10">#REF!</definedName>
    <definedName name="BGMNovDec">#REF!</definedName>
    <definedName name="BGMOctDec" localSheetId="9">#REF!</definedName>
    <definedName name="BGMOctDec" localSheetId="10">#REF!</definedName>
    <definedName name="BGMOctDec">#REF!</definedName>
    <definedName name="BGMSepDec" localSheetId="9">#REF!</definedName>
    <definedName name="BGMSepDec" localSheetId="10">#REF!</definedName>
    <definedName name="BGMSepDec">#REF!</definedName>
    <definedName name="BKGSUM" localSheetId="9">#REF!</definedName>
    <definedName name="BKGSUM" localSheetId="10">#REF!</definedName>
    <definedName name="BKGSUM">#REF!</definedName>
    <definedName name="BKGSUMOTH" localSheetId="9">#REF!</definedName>
    <definedName name="BKGSUMOTH" localSheetId="10">#REF!</definedName>
    <definedName name="BKGSUMOTH">#REF!</definedName>
    <definedName name="BKGSUMPROJ" localSheetId="9">#REF!</definedName>
    <definedName name="BKGSUMPROJ" localSheetId="10">#REF!</definedName>
    <definedName name="BKGSUMPROJ">#REF!</definedName>
    <definedName name="BlakeVal" localSheetId="9">#REF!</definedName>
    <definedName name="BlakeVal" localSheetId="10">#REF!</definedName>
    <definedName name="BlakeVal">#REF!</definedName>
    <definedName name="brdg" localSheetId="9">#REF!</definedName>
    <definedName name="brdg" localSheetId="10">#REF!</definedName>
    <definedName name="brdg">#REF!</definedName>
    <definedName name="brdg2" localSheetId="9">#REF!</definedName>
    <definedName name="brdg2" localSheetId="10">#REF!</definedName>
    <definedName name="brdg2">#REF!</definedName>
    <definedName name="BUAprDec" localSheetId="9">#REF!</definedName>
    <definedName name="BUAprDec" localSheetId="10">#REF!</definedName>
    <definedName name="BUAprDec">#REF!</definedName>
    <definedName name="BUAugDec" localSheetId="9">#REF!</definedName>
    <definedName name="BUAugDec" localSheetId="10">#REF!</definedName>
    <definedName name="BUAugDec">#REF!</definedName>
    <definedName name="BUDec" localSheetId="9">#REF!</definedName>
    <definedName name="BUDec" localSheetId="10">#REF!</definedName>
    <definedName name="BUDec">#REF!</definedName>
    <definedName name="BUDGET" localSheetId="9">#REF!</definedName>
    <definedName name="BUDGET" localSheetId="10">#REF!</definedName>
    <definedName name="BUDGET">#REF!</definedName>
    <definedName name="BUFebDec" localSheetId="9">#REF!</definedName>
    <definedName name="BUFebDec" localSheetId="10">#REF!</definedName>
    <definedName name="BUFebDec">#REF!</definedName>
    <definedName name="BUJan" localSheetId="9">#REF!</definedName>
    <definedName name="BUJan" localSheetId="10">#REF!</definedName>
    <definedName name="BUJan">#REF!</definedName>
    <definedName name="BUJanApr" localSheetId="9">#REF!</definedName>
    <definedName name="BUJanApr" localSheetId="10">#REF!</definedName>
    <definedName name="BUJanApr">#REF!</definedName>
    <definedName name="BUJanAug" localSheetId="9">#REF!</definedName>
    <definedName name="BUJanAug" localSheetId="10">#REF!</definedName>
    <definedName name="BUJanAug">#REF!</definedName>
    <definedName name="BUJanDec" localSheetId="9">#REF!</definedName>
    <definedName name="BUJanDec" localSheetId="10">#REF!</definedName>
    <definedName name="BUJanDec">#REF!</definedName>
    <definedName name="BUJanFeb" localSheetId="9">#REF!</definedName>
    <definedName name="BUJanFeb" localSheetId="10">#REF!</definedName>
    <definedName name="BUJanFeb">#REF!</definedName>
    <definedName name="BUJanJul" localSheetId="9">#REF!</definedName>
    <definedName name="BUJanJul" localSheetId="10">#REF!</definedName>
    <definedName name="BUJanJul">#REF!</definedName>
    <definedName name="BUJanJun" localSheetId="9">#REF!</definedName>
    <definedName name="BUJanJun" localSheetId="10">#REF!</definedName>
    <definedName name="BUJanJun">#REF!</definedName>
    <definedName name="BUJanMar" localSheetId="9">#REF!</definedName>
    <definedName name="BUJanMar" localSheetId="10">#REF!</definedName>
    <definedName name="BUJanMar">#REF!</definedName>
    <definedName name="BUJanMay" localSheetId="9">#REF!</definedName>
    <definedName name="BUJanMay" localSheetId="10">#REF!</definedName>
    <definedName name="BUJanMay">#REF!</definedName>
    <definedName name="BUJanNov" localSheetId="9">#REF!</definedName>
    <definedName name="BUJanNov" localSheetId="10">#REF!</definedName>
    <definedName name="BUJanNov">#REF!</definedName>
    <definedName name="BUJanOct" localSheetId="9">#REF!</definedName>
    <definedName name="BUJanOct" localSheetId="10">#REF!</definedName>
    <definedName name="BUJanOct">#REF!</definedName>
    <definedName name="BUJanSep" localSheetId="9">#REF!</definedName>
    <definedName name="BUJanSep" localSheetId="10">#REF!</definedName>
    <definedName name="BUJanSep">#REF!</definedName>
    <definedName name="BUJulDec" localSheetId="9">#REF!</definedName>
    <definedName name="BUJulDec" localSheetId="10">#REF!</definedName>
    <definedName name="BUJulDec">#REF!</definedName>
    <definedName name="BUJunDec" localSheetId="9">#REF!</definedName>
    <definedName name="BUJunDec" localSheetId="10">#REF!</definedName>
    <definedName name="BUJunDec">#REF!</definedName>
    <definedName name="BUMarDec" localSheetId="9">#REF!</definedName>
    <definedName name="BUMarDec" localSheetId="10">#REF!</definedName>
    <definedName name="BUMarDec">#REF!</definedName>
    <definedName name="BUMayDec" localSheetId="9">#REF!</definedName>
    <definedName name="BUMayDec" localSheetId="10">#REF!</definedName>
    <definedName name="BUMayDec">#REF!</definedName>
    <definedName name="BUNovDec" localSheetId="9">#REF!</definedName>
    <definedName name="BUNovDec" localSheetId="10">#REF!</definedName>
    <definedName name="BUNovDec">#REF!</definedName>
    <definedName name="BUOctDec" localSheetId="9">#REF!</definedName>
    <definedName name="BUOctDec" localSheetId="10">#REF!</definedName>
    <definedName name="BUOctDec">#REF!</definedName>
    <definedName name="BUSepDec" localSheetId="9">#REF!</definedName>
    <definedName name="BUSepDec" localSheetId="10">#REF!</definedName>
    <definedName name="BUSepDec">#REF!</definedName>
    <definedName name="Calculations" localSheetId="9">#REF!</definedName>
    <definedName name="Calculations" localSheetId="10">#REF!</definedName>
    <definedName name="Calculations">#REF!</definedName>
    <definedName name="Cap">'[5]2002'!$A$1:$O$101</definedName>
    <definedName name="CAPITAL" localSheetId="8">#REF!</definedName>
    <definedName name="CAPITAL" localSheetId="9">#REF!</definedName>
    <definedName name="CAPITAL" localSheetId="10">#REF!</definedName>
    <definedName name="CAPITAL">#REF!</definedName>
    <definedName name="CAprDec" localSheetId="9">#REF!</definedName>
    <definedName name="CAprDec" localSheetId="10">#REF!</definedName>
    <definedName name="CAprDec">#REF!</definedName>
    <definedName name="CAPSUM" localSheetId="9">#REF!</definedName>
    <definedName name="CAPSUM" localSheetId="10">#REF!</definedName>
    <definedName name="CAPSUM">#REF!</definedName>
    <definedName name="capture" localSheetId="9">#REF!</definedName>
    <definedName name="capture" localSheetId="10">#REF!</definedName>
    <definedName name="capture">#REF!</definedName>
    <definedName name="case" localSheetId="9">#REF!</definedName>
    <definedName name="case" localSheetId="10">#REF!</definedName>
    <definedName name="case">#REF!</definedName>
    <definedName name="CASES1" localSheetId="9">#REF!</definedName>
    <definedName name="CASES1" localSheetId="10">#REF!</definedName>
    <definedName name="CASES1">#REF!</definedName>
    <definedName name="CASES2" localSheetId="9">#REF!</definedName>
    <definedName name="CASES2" localSheetId="10">#REF!</definedName>
    <definedName name="CASES2">#REF!</definedName>
    <definedName name="casetable" localSheetId="9">#REF!</definedName>
    <definedName name="casetable" localSheetId="10">#REF!</definedName>
    <definedName name="casetable">#REF!</definedName>
    <definedName name="CASH" localSheetId="9">#REF!</definedName>
    <definedName name="CASH" localSheetId="10">#REF!</definedName>
    <definedName name="CASH">#REF!</definedName>
    <definedName name="CASH1STMTH" localSheetId="9">#REF!</definedName>
    <definedName name="CASH1STMTH" localSheetId="10">#REF!</definedName>
    <definedName name="CASH1STMTH">#REF!</definedName>
    <definedName name="CASH2NDMTH" localSheetId="9">#REF!</definedName>
    <definedName name="CASH2NDMTH" localSheetId="10">#REF!</definedName>
    <definedName name="CASH2NDMTH">#REF!</definedName>
    <definedName name="CASH3RDMTH" localSheetId="9">#REF!</definedName>
    <definedName name="CASH3RDMTH" localSheetId="10">#REF!</definedName>
    <definedName name="CASH3RDMTH">#REF!</definedName>
    <definedName name="cashearnrate" localSheetId="9">#REF!</definedName>
    <definedName name="cashearnrate" localSheetId="10">#REF!</definedName>
    <definedName name="cashearnrate">#REF!</definedName>
    <definedName name="cashrate" localSheetId="9">#REF!</definedName>
    <definedName name="cashrate" localSheetId="10">#REF!</definedName>
    <definedName name="cashrate">#REF!</definedName>
    <definedName name="CAugDec" localSheetId="9">#REF!</definedName>
    <definedName name="CAugDec" localSheetId="10">#REF!</definedName>
    <definedName name="CAugDec">#REF!</definedName>
    <definedName name="CC_List" localSheetId="9">#REF!</definedName>
    <definedName name="CC_List" localSheetId="10">#REF!</definedName>
    <definedName name="CC_List">#REF!</definedName>
    <definedName name="CDec" localSheetId="9">#REF!</definedName>
    <definedName name="CDec" localSheetId="10">#REF!</definedName>
    <definedName name="CDec">#REF!</definedName>
    <definedName name="cdtechjv" localSheetId="9">#REF!</definedName>
    <definedName name="cdtechjv" localSheetId="10">#REF!</definedName>
    <definedName name="cdtechjv">#REF!</definedName>
    <definedName name="Cendon" localSheetId="9">#REF!</definedName>
    <definedName name="Cendon" localSheetId="10">#REF!</definedName>
    <definedName name="Cendon">#REF!</definedName>
    <definedName name="CF" localSheetId="9">#REF!</definedName>
    <definedName name="CF" localSheetId="10">#REF!</definedName>
    <definedName name="CF">#REF!</definedName>
    <definedName name="CFebDec" localSheetId="9">#REF!</definedName>
    <definedName name="CFebDec" localSheetId="10">#REF!</definedName>
    <definedName name="CFebDec">#REF!</definedName>
    <definedName name="ChartsTable" localSheetId="9">#REF!</definedName>
    <definedName name="ChartsTable" localSheetId="10">#REF!</definedName>
    <definedName name="ChartsTable">#REF!</definedName>
    <definedName name="Chico" localSheetId="9">#REF!</definedName>
    <definedName name="Chico" localSheetId="10">#REF!</definedName>
    <definedName name="Chico">#REF!</definedName>
    <definedName name="CIQWBGuid" hidden="1">"Management Deck Worksheet Q3 2012.xlsx"</definedName>
    <definedName name="CJan" localSheetId="9">#REF!</definedName>
    <definedName name="CJan" localSheetId="10">#REF!</definedName>
    <definedName name="CJan">#REF!</definedName>
    <definedName name="CJanApr" localSheetId="9">#REF!</definedName>
    <definedName name="CJanApr" localSheetId="10">#REF!</definedName>
    <definedName name="CJanApr">#REF!</definedName>
    <definedName name="CJanAug" localSheetId="9">#REF!</definedName>
    <definedName name="CJanAug" localSheetId="10">#REF!</definedName>
    <definedName name="CJanAug">#REF!</definedName>
    <definedName name="CJanDec" localSheetId="9">#REF!</definedName>
    <definedName name="CJanDec" localSheetId="10">#REF!</definedName>
    <definedName name="CJanDec">#REF!</definedName>
    <definedName name="CJanFeb" localSheetId="9">#REF!</definedName>
    <definedName name="CJanFeb" localSheetId="10">#REF!</definedName>
    <definedName name="CJanFeb">#REF!</definedName>
    <definedName name="CJanJul" localSheetId="9">#REF!</definedName>
    <definedName name="CJanJul" localSheetId="10">#REF!</definedName>
    <definedName name="CJanJul">#REF!</definedName>
    <definedName name="CJanJun" localSheetId="9">#REF!</definedName>
    <definedName name="CJanJun" localSheetId="10">#REF!</definedName>
    <definedName name="CJanJun">#REF!</definedName>
    <definedName name="CJanMar" localSheetId="9">#REF!</definedName>
    <definedName name="CJanMar" localSheetId="10">#REF!</definedName>
    <definedName name="CJanMar">#REF!</definedName>
    <definedName name="CJanMay" localSheetId="9">#REF!</definedName>
    <definedName name="CJanMay" localSheetId="10">#REF!</definedName>
    <definedName name="CJanMay">#REF!</definedName>
    <definedName name="CJanNov" localSheetId="9">#REF!</definedName>
    <definedName name="CJanNov" localSheetId="10">#REF!</definedName>
    <definedName name="CJanNov">#REF!</definedName>
    <definedName name="CJanOct" localSheetId="9">#REF!</definedName>
    <definedName name="CJanOct" localSheetId="10">#REF!</definedName>
    <definedName name="CJanOct">#REF!</definedName>
    <definedName name="CJanSep" localSheetId="9">#REF!</definedName>
    <definedName name="CJanSep" localSheetId="10">#REF!</definedName>
    <definedName name="CJanSep">#REF!</definedName>
    <definedName name="CJulDec" localSheetId="9">#REF!</definedName>
    <definedName name="CJulDec" localSheetId="10">#REF!</definedName>
    <definedName name="CJulDec">#REF!</definedName>
    <definedName name="CJunDec" localSheetId="9">#REF!</definedName>
    <definedName name="CJunDec" localSheetId="10">#REF!</definedName>
    <definedName name="CJunDec">#REF!</definedName>
    <definedName name="clgjv" localSheetId="9">#REF!</definedName>
    <definedName name="clgjv" localSheetId="10">#REF!</definedName>
    <definedName name="clgjv">#REF!</definedName>
    <definedName name="CMarDec" localSheetId="9">#REF!</definedName>
    <definedName name="CMarDec" localSheetId="10">#REF!</definedName>
    <definedName name="CMarDec">#REF!</definedName>
    <definedName name="CMayDec" localSheetId="9">#REF!</definedName>
    <definedName name="CMayDec" localSheetId="10">#REF!</definedName>
    <definedName name="CMayDec">#REF!</definedName>
    <definedName name="CNovDec" localSheetId="9">#REF!</definedName>
    <definedName name="CNovDec" localSheetId="10">#REF!</definedName>
    <definedName name="CNovDec">#REF!</definedName>
    <definedName name="COctDec" localSheetId="9">#REF!</definedName>
    <definedName name="COctDec" localSheetId="10">#REF!</definedName>
    <definedName name="COctDec">#REF!</definedName>
    <definedName name="COLLAR_CENTER" localSheetId="9">#REF!</definedName>
    <definedName name="COLLAR_CENTER" localSheetId="10">#REF!</definedName>
    <definedName name="COLLAR_CENTER">#REF!</definedName>
    <definedName name="COLLAR_LEFT" localSheetId="9">#REF!</definedName>
    <definedName name="COLLAR_LEFT" localSheetId="10">#REF!</definedName>
    <definedName name="COLLAR_LEFT">#REF!</definedName>
    <definedName name="COLLAR_RIGHT" localSheetId="9">#REF!</definedName>
    <definedName name="COLLAR_RIGHT" localSheetId="10">#REF!</definedName>
    <definedName name="COLLAR_RIGHT">#REF!</definedName>
    <definedName name="Comb_Qtr" localSheetId="9">#REF!</definedName>
    <definedName name="Comb_Qtr" localSheetId="10">#REF!</definedName>
    <definedName name="Comb_Qtr">#REF!</definedName>
    <definedName name="COMB05VSCOM" localSheetId="9">#REF!</definedName>
    <definedName name="COMB05VSCOM" localSheetId="10">#REF!</definedName>
    <definedName name="COMB05VSCOM">#REF!</definedName>
    <definedName name="COMB06VSCOM" localSheetId="9">#REF!</definedName>
    <definedName name="COMB06VSCOM" localSheetId="10">#REF!</definedName>
    <definedName name="COMB06VSCOM">#REF!</definedName>
    <definedName name="COMB07VSCOM" localSheetId="9">#REF!</definedName>
    <definedName name="COMB07VSCOM" localSheetId="10">#REF!</definedName>
    <definedName name="COMB07VSCOM">#REF!</definedName>
    <definedName name="COMBAOPM03QTD" localSheetId="9">#REF!</definedName>
    <definedName name="COMBAOPM03QTD" localSheetId="10">#REF!</definedName>
    <definedName name="COMBAOPM03QTD">#REF!</definedName>
    <definedName name="COMBAOPMO1" localSheetId="9">#REF!</definedName>
    <definedName name="COMBAOPMO1" localSheetId="10">#REF!</definedName>
    <definedName name="COMBAOPMO1">#REF!</definedName>
    <definedName name="COMBAOPMO2" localSheetId="9">#REF!</definedName>
    <definedName name="COMBAOPMO2" localSheetId="10">#REF!</definedName>
    <definedName name="COMBAOPMO2">#REF!</definedName>
    <definedName name="COMBAOPMO2QTD" localSheetId="9">#REF!</definedName>
    <definedName name="COMBAOPMO2QTD" localSheetId="10">#REF!</definedName>
    <definedName name="COMBAOPMO2QTD">#REF!</definedName>
    <definedName name="COMBAOPMO3" localSheetId="9">#REF!</definedName>
    <definedName name="COMBAOPMO3" localSheetId="10">#REF!</definedName>
    <definedName name="COMBAOPMO3">#REF!</definedName>
    <definedName name="COMBAOPQTR" localSheetId="9">#REF!</definedName>
    <definedName name="COMBAOPQTR" localSheetId="10">#REF!</definedName>
    <definedName name="COMBAOPQTR">#REF!</definedName>
    <definedName name="COMBAOPYR1" localSheetId="9">#REF!</definedName>
    <definedName name="COMBAOPYR1" localSheetId="10">#REF!</definedName>
    <definedName name="COMBAOPYR1">#REF!</definedName>
    <definedName name="COMBAOPYR2" localSheetId="9">#REF!</definedName>
    <definedName name="COMBAOPYR2" localSheetId="10">#REF!</definedName>
    <definedName name="COMBAOPYR2">#REF!</definedName>
    <definedName name="COMBAOPYR3" localSheetId="9">#REF!</definedName>
    <definedName name="COMBAOPYR3" localSheetId="10">#REF!</definedName>
    <definedName name="COMBAOPYR3">#REF!</definedName>
    <definedName name="COMBMONTH" localSheetId="9">#REF!</definedName>
    <definedName name="COMBMONTH" localSheetId="10">#REF!</definedName>
    <definedName name="COMBMONTH">#REF!</definedName>
    <definedName name="COMBQTRVSCOM" localSheetId="9">#REF!</definedName>
    <definedName name="COMBQTRVSCOM" localSheetId="10">#REF!</definedName>
    <definedName name="COMBQTRVSCOM">#REF!</definedName>
    <definedName name="commissionrate">'[6]Cost Savings Detail'!$F$144</definedName>
    <definedName name="COMMON" localSheetId="8">#REF!</definedName>
    <definedName name="COMMON" localSheetId="9">#REF!</definedName>
    <definedName name="COMMON" localSheetId="10">#REF!</definedName>
    <definedName name="COMMON">#REF!</definedName>
    <definedName name="comp" localSheetId="9">#REF!</definedName>
    <definedName name="comp" localSheetId="10">#REF!</definedName>
    <definedName name="comp">#REF!</definedName>
    <definedName name="Comps" localSheetId="9">#REF!</definedName>
    <definedName name="Comps" localSheetId="10">#REF!</definedName>
    <definedName name="Comps">#REF!</definedName>
    <definedName name="CONSERV" localSheetId="9">#REF!</definedName>
    <definedName name="CONSERV" localSheetId="10">#REF!</definedName>
    <definedName name="CONSERV">#REF!</definedName>
    <definedName name="convention" localSheetId="9">#REF!</definedName>
    <definedName name="convention" localSheetId="10">#REF!</definedName>
    <definedName name="convention">#REF!</definedName>
    <definedName name="convertcoupon" localSheetId="9">#REF!</definedName>
    <definedName name="convertcoupon" localSheetId="10">#REF!</definedName>
    <definedName name="convertcoupon">#REF!</definedName>
    <definedName name="Corp_Inis">'[7]Corporate Model'!$A$190</definedName>
    <definedName name="COSBYCLASS2" localSheetId="9">#REF!</definedName>
    <definedName name="COSBYCLASS2" localSheetId="10">#REF!</definedName>
    <definedName name="COSBYCLASS2">#REF!</definedName>
    <definedName name="costdebtfirm" localSheetId="9">#REF!</definedName>
    <definedName name="costdebtfirm" localSheetId="10">#REF!</definedName>
    <definedName name="costdebtfirm">#REF!</definedName>
    <definedName name="costequity" localSheetId="9">'[8]DCF Model'!#REF!</definedName>
    <definedName name="costequity" localSheetId="10">'[8]DCF Model'!#REF!</definedName>
    <definedName name="costequity">'[8]DCF Model'!#REF!</definedName>
    <definedName name="COSTS" localSheetId="8">#REF!</definedName>
    <definedName name="COSTS" localSheetId="9">#REF!</definedName>
    <definedName name="COSTS" localSheetId="10">#REF!</definedName>
    <definedName name="COSTS">#REF!</definedName>
    <definedName name="COSTWKSHT" localSheetId="8">#REF!</definedName>
    <definedName name="COSTWKSHT" localSheetId="9">#REF!</definedName>
    <definedName name="COSTWKSHT" localSheetId="10">#REF!</definedName>
    <definedName name="COSTWKSHT">#REF!</definedName>
    <definedName name="COUNTER" localSheetId="9">#REF!</definedName>
    <definedName name="COUNTER" localSheetId="10">#REF!</definedName>
    <definedName name="COUNTER">#REF!</definedName>
    <definedName name="Coupon" localSheetId="9">#REF!</definedName>
    <definedName name="Coupon" localSheetId="10">#REF!</definedName>
    <definedName name="Coupon">#REF!</definedName>
    <definedName name="cpi" localSheetId="9">#REF!</definedName>
    <definedName name="cpi" localSheetId="10">#REF!</definedName>
    <definedName name="cpi">#REF!</definedName>
    <definedName name="CREDITGRAPH" localSheetId="9">#REF!</definedName>
    <definedName name="CREDITGRAPH" localSheetId="10">#REF!</definedName>
    <definedName name="CREDITGRAPH">#REF!</definedName>
    <definedName name="CSepDec" localSheetId="9">#REF!</definedName>
    <definedName name="CSepDec" localSheetId="10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 localSheetId="8">#REF!</definedName>
    <definedName name="D_1" localSheetId="9">#REF!</definedName>
    <definedName name="D_1" localSheetId="10">#REF!</definedName>
    <definedName name="D_1">#REF!</definedName>
    <definedName name="D_10A" localSheetId="8">#REF!</definedName>
    <definedName name="D_10A" localSheetId="9">#REF!</definedName>
    <definedName name="D_10A" localSheetId="10">#REF!</definedName>
    <definedName name="D_10A">#REF!</definedName>
    <definedName name="D_10B" localSheetId="8">#REF!</definedName>
    <definedName name="D_10B" localSheetId="9">#REF!</definedName>
    <definedName name="D_10B" localSheetId="10">#REF!</definedName>
    <definedName name="D_10B">#REF!</definedName>
    <definedName name="D_11A" localSheetId="9">#REF!</definedName>
    <definedName name="D_11A" localSheetId="10">#REF!</definedName>
    <definedName name="D_11A">#REF!</definedName>
    <definedName name="D_11B" localSheetId="9">#REF!</definedName>
    <definedName name="D_11B" localSheetId="10">#REF!</definedName>
    <definedName name="D_11B">#REF!</definedName>
    <definedName name="D_11C" localSheetId="9">#REF!</definedName>
    <definedName name="D_11C" localSheetId="10">#REF!</definedName>
    <definedName name="D_11C">#REF!</definedName>
    <definedName name="D_11D" localSheetId="9">#REF!</definedName>
    <definedName name="D_11D" localSheetId="10">#REF!</definedName>
    <definedName name="D_11D">#REF!</definedName>
    <definedName name="D_12A" localSheetId="9">#REF!</definedName>
    <definedName name="D_12A" localSheetId="10">#REF!</definedName>
    <definedName name="D_12A">#REF!</definedName>
    <definedName name="D_12B" localSheetId="9">#REF!</definedName>
    <definedName name="D_12B" localSheetId="10">#REF!</definedName>
    <definedName name="D_12B">#REF!</definedName>
    <definedName name="D_3A" localSheetId="9">#REF!</definedName>
    <definedName name="D_3A" localSheetId="10">#REF!</definedName>
    <definedName name="D_3A">#REF!</definedName>
    <definedName name="D_3B" localSheetId="9">#REF!</definedName>
    <definedName name="D_3B" localSheetId="10">#REF!</definedName>
    <definedName name="D_3B">#REF!</definedName>
    <definedName name="D_4A" localSheetId="9">#REF!</definedName>
    <definedName name="D_4A" localSheetId="10">#REF!</definedName>
    <definedName name="D_4A">#REF!</definedName>
    <definedName name="D_4B" localSheetId="9">#REF!</definedName>
    <definedName name="D_4B" localSheetId="10">#REF!</definedName>
    <definedName name="D_4B">#REF!</definedName>
    <definedName name="D_5" localSheetId="9">#REF!</definedName>
    <definedName name="D_5" localSheetId="10">#REF!</definedName>
    <definedName name="D_5">#REF!</definedName>
    <definedName name="D_6" localSheetId="9">#REF!</definedName>
    <definedName name="D_6" localSheetId="10">#REF!</definedName>
    <definedName name="D_6">#REF!</definedName>
    <definedName name="D_7" localSheetId="9">#REF!</definedName>
    <definedName name="D_7" localSheetId="10">#REF!</definedName>
    <definedName name="D_7">#REF!</definedName>
    <definedName name="D_8" localSheetId="9">#REF!</definedName>
    <definedName name="D_8" localSheetId="10">#REF!</definedName>
    <definedName name="D_8">#REF!</definedName>
    <definedName name="D_9" localSheetId="9">#REF!</definedName>
    <definedName name="D_9" localSheetId="10">#REF!</definedName>
    <definedName name="D_9">#REF!</definedName>
    <definedName name="da">[13]Inputs!$B$2</definedName>
    <definedName name="Data">[14]Data!$A$1:$DY$75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DATE" localSheetId="9">#REF!</definedName>
    <definedName name="DATE" localSheetId="10">#REF!</definedName>
    <definedName name="DATE">#REF!</definedName>
    <definedName name="DCF" localSheetId="9">#REF!</definedName>
    <definedName name="DCF" localSheetId="10">#REF!</definedName>
    <definedName name="DCF">#REF!</definedName>
    <definedName name="DCF_NO_YRS" localSheetId="9">#REF!</definedName>
    <definedName name="DCF_NO_YRS" localSheetId="10">#REF!</definedName>
    <definedName name="DCF_NO_YRS">#REF!</definedName>
    <definedName name="DCF_VAL_MNTH" localSheetId="9">#REF!</definedName>
    <definedName name="DCF_VAL_MNTH" localSheetId="10">#REF!</definedName>
    <definedName name="DCF_VAL_MNTH">#REF!</definedName>
    <definedName name="DEAL" localSheetId="9">[15]Fin_Assumptions!#REF!</definedName>
    <definedName name="DEAL" localSheetId="10">[15]Fin_Assumptions!#REF!</definedName>
    <definedName name="DEAL">[15]Fin_Assumptions!#REF!</definedName>
    <definedName name="Debt" localSheetId="9">'[16]B&amp;W WACC'!#REF!</definedName>
    <definedName name="Debt" localSheetId="10">'[16]B&amp;W WACC'!#REF!</definedName>
    <definedName name="Debt">'[16]B&amp;W WACC'!#REF!</definedName>
    <definedName name="Debt_Beta" localSheetId="9">'[16]B&amp;W WACC'!#REF!</definedName>
    <definedName name="Debt_Beta" localSheetId="10">'[16]B&amp;W WACC'!#REF!</definedName>
    <definedName name="Debt_Beta">'[16]B&amp;W WACC'!#REF!</definedName>
    <definedName name="debt_weight" localSheetId="9">#REF!</definedName>
    <definedName name="debt_weight" localSheetId="10">#REF!</definedName>
    <definedName name="debt_weight">#REF!</definedName>
    <definedName name="debtrate" localSheetId="9">#REF!</definedName>
    <definedName name="debtrate" localSheetId="10">#REF!</definedName>
    <definedName name="debtrate">#REF!</definedName>
    <definedName name="deferred" localSheetId="9">[15]Fin_Assumptions!#REF!</definedName>
    <definedName name="deferred" localSheetId="10">[15]Fin_Assumptions!#REF!</definedName>
    <definedName name="deferred">[15]Fin_Assumptions!#REF!</definedName>
    <definedName name="DEFTAXES" localSheetId="8">#REF!</definedName>
    <definedName name="DEFTAXES" localSheetId="9">#REF!</definedName>
    <definedName name="DEFTAXES" localSheetId="10">#REF!</definedName>
    <definedName name="DEFTAXES">#REF!</definedName>
    <definedName name="DELCUST" localSheetId="8">#REF!</definedName>
    <definedName name="DELCUST" localSheetId="9">#REF!</definedName>
    <definedName name="DELCUST" localSheetId="10">#REF!</definedName>
    <definedName name="DELCUST">#REF!</definedName>
    <definedName name="DELINC" localSheetId="8">#REF!</definedName>
    <definedName name="DELINC" localSheetId="9">#REF!</definedName>
    <definedName name="DELINC" localSheetId="10">#REF!</definedName>
    <definedName name="DELINC">#REF!</definedName>
    <definedName name="DELIVINCREM" localSheetId="9">#REF!</definedName>
    <definedName name="DELIVINCREM" localSheetId="10">#REF!</definedName>
    <definedName name="DELIVINCREM">#REF!</definedName>
    <definedName name="DELUNIT" localSheetId="9">#REF!</definedName>
    <definedName name="DELUNIT" localSheetId="10">#REF!</definedName>
    <definedName name="DELUNIT">#REF!</definedName>
    <definedName name="DEPRBYDIST">[17]DeprCoDetail:DeprSum!$A$1:$G$36</definedName>
    <definedName name="DETAILHESTER" localSheetId="9">#REF!</definedName>
    <definedName name="DETAILHESTER" localSheetId="10">#REF!</definedName>
    <definedName name="DETAILHESTER">#REF!</definedName>
    <definedName name="dfdfdf" localSheetId="9" hidden="1">[3]FxdChg!#REF!</definedName>
    <definedName name="dfdfdf" localSheetId="10" hidden="1">[3]FxdChg!#REF!</definedName>
    <definedName name="dfdfdf" hidden="1">[3]FxdChg!#REF!</definedName>
    <definedName name="DIR" localSheetId="9">[18]Inputs!#REF!</definedName>
    <definedName name="DIR" localSheetId="10">[18]Inputs!#REF!</definedName>
    <definedName name="DIR">[18]Inputs!#REF!</definedName>
    <definedName name="Discounted" localSheetId="9">#REF!</definedName>
    <definedName name="Discounted" localSheetId="10">#REF!</definedName>
    <definedName name="Discounted">#REF!</definedName>
    <definedName name="DisplaySelectedSheetsMacroButton" localSheetId="9">#REF!</definedName>
    <definedName name="DisplaySelectedSheetsMacroButton" localSheetId="10">#REF!</definedName>
    <definedName name="DisplaySelectedSheetsMacroButton">#REF!</definedName>
    <definedName name="div" localSheetId="9">#REF!</definedName>
    <definedName name="div" localSheetId="10">#REF!</definedName>
    <definedName name="div">#REF!</definedName>
    <definedName name="dividend" localSheetId="9">#REF!</definedName>
    <definedName name="dividend" localSheetId="10">#REF!</definedName>
    <definedName name="dividend">#REF!</definedName>
    <definedName name="DIVIDENDS" localSheetId="9">#REF!</definedName>
    <definedName name="DIVIDENDS" localSheetId="10">#REF!</definedName>
    <definedName name="DIVIDENDS">#REF!</definedName>
    <definedName name="DocType" localSheetId="9">Word</definedName>
    <definedName name="DocType" localSheetId="10">Word</definedName>
    <definedName name="DocType">Word</definedName>
    <definedName name="dollar2" localSheetId="9">'[19]Dollar for Dollar'!#REF!</definedName>
    <definedName name="dollar2" localSheetId="10">'[19]Dollar for Dollar'!#REF!</definedName>
    <definedName name="dollar2">'[19]Dollar for Dollar'!#REF!</definedName>
    <definedName name="downside" localSheetId="9">[20]Transaction!#REF!</definedName>
    <definedName name="downside" localSheetId="10">[20]Transaction!#REF!</definedName>
    <definedName name="downside">[20]Transaction!#REF!</definedName>
    <definedName name="DP" localSheetId="9">[21]Schedules!#REF!</definedName>
    <definedName name="DP" localSheetId="10">[21]Schedules!#REF!</definedName>
    <definedName name="DP">[21]Schedules!#REF!</definedName>
    <definedName name="DRAFT" localSheetId="8">#REF!</definedName>
    <definedName name="DRAFT" localSheetId="9">#REF!</definedName>
    <definedName name="DRAFT" localSheetId="10">#REF!</definedName>
    <definedName name="DRAFT">#REF!</definedName>
    <definedName name="DUMMY" localSheetId="8">#REF!</definedName>
    <definedName name="DUMMY" localSheetId="9">#REF!</definedName>
    <definedName name="DUMMY" localSheetId="10">#REF!</definedName>
    <definedName name="DUMMY">#REF!</definedName>
    <definedName name="e_cust" localSheetId="9">[22]Lookups!#REF!</definedName>
    <definedName name="e_cust" localSheetId="10">[22]Lookups!#REF!</definedName>
    <definedName name="e_cust">[22]Lookups!#REF!</definedName>
    <definedName name="e_gen" localSheetId="9">[22]Lookups!#REF!</definedName>
    <definedName name="e_gen" localSheetId="10">[22]Lookups!#REF!</definedName>
    <definedName name="e_gen">[22]Lookups!#REF!</definedName>
    <definedName name="e_labor" localSheetId="9">[22]Lookups!#REF!</definedName>
    <definedName name="e_labor" localSheetId="10">[22]Lookups!#REF!</definedName>
    <definedName name="e_labor">[22]Lookups!#REF!</definedName>
    <definedName name="e_mat" localSheetId="9">[22]Lookups!#REF!</definedName>
    <definedName name="e_mat" localSheetId="10">[22]Lookups!#REF!</definedName>
    <definedName name="e_mat">[22]Lookups!#REF!</definedName>
    <definedName name="e_ohead" localSheetId="9">[22]Lookups!#REF!</definedName>
    <definedName name="e_ohead" localSheetId="10">[22]Lookups!#REF!</definedName>
    <definedName name="e_ohead">[22]Lookups!#REF!</definedName>
    <definedName name="e_sell" localSheetId="9">[22]Lookups!#REF!</definedName>
    <definedName name="e_sell" localSheetId="10">[22]Lookups!#REF!</definedName>
    <definedName name="e_sell">[22]Lookups!#REF!</definedName>
    <definedName name="e_sell2" localSheetId="9">[22]Lookups!#REF!</definedName>
    <definedName name="e_sell2" localSheetId="10">[22]Lookups!#REF!</definedName>
    <definedName name="e_sell2">[22]Lookups!#REF!</definedName>
    <definedName name="earn" localSheetId="9">#REF!</definedName>
    <definedName name="earn" localSheetId="10">#REF!</definedName>
    <definedName name="earn">#REF!</definedName>
    <definedName name="ebsens">'[23]Trans Assump'!$G$56</definedName>
    <definedName name="em_sales" localSheetId="9">[22]Lookups!#REF!</definedName>
    <definedName name="em_sales" localSheetId="10">[22]Lookups!#REF!</definedName>
    <definedName name="em_sales">[22]Lookups!#REF!</definedName>
    <definedName name="EMINTOPGAS" localSheetId="9">#REF!</definedName>
    <definedName name="EMINTOPGAS" localSheetId="10">#REF!</definedName>
    <definedName name="EMINTOPGAS">#REF!</definedName>
    <definedName name="ENVIRO" localSheetId="8">#REF!</definedName>
    <definedName name="ENVIRO" localSheetId="9">#REF!</definedName>
    <definedName name="ENVIRO" localSheetId="10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 localSheetId="9">[15]Fin_Assumptions!#REF!</definedName>
    <definedName name="EXCESS" localSheetId="10">[15]Fin_Assumptions!#REF!</definedName>
    <definedName name="EXCESS">[15]Fin_Assumptions!#REF!</definedName>
    <definedName name="EXCHANGE" localSheetId="9">[15]Fin_Assumptions!#REF!</definedName>
    <definedName name="EXCHANGE" localSheetId="10">[15]Fin_Assumptions!#REF!</definedName>
    <definedName name="EXCHANGE">[15]Fin_Assumptions!#REF!</definedName>
    <definedName name="exchangerate">[9]DCEInputs!$I$8</definedName>
    <definedName name="excl_data" localSheetId="9">#REF!</definedName>
    <definedName name="excl_data" localSheetId="10">#REF!</definedName>
    <definedName name="excl_data">#REF!</definedName>
    <definedName name="EXDATE" localSheetId="9">#REF!</definedName>
    <definedName name="EXDATE" localSheetId="10">#REF!</definedName>
    <definedName name="EXDATE">#REF!</definedName>
    <definedName name="exit" localSheetId="9">#REF!</definedName>
    <definedName name="exit" localSheetId="10">#REF!</definedName>
    <definedName name="exit">#REF!</definedName>
    <definedName name="exit_own" localSheetId="9">'[26]Deal Summary'!#REF!</definedName>
    <definedName name="exit_own" localSheetId="10">'[26]Deal Summary'!#REF!</definedName>
    <definedName name="exit_own">'[26]Deal Summary'!#REF!</definedName>
    <definedName name="exitentvalue" localSheetId="9">[27]Transaction!#REF!</definedName>
    <definedName name="exitentvalue" localSheetId="10">[27]Transaction!#REF!</definedName>
    <definedName name="exitentvalue">[27]Transaction!#REF!</definedName>
    <definedName name="exitmult" localSheetId="9">#REF!</definedName>
    <definedName name="exitmult" localSheetId="10">#REF!</definedName>
    <definedName name="exitmult">#REF!</definedName>
    <definedName name="exitstart" localSheetId="9">#REF!</definedName>
    <definedName name="exitstart" localSheetId="10">#REF!</definedName>
    <definedName name="exitstart">#REF!</definedName>
    <definedName name="exitstep" localSheetId="9">#REF!</definedName>
    <definedName name="exitstep" localSheetId="10">#REF!</definedName>
    <definedName name="exitstep">#REF!</definedName>
    <definedName name="f" localSheetId="9">Word</definedName>
    <definedName name="f" localSheetId="10">Word</definedName>
    <definedName name="f">Word</definedName>
    <definedName name="FACTORS2" localSheetId="9">#REF!</definedName>
    <definedName name="FACTORS2" localSheetId="10">#REF!</definedName>
    <definedName name="FACTORS2">#REF!</definedName>
    <definedName name="FASB106" localSheetId="8">#REF!</definedName>
    <definedName name="FASB106" localSheetId="9">#REF!</definedName>
    <definedName name="FASB106" localSheetId="10">#REF!</definedName>
    <definedName name="FASB106">#REF!</definedName>
    <definedName name="FD" localSheetId="9">'[28]DCF Matrix'!#REF!</definedName>
    <definedName name="FD" localSheetId="10">'[28]DCF Matrix'!#REF!</definedName>
    <definedName name="FD">'[28]DCF Matrix'!#REF!</definedName>
    <definedName name="fds">'[29]FRCT INPUT-CFG'!$D$41:$H$41</definedName>
    <definedName name="FERNCUST" localSheetId="8">#REF!</definedName>
    <definedName name="FERNCUST" localSheetId="9">#REF!</definedName>
    <definedName name="FERNCUST" localSheetId="10">#REF!</definedName>
    <definedName name="FERNCUST">#REF!</definedName>
    <definedName name="FERNINC" localSheetId="8">#REF!</definedName>
    <definedName name="FERNINC" localSheetId="9">#REF!</definedName>
    <definedName name="FERNINC" localSheetId="10">#REF!</definedName>
    <definedName name="FERNINC">#REF!</definedName>
    <definedName name="FERNUNIT" localSheetId="8">#REF!</definedName>
    <definedName name="FERNUNIT" localSheetId="9">#REF!</definedName>
    <definedName name="FERNUNIT" localSheetId="10">#REF!</definedName>
    <definedName name="FERNUNIT">#REF!</definedName>
    <definedName name="FileName">[30]Sheet1!$D$2</definedName>
    <definedName name="FINAL" localSheetId="8">#REF!</definedName>
    <definedName name="FINAL" localSheetId="9">#REF!</definedName>
    <definedName name="FINAL" localSheetId="10">#REF!</definedName>
    <definedName name="FINAL">#REF!</definedName>
    <definedName name="financialcase">[6]Model!$D$8</definedName>
    <definedName name="Fincase" localSheetId="9">#REF!</definedName>
    <definedName name="Fincase" localSheetId="10">#REF!</definedName>
    <definedName name="Fincase">#REF!</definedName>
    <definedName name="finfees?" localSheetId="9">#REF!</definedName>
    <definedName name="finfees?" localSheetId="10">#REF!</definedName>
    <definedName name="finfees?">#REF!</definedName>
    <definedName name="fix" localSheetId="9">#REF!</definedName>
    <definedName name="fix" localSheetId="10">#REF!</definedName>
    <definedName name="fix">#REF!</definedName>
    <definedName name="fixed" localSheetId="9">[15]Controls!#REF!</definedName>
    <definedName name="fixed" localSheetId="10">[15]Controls!#REF!</definedName>
    <definedName name="fixed">[15]Controls!#REF!</definedName>
    <definedName name="fixedmargin">[6]Model!$AA$178</definedName>
    <definedName name="FLO" localSheetId="8">#REF!</definedName>
    <definedName name="FLO" localSheetId="9">#REF!</definedName>
    <definedName name="FLO" localSheetId="10">#REF!</definedName>
    <definedName name="FLO">#REF!</definedName>
    <definedName name="FNAME" localSheetId="9">[18]Inputs!#REF!</definedName>
    <definedName name="FNAME" localSheetId="10">[18]Inputs!#REF!</definedName>
    <definedName name="FNAME">[18]Inputs!#REF!</definedName>
    <definedName name="FPUC_10_year" localSheetId="8">#REF!</definedName>
    <definedName name="FPUC_10_year" localSheetId="9">#REF!</definedName>
    <definedName name="FPUC_10_year" localSheetId="10">#REF!</definedName>
    <definedName name="FPUC_10_year">#REF!</definedName>
    <definedName name="FPUINC" localSheetId="8">[31]FPUINC!#REF!</definedName>
    <definedName name="FPUINC" localSheetId="9">[31]FPUINC!#REF!</definedName>
    <definedName name="FPUINC" localSheetId="10">[31]FPUINC!#REF!</definedName>
    <definedName name="FPUINC">[31]FPUINC!#REF!</definedName>
    <definedName name="FPUP1R" localSheetId="8">#REF!</definedName>
    <definedName name="FPUP1R" localSheetId="9">#REF!</definedName>
    <definedName name="FPUP1R" localSheetId="10">#REF!</definedName>
    <definedName name="FPUP1R">#REF!</definedName>
    <definedName name="FPUP2AL" localSheetId="8">#REF!</definedName>
    <definedName name="FPUP2AL" localSheetId="9">#REF!</definedName>
    <definedName name="FPUP2AL" localSheetId="10">#REF!</definedName>
    <definedName name="FPUP2AL">#REF!</definedName>
    <definedName name="FPUP2L" localSheetId="8">#REF!</definedName>
    <definedName name="FPUP2L" localSheetId="9">#REF!</definedName>
    <definedName name="FPUP2L" localSheetId="10">#REF!</definedName>
    <definedName name="FPUP2L">#REF!</definedName>
    <definedName name="FROM_MERGER" localSheetId="9">[18]Inputs!#REF!</definedName>
    <definedName name="FROM_MERGER" localSheetId="10">[18]Inputs!#REF!</definedName>
    <definedName name="FROM_MERGER">[18]Inputs!#REF!</definedName>
    <definedName name="ftdexit" localSheetId="9">#REF!</definedName>
    <definedName name="ftdexit" localSheetId="10">#REF!</definedName>
    <definedName name="ftdexit">#REF!</definedName>
    <definedName name="ftdlev" localSheetId="9">[20]Transaction!#REF!</definedName>
    <definedName name="ftdlev" localSheetId="10">[20]Transaction!#REF!</definedName>
    <definedName name="ftdlev">[20]Transaction!#REF!</definedName>
    <definedName name="ftdpm" localSheetId="9">[20]Transaction!#REF!</definedName>
    <definedName name="ftdpm" localSheetId="10">[20]Transaction!#REF!</definedName>
    <definedName name="ftdpm">[20]Transaction!#REF!</definedName>
    <definedName name="ftdprice" localSheetId="9">[20]Transaction!#REF!</definedName>
    <definedName name="ftdprice" localSheetId="10">[20]Transaction!#REF!</definedName>
    <definedName name="ftdprice">[20]Transaction!#REF!</definedName>
    <definedName name="fyf" localSheetId="9">#REF!</definedName>
    <definedName name="fyf" localSheetId="10">#REF!</definedName>
    <definedName name="fyf">#REF!</definedName>
    <definedName name="GMAprDec" localSheetId="9">#REF!</definedName>
    <definedName name="GMAprDec" localSheetId="10">#REF!</definedName>
    <definedName name="GMAprDec">#REF!</definedName>
    <definedName name="GMAugDec" localSheetId="9">#REF!</definedName>
    <definedName name="GMAugDec" localSheetId="10">#REF!</definedName>
    <definedName name="GMAugDec">#REF!</definedName>
    <definedName name="GMDec" localSheetId="9">#REF!</definedName>
    <definedName name="GMDec" localSheetId="10">#REF!</definedName>
    <definedName name="GMDec">#REF!</definedName>
    <definedName name="GMFebDec" localSheetId="9">#REF!</definedName>
    <definedName name="GMFebDec" localSheetId="10">#REF!</definedName>
    <definedName name="GMFebDec">#REF!</definedName>
    <definedName name="GMJan" localSheetId="9">#REF!</definedName>
    <definedName name="GMJan" localSheetId="10">#REF!</definedName>
    <definedName name="GMJan">#REF!</definedName>
    <definedName name="GMJanApr" localSheetId="9">#REF!</definedName>
    <definedName name="GMJanApr" localSheetId="10">#REF!</definedName>
    <definedName name="GMJanApr">#REF!</definedName>
    <definedName name="GMJanAug" localSheetId="9">#REF!</definedName>
    <definedName name="GMJanAug" localSheetId="10">#REF!</definedName>
    <definedName name="GMJanAug">#REF!</definedName>
    <definedName name="GMJanDec" localSheetId="9">#REF!</definedName>
    <definedName name="GMJanDec" localSheetId="10">#REF!</definedName>
    <definedName name="GMJanDec">#REF!</definedName>
    <definedName name="GMJanFeb" localSheetId="9">#REF!</definedName>
    <definedName name="GMJanFeb" localSheetId="10">#REF!</definedName>
    <definedName name="GMJanFeb">#REF!</definedName>
    <definedName name="GMJanJul" localSheetId="9">#REF!</definedName>
    <definedName name="GMJanJul" localSheetId="10">#REF!</definedName>
    <definedName name="GMJanJul">#REF!</definedName>
    <definedName name="GMJanJun" localSheetId="9">#REF!</definedName>
    <definedName name="GMJanJun" localSheetId="10">#REF!</definedName>
    <definedName name="GMJanJun">#REF!</definedName>
    <definedName name="GMJanMar" localSheetId="9">#REF!</definedName>
    <definedName name="GMJanMar" localSheetId="10">#REF!</definedName>
    <definedName name="GMJanMar">#REF!</definedName>
    <definedName name="GMJanMay">'[32]FRCT INPUT-FE'!$D$41:$H$41</definedName>
    <definedName name="GMJanNov" localSheetId="9">#REF!</definedName>
    <definedName name="GMJanNov" localSheetId="10">#REF!</definedName>
    <definedName name="GMJanNov">#REF!</definedName>
    <definedName name="GMJanOct" localSheetId="9">#REF!</definedName>
    <definedName name="GMJanOct" localSheetId="10">#REF!</definedName>
    <definedName name="GMJanOct">#REF!</definedName>
    <definedName name="GMJanSep" localSheetId="9">#REF!</definedName>
    <definedName name="GMJanSep" localSheetId="10">#REF!</definedName>
    <definedName name="GMJanSep">#REF!</definedName>
    <definedName name="GMJulDec" localSheetId="9">#REF!</definedName>
    <definedName name="GMJulDec" localSheetId="10">#REF!</definedName>
    <definedName name="GMJulDec">#REF!</definedName>
    <definedName name="GMJunDec" localSheetId="9">#REF!</definedName>
    <definedName name="GMJunDec" localSheetId="10">#REF!</definedName>
    <definedName name="GMJunDec">#REF!</definedName>
    <definedName name="GMMarDec" localSheetId="9">#REF!</definedName>
    <definedName name="GMMarDec" localSheetId="10">#REF!</definedName>
    <definedName name="GMMarDec">#REF!</definedName>
    <definedName name="GMMayDec" localSheetId="9">#REF!</definedName>
    <definedName name="GMMayDec" localSheetId="10">#REF!</definedName>
    <definedName name="GMMayDec">#REF!</definedName>
    <definedName name="GMNovDec" localSheetId="9">#REF!</definedName>
    <definedName name="GMNovDec" localSheetId="10">#REF!</definedName>
    <definedName name="GMNovDec">#REF!</definedName>
    <definedName name="GMOctDec" localSheetId="9">#REF!</definedName>
    <definedName name="GMOctDec" localSheetId="10">#REF!</definedName>
    <definedName name="GMOctDec">#REF!</definedName>
    <definedName name="GMSepDec" localSheetId="9">#REF!</definedName>
    <definedName name="GMSepDec" localSheetId="10">#REF!</definedName>
    <definedName name="GMSepDec">#REF!</definedName>
    <definedName name="gnsusd" localSheetId="9">#REF!</definedName>
    <definedName name="gnsusd" localSheetId="10">#REF!</definedName>
    <definedName name="gnsusd">#REF!</definedName>
    <definedName name="goodwill">[6]Model!$D$11</definedName>
    <definedName name="GRAPH" localSheetId="9">#REF!</definedName>
    <definedName name="GRAPH" localSheetId="10">#REF!</definedName>
    <definedName name="GRAPH">#REF!</definedName>
    <definedName name="growth">[9]DCEInputs!$I$24</definedName>
    <definedName name="h10IRR" localSheetId="9">[33]Model!#REF!</definedName>
    <definedName name="h10IRR" localSheetId="10">[33]Model!#REF!</definedName>
    <definedName name="h10IRR">[33]Model!#REF!</definedName>
    <definedName name="hdebtserv" localSheetId="9">[26]Rolex!#REF!</definedName>
    <definedName name="hdebtserv" localSheetId="10">[26]Rolex!#REF!</definedName>
    <definedName name="hdebtserv">[26]Rolex!#REF!</definedName>
    <definedName name="HedgeType">'[34]Financing Assumptions'!$N$12</definedName>
    <definedName name="helmsum" localSheetId="9">#REF!</definedName>
    <definedName name="helmsum" localSheetId="10">#REF!</definedName>
    <definedName name="helmsum">#REF!</definedName>
    <definedName name="HIST" localSheetId="9">#REF!</definedName>
    <definedName name="HIST" localSheetId="10">#REF!</definedName>
    <definedName name="HIST">#REF!</definedName>
    <definedName name="HISTGRAPH" localSheetId="9">#REF!</definedName>
    <definedName name="HISTGRAPH" localSheetId="10">#REF!</definedName>
    <definedName name="HISTGRAPH">#REF!</definedName>
    <definedName name="HISTINPUTS" localSheetId="9">#REF!</definedName>
    <definedName name="HISTINPUTS" localSheetId="10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 localSheetId="9">[18]Inputs!#REF!</definedName>
    <definedName name="IDENTIFIER" localSheetId="10">[18]Inputs!#REF!</definedName>
    <definedName name="IDENTIFIER">[18]Inputs!#REF!</definedName>
    <definedName name="incl_data" localSheetId="9">#REF!</definedName>
    <definedName name="incl_data" localSheetId="10">#REF!</definedName>
    <definedName name="incl_data">#REF!</definedName>
    <definedName name="INCREMCOS" localSheetId="9">#REF!</definedName>
    <definedName name="INCREMCOS" localSheetId="10">#REF!</definedName>
    <definedName name="INCREMCOS">#REF!</definedName>
    <definedName name="INCREMDELIV" localSheetId="9">#REF!</definedName>
    <definedName name="INCREMDELIV" localSheetId="10">#REF!</definedName>
    <definedName name="INCREMDELIV">#REF!</definedName>
    <definedName name="INCREMDTMILES" localSheetId="9">#REF!</definedName>
    <definedName name="INCREMDTMILES" localSheetId="10">#REF!</definedName>
    <definedName name="INCREMDTMILES">#REF!</definedName>
    <definedName name="INCREMINPUT" localSheetId="9">#REF!</definedName>
    <definedName name="INCREMINPUT" localSheetId="10">#REF!</definedName>
    <definedName name="INCREMINPUT">#REF!</definedName>
    <definedName name="industrial" localSheetId="9">[35]TRANSACTION!#REF!</definedName>
    <definedName name="industrial" localSheetId="10">[35]TRANSACTION!#REF!</definedName>
    <definedName name="industrial">[35]TRANSACTION!#REF!</definedName>
    <definedName name="inflation">'[6]Cost Savings Detail'!$F$143</definedName>
    <definedName name="inflator" localSheetId="9">#REF!</definedName>
    <definedName name="inflator" localSheetId="10">#REF!</definedName>
    <definedName name="inflator">#REF!</definedName>
    <definedName name="INPUT1" localSheetId="9">#REF!</definedName>
    <definedName name="INPUT1" localSheetId="10">#REF!</definedName>
    <definedName name="INPUT1">#REF!</definedName>
    <definedName name="INPUT2" localSheetId="9">#REF!</definedName>
    <definedName name="INPUT2" localSheetId="10">#REF!</definedName>
    <definedName name="INPUT2">#REF!</definedName>
    <definedName name="INPUT3" localSheetId="9">#REF!</definedName>
    <definedName name="INPUT3" localSheetId="10">#REF!</definedName>
    <definedName name="INPUT3">#REF!</definedName>
    <definedName name="INPUT4" localSheetId="9">#REF!</definedName>
    <definedName name="INPUT4" localSheetId="10">#REF!</definedName>
    <definedName name="INPUT4">#REF!</definedName>
    <definedName name="INPUTINCREMDEL" localSheetId="9">#REF!</definedName>
    <definedName name="INPUTINCREMDEL" localSheetId="10">#REF!</definedName>
    <definedName name="INPUTINCREMDEL">#REF!</definedName>
    <definedName name="INPUTINCREMMILE" localSheetId="9">#REF!</definedName>
    <definedName name="INPUTINCREMMILE" localSheetId="10">#REF!</definedName>
    <definedName name="INPUTINCREMMILE">#REF!</definedName>
    <definedName name="INPUTOTHERMILES" localSheetId="9">#REF!</definedName>
    <definedName name="INPUTOTHERMILES" localSheetId="10">#REF!</definedName>
    <definedName name="INPUTOTHERMILES">#REF!</definedName>
    <definedName name="INPUTS" localSheetId="9">#REF!</definedName>
    <definedName name="INPUTS" localSheetId="10">#REF!</definedName>
    <definedName name="INPUTS">#REF!</definedName>
    <definedName name="INPUTSTORLABOR" localSheetId="9">#REF!</definedName>
    <definedName name="INPUTSTORLABOR" localSheetId="10">#REF!</definedName>
    <definedName name="INPUTSTORLABOR">#REF!</definedName>
    <definedName name="INPUTSTORMAT" localSheetId="9">#REF!</definedName>
    <definedName name="INPUTSTORMAT" localSheetId="10">#REF!</definedName>
    <definedName name="INPUTSTORMAT">#REF!</definedName>
    <definedName name="INPUTSTORPRINT" localSheetId="9">#REF!</definedName>
    <definedName name="INPUTSTORPRINT" localSheetId="10">#REF!</definedName>
    <definedName name="INPUTSTORPRINT">#REF!</definedName>
    <definedName name="INT" localSheetId="9">[21]Schedules!#REF!</definedName>
    <definedName name="INT" localSheetId="10">[21]Schedules!#REF!</definedName>
    <definedName name="INT">[21]Schedules!#REF!</definedName>
    <definedName name="interco" localSheetId="9">[35]TRANSACTION!#REF!</definedName>
    <definedName name="interco" localSheetId="10">[35]TRANSACTION!#REF!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 localSheetId="9">#REF!</definedName>
    <definedName name="irrtarget" localSheetId="10">#REF!</definedName>
    <definedName name="irrtarget">#REF!</definedName>
    <definedName name="IS" localSheetId="9">#REF!</definedName>
    <definedName name="IS" localSheetId="10">#REF!</definedName>
    <definedName name="IS">#REF!</definedName>
    <definedName name="isisval" localSheetId="9">#REF!</definedName>
    <definedName name="isisval" localSheetId="10">#REF!</definedName>
    <definedName name="isisval">#REF!</definedName>
    <definedName name="ISS_OFF_LINE1" localSheetId="9">#REF!</definedName>
    <definedName name="ISS_OFF_LINE1" localSheetId="10">#REF!</definedName>
    <definedName name="ISS_OFF_LINE1">#REF!</definedName>
    <definedName name="ISS_OFF_LOOP" localSheetId="9">#REF!</definedName>
    <definedName name="ISS_OFF_LOOP" localSheetId="10">#REF!</definedName>
    <definedName name="ISS_OFF_LOOP">#REF!</definedName>
    <definedName name="ISS_OFF_RANGE" localSheetId="9">#REF!</definedName>
    <definedName name="ISS_OFF_RANGE" localSheetId="10">#REF!</definedName>
    <definedName name="ISS_OFF_RANGE">#REF!</definedName>
    <definedName name="ISS_OFF_RESULTS" localSheetId="9">#REF!</definedName>
    <definedName name="ISS_OFF_RESULTS" localSheetId="10">#REF!</definedName>
    <definedName name="ISS_OFF_RESULTS">#REF!</definedName>
    <definedName name="ISS_OFF_RUN" localSheetId="9">#REF!</definedName>
    <definedName name="ISS_OFF_RUN" localSheetId="10">#REF!</definedName>
    <definedName name="ISS_OFF_RUN">#REF!</definedName>
    <definedName name="ITC" localSheetId="9">#REF!</definedName>
    <definedName name="ITC" localSheetId="10">#REF!</definedName>
    <definedName name="ITC">#REF!</definedName>
    <definedName name="JANET" localSheetId="9">#REF!</definedName>
    <definedName name="JANET" localSheetId="10">#REF!</definedName>
    <definedName name="JANET">#REF!</definedName>
    <definedName name="JJJ" localSheetId="9">#REF!</definedName>
    <definedName name="JJJ" localSheetId="10">#REF!</definedName>
    <definedName name="JJJ">#REF!</definedName>
    <definedName name="JJJJ" localSheetId="9">#REF!</definedName>
    <definedName name="JJJJ" localSheetId="10">#REF!</definedName>
    <definedName name="JJJJ">#REF!</definedName>
    <definedName name="JOE" localSheetId="9">#REF!</definedName>
    <definedName name="JOE" localSheetId="10">#REF!</definedName>
    <definedName name="JOE">#REF!</definedName>
    <definedName name="JRM_Inis">'[7]JRM Model'!$A$191</definedName>
    <definedName name="jv" localSheetId="9">#REF!</definedName>
    <definedName name="jv" localSheetId="10">#REF!</definedName>
    <definedName name="jv">#REF!</definedName>
    <definedName name="k" localSheetId="9">#REF!</definedName>
    <definedName name="k" localSheetId="10">#REF!</definedName>
    <definedName name="k">#REF!</definedName>
    <definedName name="KDATE" localSheetId="9">#REF!</definedName>
    <definedName name="KDATE" localSheetId="10">#REF!</definedName>
    <definedName name="KDATE">#REF!</definedName>
    <definedName name="KKR_Deal_Fee">[36]Triggers!$E$23</definedName>
    <definedName name="l" localSheetId="9">[37]DE!#REF!</definedName>
    <definedName name="l" localSheetId="10">[37]DE!#REF!</definedName>
    <definedName name="l">[37]DE!#REF!</definedName>
    <definedName name="lbo">[38]LBOSourceUse!$D$7</definedName>
    <definedName name="LBO_MODEL">[39]TRANS!$D$10</definedName>
    <definedName name="LBO_PR1" localSheetId="9">#REF!</definedName>
    <definedName name="LBO_PR1" localSheetId="10">#REF!</definedName>
    <definedName name="LBO_PR1">#REF!</definedName>
    <definedName name="LBO_PR2" localSheetId="9">#REF!</definedName>
    <definedName name="LBO_PR2" localSheetId="10">#REF!</definedName>
    <definedName name="LBO_PR2">#REF!</definedName>
    <definedName name="LBO_PR4" localSheetId="9">#REF!</definedName>
    <definedName name="LBO_PR4" localSheetId="10">#REF!</definedName>
    <definedName name="LBO_PR4">#REF!</definedName>
    <definedName name="LBO_PR5" localSheetId="9">#REF!</definedName>
    <definedName name="LBO_PR5" localSheetId="10">#REF!</definedName>
    <definedName name="LBO_PR5">#REF!</definedName>
    <definedName name="LBO_PRICE" localSheetId="9">'[26]Trans Assump'!#REF!</definedName>
    <definedName name="LBO_PRICE" localSheetId="10">'[26]Trans Assump'!#REF!</definedName>
    <definedName name="LBO_PRICE">'[26]Trans Assump'!#REF!</definedName>
    <definedName name="LBO_SENS_STATS" localSheetId="9">#REF!</definedName>
    <definedName name="LBO_SENS_STATS" localSheetId="10">#REF!</definedName>
    <definedName name="LBO_SENS_STATS">#REF!</definedName>
    <definedName name="LBO_SENS1" localSheetId="9">#REF!</definedName>
    <definedName name="LBO_SENS1" localSheetId="10">#REF!</definedName>
    <definedName name="LBO_SENS1">#REF!</definedName>
    <definedName name="LBO_SENS2" localSheetId="9">#REF!</definedName>
    <definedName name="LBO_SENS2" localSheetId="10">#REF!</definedName>
    <definedName name="LBO_SENS2">#REF!</definedName>
    <definedName name="LBO_SENS4" localSheetId="9">#REF!</definedName>
    <definedName name="LBO_SENS4" localSheetId="10">#REF!</definedName>
    <definedName name="LBO_SENS4">#REF!</definedName>
    <definedName name="LBO_SENS5" localSheetId="9">#REF!</definedName>
    <definedName name="LBO_SENS5" localSheetId="10">#REF!</definedName>
    <definedName name="LBO_SENS5">#REF!</definedName>
    <definedName name="lbofirm" localSheetId="9">#REF!</definedName>
    <definedName name="lbofirm" localSheetId="10">#REF!</definedName>
    <definedName name="lbofirm">#REF!</definedName>
    <definedName name="LBOSENS" localSheetId="9">#REF!</definedName>
    <definedName name="LBOSENS" localSheetId="10">#REF!</definedName>
    <definedName name="LBOSENS">#REF!</definedName>
    <definedName name="LBOSUM" localSheetId="9">#REF!</definedName>
    <definedName name="LBOSUM" localSheetId="10">#REF!</definedName>
    <definedName name="LBOSUM">#REF!</definedName>
    <definedName name="Lcash">[40]Inputs!$P$27</definedName>
    <definedName name="legend" localSheetId="9">#REF!</definedName>
    <definedName name="legend" localSheetId="10">#REF!</definedName>
    <definedName name="legend">#REF!</definedName>
    <definedName name="lev" localSheetId="9">#REF!</definedName>
    <definedName name="lev" localSheetId="10">#REF!</definedName>
    <definedName name="lev">#REF!</definedName>
    <definedName name="levstep" localSheetId="9">#REF!</definedName>
    <definedName name="levstep" localSheetId="10">#REF!</definedName>
    <definedName name="levstep">#REF!</definedName>
    <definedName name="Lfdshares">[40]Inputs!$P$24</definedName>
    <definedName name="ListSheetsMacroButton" localSheetId="9">#REF!</definedName>
    <definedName name="ListSheetsMacroButton" localSheetId="10">#REF!</definedName>
    <definedName name="ListSheetsMacroButton">#REF!</definedName>
    <definedName name="Lmin">[40]Inputs!$P$29</definedName>
    <definedName name="Long_Term_Debt">[10]Inputs!$B$8</definedName>
    <definedName name="LOOP" localSheetId="9">#REF!</definedName>
    <definedName name="LOOP" localSheetId="10">#REF!</definedName>
    <definedName name="LOOP">#REF!</definedName>
    <definedName name="Lpref">[40]Inputs!$P$30</definedName>
    <definedName name="LTDEBT" localSheetId="8">#REF!</definedName>
    <definedName name="LTDEBT" localSheetId="9">#REF!</definedName>
    <definedName name="LTDEBT" localSheetId="10">#REF!</definedName>
    <definedName name="LTDEBT">#REF!</definedName>
    <definedName name="LTM" localSheetId="9">#REF!</definedName>
    <definedName name="LTM" localSheetId="10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 localSheetId="9">[22]Lookups!#REF!</definedName>
    <definedName name="m_gen" localSheetId="10">[22]Lookups!#REF!</definedName>
    <definedName name="m_gen">[22]Lookups!#REF!</definedName>
    <definedName name="m_labor" localSheetId="9">[22]Lookups!#REF!</definedName>
    <definedName name="m_labor" localSheetId="10">[22]Lookups!#REF!</definedName>
    <definedName name="m_labor">[22]Lookups!#REF!</definedName>
    <definedName name="m_maniuf" localSheetId="9">[22]Lookups!#REF!</definedName>
    <definedName name="m_maniuf" localSheetId="10">[22]Lookups!#REF!</definedName>
    <definedName name="m_maniuf">[22]Lookups!#REF!</definedName>
    <definedName name="m_manuf" localSheetId="9">[22]Lookups!#REF!</definedName>
    <definedName name="m_manuf" localSheetId="10">[22]Lookups!#REF!</definedName>
    <definedName name="m_manuf">[22]Lookups!#REF!</definedName>
    <definedName name="m_mat" localSheetId="9">[22]Lookups!#REF!</definedName>
    <definedName name="m_mat" localSheetId="10">[22]Lookups!#REF!</definedName>
    <definedName name="m_mat">[22]Lookups!#REF!</definedName>
    <definedName name="m_ohead" localSheetId="9">[22]Lookups!#REF!</definedName>
    <definedName name="m_ohead" localSheetId="10">[22]Lookups!#REF!</definedName>
    <definedName name="m_ohead">[22]Lookups!#REF!</definedName>
    <definedName name="m_sell" localSheetId="9">[22]Lookups!#REF!</definedName>
    <definedName name="m_sell" localSheetId="10">[22]Lookups!#REF!</definedName>
    <definedName name="m_sell">[22]Lookups!#REF!</definedName>
    <definedName name="m_var" localSheetId="9">[22]Lookups!#REF!</definedName>
    <definedName name="m_var" localSheetId="10">[22]Lookups!#REF!</definedName>
    <definedName name="m_var">[22]Lookups!#REF!</definedName>
    <definedName name="Macro4" localSheetId="9">[41]!Macro4</definedName>
    <definedName name="Macro4" localSheetId="10">[41]!Macro4</definedName>
    <definedName name="Macro4">[41]!Macro4</definedName>
    <definedName name="MACROS" localSheetId="8">#REF!</definedName>
    <definedName name="MACROS" localSheetId="9">#REF!</definedName>
    <definedName name="MACROS" localSheetId="10">#REF!</definedName>
    <definedName name="MACROS">#REF!</definedName>
    <definedName name="mapping">[42]mapping!$A$2:$H$1143</definedName>
    <definedName name="MARCUST" localSheetId="8">#REF!</definedName>
    <definedName name="MARCUST" localSheetId="9">#REF!</definedName>
    <definedName name="MARCUST" localSheetId="10">#REF!</definedName>
    <definedName name="MARCUST">#REF!</definedName>
    <definedName name="margin">[6]Model!$AA$180</definedName>
    <definedName name="MARINC" localSheetId="8">#REF!</definedName>
    <definedName name="MARINC" localSheetId="9">#REF!</definedName>
    <definedName name="MARINC" localSheetId="10">#REF!</definedName>
    <definedName name="MARINC">#REF!</definedName>
    <definedName name="Market_Equity" localSheetId="9">#REF!</definedName>
    <definedName name="Market_Equity" localSheetId="10">#REF!</definedName>
    <definedName name="Market_Equity">#REF!</definedName>
    <definedName name="MARUNIT" localSheetId="8">#REF!</definedName>
    <definedName name="MARUNIT" localSheetId="9">#REF!</definedName>
    <definedName name="MARUNIT" localSheetId="10">#REF!</definedName>
    <definedName name="MARUNIT">#REF!</definedName>
    <definedName name="master">[43]conrol!$B$11</definedName>
    <definedName name="MATRIX" localSheetId="9">#REF!</definedName>
    <definedName name="MATRIX" localSheetId="10">#REF!</definedName>
    <definedName name="MATRIX">#REF!</definedName>
    <definedName name="Mean_s_Table" localSheetId="9">#REF!</definedName>
    <definedName name="Mean_s_Table" localSheetId="10">#REF!</definedName>
    <definedName name="Mean_s_Table">#REF!</definedName>
    <definedName name="MEWarning" hidden="1">1</definedName>
    <definedName name="mezzcoupon" localSheetId="9">#REF!</definedName>
    <definedName name="mezzcoupon" localSheetId="10">#REF!</definedName>
    <definedName name="mezzcoupon">#REF!</definedName>
    <definedName name="MGMT" localSheetId="9">[15]Fin_Assumptions!#REF!</definedName>
    <definedName name="MGMT" localSheetId="10">[15]Fin_Assumptions!#REF!</definedName>
    <definedName name="MGMT">[15]Fin_Assumptions!#REF!</definedName>
    <definedName name="MIDLADETAILED" localSheetId="9">#REF!</definedName>
    <definedName name="MIDLADETAILED" localSheetId="10">#REF!</definedName>
    <definedName name="MIDLADETAILED">#REF!</definedName>
    <definedName name="midyear" localSheetId="9">#REF!</definedName>
    <definedName name="midyear" localSheetId="10">#REF!</definedName>
    <definedName name="midyear">#REF!</definedName>
    <definedName name="MILESINCREM" localSheetId="9">#REF!</definedName>
    <definedName name="MILESINCREM" localSheetId="10">#REF!</definedName>
    <definedName name="MILESINCREM">#REF!</definedName>
    <definedName name="MILESINDICATOR" localSheetId="9">#REF!</definedName>
    <definedName name="MILESINDICATOR" localSheetId="10">#REF!</definedName>
    <definedName name="MILESINDICATOR">#REF!</definedName>
    <definedName name="Mill">[44]MODEL!$L$22</definedName>
    <definedName name="Minumum_Cash" localSheetId="9">#REF!</definedName>
    <definedName name="Minumum_Cash" localSheetId="10">#REF!</definedName>
    <definedName name="Minumum_Cash">#REF!</definedName>
    <definedName name="MKT_TEMP_DIR" localSheetId="9">[18]Inputs!#REF!</definedName>
    <definedName name="MKT_TEMP_DIR" localSheetId="10">[18]Inputs!#REF!</definedName>
    <definedName name="MKT_TEMP_DIR">[18]Inputs!#REF!</definedName>
    <definedName name="MKT_TEMP_FNAME" localSheetId="9">[18]Inputs!#REF!</definedName>
    <definedName name="MKT_TEMP_FNAME" localSheetId="10">[18]Inputs!#REF!</definedName>
    <definedName name="MKT_TEMP_FNAME">[18]Inputs!#REF!</definedName>
    <definedName name="MNTH2MO" localSheetId="9">#REF!</definedName>
    <definedName name="MNTH2MO" localSheetId="10">#REF!</definedName>
    <definedName name="MNTH2MO">#REF!</definedName>
    <definedName name="MNTH2QTR" localSheetId="9">#REF!</definedName>
    <definedName name="MNTH2QTR" localSheetId="10">#REF!</definedName>
    <definedName name="MNTH2QTR">#REF!</definedName>
    <definedName name="mnth3mo" localSheetId="9">#REF!</definedName>
    <definedName name="mnth3mo" localSheetId="10">#REF!</definedName>
    <definedName name="mnth3mo">#REF!</definedName>
    <definedName name="mnth3qtr" localSheetId="9">#REF!</definedName>
    <definedName name="mnth3qtr" localSheetId="10">#REF!</definedName>
    <definedName name="mnth3qtr">#REF!</definedName>
    <definedName name="MOBILBAYPROJECT" localSheetId="9">#REF!</definedName>
    <definedName name="MOBILBAYPROJECT" localSheetId="10">#REF!</definedName>
    <definedName name="MOBILBAYPROJECT">#REF!</definedName>
    <definedName name="MODEL_TYPE">[39]TRANS!$D$14</definedName>
    <definedName name="MODULE" localSheetId="9">#REF!</definedName>
    <definedName name="MODULE" localSheetId="10">#REF!</definedName>
    <definedName name="MODULE">#REF!</definedName>
    <definedName name="MODULE1" localSheetId="9">#REF!</definedName>
    <definedName name="MODULE1" localSheetId="10">#REF!</definedName>
    <definedName name="MODULE1">#REF!</definedName>
    <definedName name="MODULE2" localSheetId="9">#REF!</definedName>
    <definedName name="MODULE2" localSheetId="10">#REF!</definedName>
    <definedName name="MODULE2">#REF!</definedName>
    <definedName name="MODULE3" localSheetId="9">#REF!</definedName>
    <definedName name="MODULE3" localSheetId="10">#REF!</definedName>
    <definedName name="MODULE3">#REF!</definedName>
    <definedName name="MODULE4" localSheetId="9">#REF!</definedName>
    <definedName name="MODULE4" localSheetId="10">#REF!</definedName>
    <definedName name="MODULE4">#REF!</definedName>
    <definedName name="MODULE5" localSheetId="9">#REF!</definedName>
    <definedName name="MODULE5" localSheetId="10">#REF!</definedName>
    <definedName name="MODULE5">#REF!</definedName>
    <definedName name="MODULE6" localSheetId="9">#REF!</definedName>
    <definedName name="MODULE6" localSheetId="10">#REF!</definedName>
    <definedName name="MODULE6">#REF!</definedName>
    <definedName name="Month_to_MONTHNUM" localSheetId="9">#REF!</definedName>
    <definedName name="Month_to_MONTHNUM" localSheetId="10">#REF!</definedName>
    <definedName name="Month_to_MONTHNUM">#REF!</definedName>
    <definedName name="MONTHLY_DEPR2" localSheetId="9">#REF!</definedName>
    <definedName name="MONTHLY_DEPR2" localSheetId="10">#REF!</definedName>
    <definedName name="MONTHLY_DEPR2">#REF!</definedName>
    <definedName name="MSTemporarySelectionAverage" localSheetId="9">[26]Timex!#REF!</definedName>
    <definedName name="MSTemporarySelectionAverage" localSheetId="10">[26]Timex!#REF!</definedName>
    <definedName name="MSTemporarySelectionAverage">[26]Timex!#REF!</definedName>
    <definedName name="MULT_CHOICE" localSheetId="9">'[26]Trans Assump'!#REF!</definedName>
    <definedName name="MULT_CHOICE" localSheetId="10">'[26]Trans Assump'!#REF!</definedName>
    <definedName name="MULT_CHOICE">'[26]Trans Assump'!#REF!</definedName>
    <definedName name="MULT_CLOOP1" localSheetId="9">#REF!</definedName>
    <definedName name="MULT_CLOOP1" localSheetId="10">#REF!</definedName>
    <definedName name="MULT_CLOOP1">#REF!</definedName>
    <definedName name="MULT_CLOOP2" localSheetId="9">#REF!</definedName>
    <definedName name="MULT_CLOOP2" localSheetId="10">#REF!</definedName>
    <definedName name="MULT_CLOOP2">#REF!</definedName>
    <definedName name="MULT_COMP_LINE1" localSheetId="9">#REF!</definedName>
    <definedName name="MULT_COMP_LINE1" localSheetId="10">#REF!</definedName>
    <definedName name="MULT_COMP_LINE1">#REF!</definedName>
    <definedName name="Mult_Comp_Page1" localSheetId="9">#REF!</definedName>
    <definedName name="Mult_Comp_Page1" localSheetId="10">#REF!</definedName>
    <definedName name="Mult_Comp_Page1">#REF!</definedName>
    <definedName name="Mult_Comp_Page2" localSheetId="9">#REF!</definedName>
    <definedName name="Mult_Comp_Page2" localSheetId="10">#REF!</definedName>
    <definedName name="Mult_Comp_Page2">#REF!</definedName>
    <definedName name="Mult_Comp_Page3" localSheetId="9">#REF!</definedName>
    <definedName name="Mult_Comp_Page3" localSheetId="10">#REF!</definedName>
    <definedName name="Mult_Comp_Page3">#REF!</definedName>
    <definedName name="MULT_COMP_RES" localSheetId="9">#REF!</definedName>
    <definedName name="MULT_COMP_RES" localSheetId="10">#REF!</definedName>
    <definedName name="MULT_COMP_RES">#REF!</definedName>
    <definedName name="MULT_COMP_SENSE" localSheetId="9">#REF!</definedName>
    <definedName name="MULT_COMP_SENSE" localSheetId="10">#REF!</definedName>
    <definedName name="MULT_COMP_SENSE">#REF!</definedName>
    <definedName name="Mult_Comp_Sense1" localSheetId="9">#REF!</definedName>
    <definedName name="Mult_Comp_Sense1" localSheetId="10">#REF!</definedName>
    <definedName name="Mult_Comp_Sense1">#REF!</definedName>
    <definedName name="Mult_Comp_Sense2" localSheetId="9">#REF!</definedName>
    <definedName name="Mult_Comp_Sense2" localSheetId="10">#REF!</definedName>
    <definedName name="Mult_Comp_Sense2">#REF!</definedName>
    <definedName name="Mult_Comp_Sense3" localSheetId="9">#REF!</definedName>
    <definedName name="Mult_Comp_Sense3" localSheetId="10">#REF!</definedName>
    <definedName name="Mult_Comp_Sense3">#REF!</definedName>
    <definedName name="Mult_Comp_Title1" localSheetId="9">#REF!</definedName>
    <definedName name="Mult_Comp_Title1" localSheetId="10">#REF!</definedName>
    <definedName name="Mult_Comp_Title1">#REF!</definedName>
    <definedName name="Mult_Comp_Title2" localSheetId="9">#REF!</definedName>
    <definedName name="Mult_Comp_Title2" localSheetId="10">#REF!</definedName>
    <definedName name="Mult_Comp_Title2">#REF!</definedName>
    <definedName name="Mult_Comp_Title3" localSheetId="9">#REF!</definedName>
    <definedName name="Mult_Comp_Title3" localSheetId="10">#REF!</definedName>
    <definedName name="Mult_Comp_Title3">#REF!</definedName>
    <definedName name="Mult_Comp1" localSheetId="9">#REF!</definedName>
    <definedName name="Mult_Comp1" localSheetId="10">#REF!</definedName>
    <definedName name="Mult_Comp1">#REF!</definedName>
    <definedName name="Mult_Comp10" localSheetId="9">#REF!</definedName>
    <definedName name="Mult_Comp10" localSheetId="10">#REF!</definedName>
    <definedName name="Mult_Comp10">#REF!</definedName>
    <definedName name="Mult_Comp11" localSheetId="9">#REF!</definedName>
    <definedName name="Mult_Comp11" localSheetId="10">#REF!</definedName>
    <definedName name="Mult_Comp11">#REF!</definedName>
    <definedName name="Mult_Comp12" localSheetId="9">#REF!</definedName>
    <definedName name="Mult_Comp12" localSheetId="10">#REF!</definedName>
    <definedName name="Mult_Comp12">#REF!</definedName>
    <definedName name="Mult_Comp13" localSheetId="9">#REF!</definedName>
    <definedName name="Mult_Comp13" localSheetId="10">#REF!</definedName>
    <definedName name="Mult_Comp13">#REF!</definedName>
    <definedName name="Mult_Comp14" localSheetId="9">#REF!</definedName>
    <definedName name="Mult_Comp14" localSheetId="10">#REF!</definedName>
    <definedName name="Mult_Comp14">#REF!</definedName>
    <definedName name="Mult_Comp15" localSheetId="9">#REF!</definedName>
    <definedName name="Mult_Comp15" localSheetId="10">#REF!</definedName>
    <definedName name="Mult_Comp15">#REF!</definedName>
    <definedName name="Mult_Comp16" localSheetId="9">#REF!</definedName>
    <definedName name="Mult_Comp16" localSheetId="10">#REF!</definedName>
    <definedName name="Mult_Comp16">#REF!</definedName>
    <definedName name="Mult_Comp17" localSheetId="9">#REF!</definedName>
    <definedName name="Mult_Comp17" localSheetId="10">#REF!</definedName>
    <definedName name="Mult_Comp17">#REF!</definedName>
    <definedName name="Mult_Comp18" localSheetId="9">#REF!</definedName>
    <definedName name="Mult_Comp18" localSheetId="10">#REF!</definedName>
    <definedName name="Mult_Comp18">#REF!</definedName>
    <definedName name="Mult_Comp2" localSheetId="9">#REF!</definedName>
    <definedName name="Mult_Comp2" localSheetId="10">#REF!</definedName>
    <definedName name="Mult_Comp2">#REF!</definedName>
    <definedName name="Mult_Comp3" localSheetId="9">#REF!</definedName>
    <definedName name="Mult_Comp3" localSheetId="10">#REF!</definedName>
    <definedName name="Mult_Comp3">#REF!</definedName>
    <definedName name="Mult_Comp4" localSheetId="9">#REF!</definedName>
    <definedName name="Mult_Comp4" localSheetId="10">#REF!</definedName>
    <definedName name="Mult_Comp4">#REF!</definedName>
    <definedName name="Mult_Comp5" localSheetId="9">#REF!</definedName>
    <definedName name="Mult_Comp5" localSheetId="10">#REF!</definedName>
    <definedName name="Mult_Comp5">#REF!</definedName>
    <definedName name="Mult_Comp6" localSheetId="9">#REF!</definedName>
    <definedName name="Mult_Comp6" localSheetId="10">#REF!</definedName>
    <definedName name="Mult_Comp6">#REF!</definedName>
    <definedName name="Mult_Comp7" localSheetId="9">#REF!</definedName>
    <definedName name="Mult_Comp7" localSheetId="10">#REF!</definedName>
    <definedName name="Mult_Comp7">#REF!</definedName>
    <definedName name="Mult_Comp8" localSheetId="9">#REF!</definedName>
    <definedName name="Mult_Comp8" localSheetId="10">#REF!</definedName>
    <definedName name="Mult_Comp8">#REF!</definedName>
    <definedName name="Mult_Comp9" localSheetId="9">#REF!</definedName>
    <definedName name="Mult_Comp9" localSheetId="10">#REF!</definedName>
    <definedName name="Mult_Comp9">#REF!</definedName>
    <definedName name="N12M_EPS">[10]Inputs!$B$14</definedName>
    <definedName name="NAME">[45]INPUT!$A$13:$B$30</definedName>
    <definedName name="NAMES" localSheetId="9">[18]Inputs!#REF!</definedName>
    <definedName name="NAMES" localSheetId="10">[18]Inputs!#REF!</definedName>
    <definedName name="NAMES">[18]Inputs!#REF!</definedName>
    <definedName name="NDC_TRAN_LOG" localSheetId="8">#REF!</definedName>
    <definedName name="NDC_TRAN_LOG" localSheetId="9">#REF!</definedName>
    <definedName name="NDC_TRAN_LOG" localSheetId="10">#REF!</definedName>
    <definedName name="NDC_TRAN_LOG">#REF!</definedName>
    <definedName name="NDCFORM" localSheetId="8">#REF!</definedName>
    <definedName name="NDCFORM" localSheetId="9">#REF!</definedName>
    <definedName name="NDCFORM" localSheetId="10">#REF!</definedName>
    <definedName name="NDCFORM">#REF!</definedName>
    <definedName name="Net_Debt" localSheetId="9">#REF!</definedName>
    <definedName name="Net_Debt" localSheetId="10">#REF!</definedName>
    <definedName name="Net_Debt">#REF!</definedName>
    <definedName name="NEW_GW_LIFE" localSheetId="9">'[26]Trans Assump'!#REF!</definedName>
    <definedName name="NEW_GW_LIFE" localSheetId="10">'[26]Trans Assump'!#REF!</definedName>
    <definedName name="NEW_GW_LIFE">'[26]Trans Assump'!#REF!</definedName>
    <definedName name="NEW_GW_TAX" localSheetId="9">'[26]Trans Assump'!#REF!</definedName>
    <definedName name="NEW_GW_TAX" localSheetId="10">'[26]Trans Assump'!#REF!</definedName>
    <definedName name="NEW_GW_TAX">'[26]Trans Assump'!#REF!</definedName>
    <definedName name="newcutoff">'[12]Summary History'!$C$3</definedName>
    <definedName name="newline" localSheetId="9">#REF!</definedName>
    <definedName name="newline" localSheetId="10">#REF!</definedName>
    <definedName name="newline">#REF!</definedName>
    <definedName name="newline2" localSheetId="9">#REF!</definedName>
    <definedName name="newline2" localSheetId="10">#REF!</definedName>
    <definedName name="newline2">#REF!</definedName>
    <definedName name="nextvsthis" localSheetId="9">#REF!</definedName>
    <definedName name="nextvsthis" localSheetId="10">#REF!</definedName>
    <definedName name="nextvsthis">#REF!</definedName>
    <definedName name="nol" localSheetId="9">[15]Fin_Assumptions!#REF!</definedName>
    <definedName name="nol" localSheetId="10">[15]Fin_Assumptions!#REF!</definedName>
    <definedName name="nol">[15]Fin_Assumptions!#REF!</definedName>
    <definedName name="nol?" localSheetId="9">[20]Transaction!#REF!</definedName>
    <definedName name="nol?" localSheetId="10">[20]Transaction!#REF!</definedName>
    <definedName name="nol?">[20]Transaction!#REF!</definedName>
    <definedName name="note" localSheetId="9">[35]TRANSACTION!#REF!</definedName>
    <definedName name="note" localSheetId="10">[35]TRANSACTION!#REF!</definedName>
    <definedName name="note">[35]TRANSACTION!#REF!</definedName>
    <definedName name="NOTES" localSheetId="8">#REF!</definedName>
    <definedName name="NOTES" localSheetId="9">#REF!</definedName>
    <definedName name="NOTES" localSheetId="10">#REF!</definedName>
    <definedName name="NOTES">#REF!</definedName>
    <definedName name="novjv" localSheetId="9">#REF!</definedName>
    <definedName name="novjv" localSheetId="10">#REF!</definedName>
    <definedName name="novjv">#REF!</definedName>
    <definedName name="NumQtrs" localSheetId="9">#REF!</definedName>
    <definedName name="NumQtrs" localSheetId="10">#REF!</definedName>
    <definedName name="NumQtrs">#REF!</definedName>
    <definedName name="offer">'[38]Sources &amp; Uses'!$D$7</definedName>
    <definedName name="OFFER_PRICE">[18]Transinputs!$U$7</definedName>
    <definedName name="OLDGW" localSheetId="9">[18]Target!#REF!</definedName>
    <definedName name="OLDGW" localSheetId="10">[18]Target!#REF!</definedName>
    <definedName name="OLDGW">[18]Target!#REF!</definedName>
    <definedName name="opcase" localSheetId="9">#REF!</definedName>
    <definedName name="opcase" localSheetId="10">#REF!</definedName>
    <definedName name="opcase">#REF!</definedName>
    <definedName name="OPT_PROC" localSheetId="9">#REF!</definedName>
    <definedName name="OPT_PROC" localSheetId="10">#REF!</definedName>
    <definedName name="OPT_PROC">#REF!</definedName>
    <definedName name="Options" localSheetId="9">#REF!</definedName>
    <definedName name="Options" localSheetId="10">#REF!</definedName>
    <definedName name="Options">#REF!</definedName>
    <definedName name="OTA" localSheetId="9">#REF!</definedName>
    <definedName name="OTA" localSheetId="10">#REF!</definedName>
    <definedName name="OTA">#REF!</definedName>
    <definedName name="other_expense" localSheetId="9">[35]TRANSACTION!#REF!</definedName>
    <definedName name="other_expense" localSheetId="10">[35]TRANSACTION!#REF!</definedName>
    <definedName name="other_expense">[35]TRANSACTION!#REF!</definedName>
    <definedName name="OTHERTHANZONE6" localSheetId="9">#REF!</definedName>
    <definedName name="OTHERTHANZONE6" localSheetId="10">#REF!</definedName>
    <definedName name="OTHERTHANZONE6">#REF!</definedName>
    <definedName name="OUT_INT" localSheetId="9">#REF!</definedName>
    <definedName name="OUT_INT" localSheetId="10">#REF!</definedName>
    <definedName name="OUT_INT">#REF!</definedName>
    <definedName name="OUTPUTS" localSheetId="9">#REF!</definedName>
    <definedName name="OUTPUTS" localSheetId="10">#REF!</definedName>
    <definedName name="OUTPUTS">#REF!</definedName>
    <definedName name="ownership">[6]Model!$C$22</definedName>
    <definedName name="PAGE11" localSheetId="9">[46]Prepayments!#REF!</definedName>
    <definedName name="PAGE11" localSheetId="10">[46]Prepayments!#REF!</definedName>
    <definedName name="PAGE11">[46]Prepayments!#REF!</definedName>
    <definedName name="PAGE12" localSheetId="9">[46]Prepayments!#REF!</definedName>
    <definedName name="PAGE12" localSheetId="10">[46]Prepayments!#REF!</definedName>
    <definedName name="PAGE12">[46]Prepayments!#REF!</definedName>
    <definedName name="PAGE13" localSheetId="9">[46]Prepayments!#REF!</definedName>
    <definedName name="PAGE13" localSheetId="10">[46]Prepayments!#REF!</definedName>
    <definedName name="PAGE13">[46]Prepayments!#REF!</definedName>
    <definedName name="PAGE14" localSheetId="9">#REF!</definedName>
    <definedName name="PAGE14" localSheetId="10">#REF!</definedName>
    <definedName name="PAGE14">#REF!</definedName>
    <definedName name="PAGE15" localSheetId="9">[46]RateBase!#REF!</definedName>
    <definedName name="PAGE15" localSheetId="10">[46]RateBase!#REF!</definedName>
    <definedName name="PAGE15">[46]RateBase!#REF!</definedName>
    <definedName name="PAGE4">[18]Calcs:tainted!$B$57:$L$73</definedName>
    <definedName name="PATHNAME" localSheetId="9">#REF!</definedName>
    <definedName name="PATHNAME" localSheetId="10">#REF!</definedName>
    <definedName name="PATHNAME">#REF!</definedName>
    <definedName name="payment" localSheetId="9">[15]Controls!#REF!</definedName>
    <definedName name="payment" localSheetId="10">[15]Controls!#REF!</definedName>
    <definedName name="payment">[15]Controls!#REF!</definedName>
    <definedName name="PD" localSheetId="9">[21]Schedules!#REF!</definedName>
    <definedName name="PD" localSheetId="10">[21]Schedules!#REF!</definedName>
    <definedName name="PD">[21]Schedules!#REF!</definedName>
    <definedName name="pdate">[9]DCEInputs!$I$6</definedName>
    <definedName name="PERF" localSheetId="9">#REF!</definedName>
    <definedName name="PERF" localSheetId="10">#REF!</definedName>
    <definedName name="PERF">#REF!</definedName>
    <definedName name="PERFORMANCE" localSheetId="9">#REF!</definedName>
    <definedName name="PERFORMANCE" localSheetId="10">#REF!</definedName>
    <definedName name="PERFORMANCE">#REF!</definedName>
    <definedName name="pfbal" localSheetId="9">[26]Rolex!#REF!</definedName>
    <definedName name="pfbal" localSheetId="10">[26]Rolex!#REF!</definedName>
    <definedName name="pfbal">[26]Rolex!#REF!</definedName>
    <definedName name="PFFINGRAPH" localSheetId="9">#REF!</definedName>
    <definedName name="PFFINGRAPH" localSheetId="10">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 localSheetId="9">#REF!</definedName>
    <definedName name="PLANT" localSheetId="10">#REF!</definedName>
    <definedName name="PLANT">#REF!</definedName>
    <definedName name="PLANT_BAL2" localSheetId="9">#REF!</definedName>
    <definedName name="PLANT_BAL2" localSheetId="10">#REF!</definedName>
    <definedName name="PLANT_BAL2">#REF!</definedName>
    <definedName name="PMT" localSheetId="9">#REF!</definedName>
    <definedName name="PMT" localSheetId="10">#REF!</definedName>
    <definedName name="PMT">#REF!</definedName>
    <definedName name="PNAME" localSheetId="9">[18]Summary!#REF!</definedName>
    <definedName name="PNAME" localSheetId="10">[18]Summary!#REF!</definedName>
    <definedName name="PNAME">[18]Summary!#REF!</definedName>
    <definedName name="PP" localSheetId="9">#REF!</definedName>
    <definedName name="PP" localSheetId="10">#REF!</definedName>
    <definedName name="PP">#REF!</definedName>
    <definedName name="pprice">[36]Triggers!$E$13</definedName>
    <definedName name="pprice2" localSheetId="9">'[26]Deal Summary'!#REF!</definedName>
    <definedName name="pprice2" localSheetId="10">'[26]Deal Summary'!#REF!</definedName>
    <definedName name="pprice2">'[26]Deal Summary'!#REF!</definedName>
    <definedName name="PR_2006VS2005" localSheetId="9">#REF!</definedName>
    <definedName name="PR_2006VS2005" localSheetId="10">#REF!</definedName>
    <definedName name="PR_2006VS2005">#REF!</definedName>
    <definedName name="PR_CUR_QTR" localSheetId="9">#REF!</definedName>
    <definedName name="PR_CUR_QTR" localSheetId="10">#REF!</definedName>
    <definedName name="PR_CUR_QTR">#REF!</definedName>
    <definedName name="PR_YTD" localSheetId="9">#REF!</definedName>
    <definedName name="PR_YTD" localSheetId="10">#REF!</definedName>
    <definedName name="PR_YTD">#REF!</definedName>
    <definedName name="Preferred_Stock">[10]Inputs!$B$7</definedName>
    <definedName name="premium">[18]Transinputs!$U$13</definedName>
    <definedName name="PRICE_SENSE" localSheetId="9">#REF!</definedName>
    <definedName name="PRICE_SENSE" localSheetId="10">#REF!</definedName>
    <definedName name="PRICE_SENSE">#REF!</definedName>
    <definedName name="PRICE_SENSE2" localSheetId="9">#REF!</definedName>
    <definedName name="PRICE_SENSE2" localSheetId="10">#REF!</definedName>
    <definedName name="PRICE_SENSE2">#REF!</definedName>
    <definedName name="pricecase">[40]Buildup!$Z$374</definedName>
    <definedName name="PRINT" localSheetId="9">#REF!</definedName>
    <definedName name="PRINT" localSheetId="10">#REF!</definedName>
    <definedName name="PRINT">#REF!</definedName>
    <definedName name="_xlnm.Print_Area" localSheetId="1">'Estimated Rev Req - bs'!$A$1:$N$26</definedName>
    <definedName name="_xlnm.Print_Area" localSheetId="8">'FPUC Surcharge 2022 - 2023 '!$A$1:$N$55</definedName>
    <definedName name="_xlnm.Print_Area" localSheetId="9">'FPUC Surcharge 2024'!$A$1:$N$55</definedName>
    <definedName name="_xlnm.Print_Area" localSheetId="10">'FPUC Surcharge 2025'!$A$1:$N$55</definedName>
    <definedName name="PRINT_EXPLANATI" localSheetId="9">#REF!</definedName>
    <definedName name="PRINT_EXPLANATI" localSheetId="10">#REF!</definedName>
    <definedName name="PRINT_EXPLANATI">#REF!</definedName>
    <definedName name="Print_HardRock" localSheetId="9">[19]!Print_HardRock</definedName>
    <definedName name="Print_HardRock" localSheetId="10">[19]!Print_HardRock</definedName>
    <definedName name="Print_HardRock">[19]!Print_HardRock</definedName>
    <definedName name="PRINT_MENU" localSheetId="9">#REF!</definedName>
    <definedName name="PRINT_MENU" localSheetId="10">#REF!</definedName>
    <definedName name="PRINT_MENU">#REF!</definedName>
    <definedName name="Print_Valmax" localSheetId="9">[49]!Print_Valmax</definedName>
    <definedName name="Print_Valmax" localSheetId="10">[49]!Print_Valmax</definedName>
    <definedName name="Print_Valmax">[49]!Print_Valmax</definedName>
    <definedName name="PRINTADJ" localSheetId="9">#REF!</definedName>
    <definedName name="PRINTADJ" localSheetId="10">#REF!</definedName>
    <definedName name="PRINTADJ">#REF!</definedName>
    <definedName name="PRINTALL" localSheetId="8">#REF!</definedName>
    <definedName name="PRINTALL" localSheetId="9">#REF!</definedName>
    <definedName name="PRINTALL" localSheetId="10">#REF!</definedName>
    <definedName name="PRINTALL">#REF!</definedName>
    <definedName name="PRINTDLG" localSheetId="9">#REF!</definedName>
    <definedName name="PRINTDLG" localSheetId="10">#REF!</definedName>
    <definedName name="PRINTDLG">#REF!</definedName>
    <definedName name="PrintManagerQuery" localSheetId="9">#REF!</definedName>
    <definedName name="PrintManagerQuery" localSheetId="10">#REF!</definedName>
    <definedName name="PrintManagerQuery">#REF!</definedName>
    <definedName name="PrintSelectedSheetsMacroButton" localSheetId="9">#REF!</definedName>
    <definedName name="PrintSelectedSheetsMacroButton" localSheetId="10">#REF!</definedName>
    <definedName name="PrintSelectedSheetsMacroButton">#REF!</definedName>
    <definedName name="PRMO" localSheetId="9">#REF!</definedName>
    <definedName name="PRMO" localSheetId="10">#REF!</definedName>
    <definedName name="PRMO">#REF!</definedName>
    <definedName name="PROCEEDS" localSheetId="9">#REF!</definedName>
    <definedName name="PROCEEDS" localSheetId="10">#REF!</definedName>
    <definedName name="PROCEEDS">#REF!</definedName>
    <definedName name="PRODUCTION" localSheetId="9">#REF!</definedName>
    <definedName name="PRODUCTION" localSheetId="10">#REF!</definedName>
    <definedName name="PRODUCTION">#REF!</definedName>
    <definedName name="PROJ1" localSheetId="9">#REF!</definedName>
    <definedName name="PROJ1" localSheetId="10">#REF!</definedName>
    <definedName name="PROJ1">#REF!</definedName>
    <definedName name="PROJ2" localSheetId="9">#REF!</definedName>
    <definedName name="PROJ2" localSheetId="10">#REF!</definedName>
    <definedName name="PROJ2">#REF!</definedName>
    <definedName name="PROJCURV" localSheetId="9">#REF!</definedName>
    <definedName name="PROJCURV" localSheetId="10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 localSheetId="9">#REF!</definedName>
    <definedName name="PROJGRAPH" localSheetId="10">#REF!</definedName>
    <definedName name="PROJGRAPH">#REF!</definedName>
    <definedName name="PROJNAME">'[50]Transaction Inputs'!$E$15</definedName>
    <definedName name="PRYTD" localSheetId="9">#REF!</definedName>
    <definedName name="PRYTD" localSheetId="10">#REF!</definedName>
    <definedName name="PRYTD">#REF!</definedName>
    <definedName name="Public" localSheetId="9">#REF!</definedName>
    <definedName name="Public" localSheetId="10">#REF!</definedName>
    <definedName name="Public">#REF!</definedName>
    <definedName name="pur">[13]Snow_recap!$R$9</definedName>
    <definedName name="PurPrice" localSheetId="9">#REF!</definedName>
    <definedName name="PurPrice" localSheetId="10">#REF!</definedName>
    <definedName name="PurPrice">#REF!</definedName>
    <definedName name="qbm_1st_mo" localSheetId="9">#REF!</definedName>
    <definedName name="qbm_1st_mo" localSheetId="10">#REF!</definedName>
    <definedName name="qbm_1st_mo">#REF!</definedName>
    <definedName name="qbm_2nd_mo" localSheetId="9">#REF!</definedName>
    <definedName name="qbm_2nd_mo" localSheetId="10">#REF!</definedName>
    <definedName name="qbm_2nd_mo">#REF!</definedName>
    <definedName name="qbm_2nd_mo_qtd" localSheetId="9">#REF!</definedName>
    <definedName name="qbm_2nd_mo_qtd" localSheetId="10">#REF!</definedName>
    <definedName name="qbm_2nd_mo_qtd">#REF!</definedName>
    <definedName name="qbm_3rd_mo" localSheetId="9">#REF!</definedName>
    <definedName name="qbm_3rd_mo" localSheetId="10">#REF!</definedName>
    <definedName name="qbm_3rd_mo">#REF!</definedName>
    <definedName name="qbm_3rd_mo_qtd" localSheetId="9">#REF!</definedName>
    <definedName name="qbm_3rd_mo_qtd" localSheetId="10">#REF!</definedName>
    <definedName name="qbm_3rd_mo_qtd">#REF!</definedName>
    <definedName name="QDATE" localSheetId="9">#REF!</definedName>
    <definedName name="QDATE" localSheetId="10">#REF!</definedName>
    <definedName name="QDATE">#REF!</definedName>
    <definedName name="QTR" localSheetId="9">[18]Acquiror!#REF!</definedName>
    <definedName name="QTR" localSheetId="10">[18]Acquiror!#REF!</definedName>
    <definedName name="QTR">[18]Acquiror!#REF!</definedName>
    <definedName name="qtrvsprqtr" localSheetId="9">#REF!</definedName>
    <definedName name="qtrvsprqtr" localSheetId="10">#REF!</definedName>
    <definedName name="qtrvsprqtr">#REF!</definedName>
    <definedName name="R_TableTotals" localSheetId="9">'[51]MA Comps'!#REF!</definedName>
    <definedName name="R_TableTotals" localSheetId="10">'[51]MA Comps'!#REF!</definedName>
    <definedName name="R_TableTotals">'[51]MA Comps'!#REF!</definedName>
    <definedName name="range" localSheetId="9">#REF!</definedName>
    <definedName name="range" localSheetId="10">#REF!</definedName>
    <definedName name="range">#REF!</definedName>
    <definedName name="RAS" localSheetId="9" hidden="1">[52]FxdChg!#REF!</definedName>
    <definedName name="RAS" localSheetId="10" hidden="1">[52]FxdChg!#REF!</definedName>
    <definedName name="RAS" hidden="1">[52]FxdChg!#REF!</definedName>
    <definedName name="rate" localSheetId="9">#REF!</definedName>
    <definedName name="rate" localSheetId="10">#REF!</definedName>
    <definedName name="rate">#REF!</definedName>
    <definedName name="raw" localSheetId="9">[35]TRANSACTION!#REF!</definedName>
    <definedName name="raw" localSheetId="10">[35]TRANSACTION!#REF!</definedName>
    <definedName name="raw">[35]TRANSACTION!#REF!</definedName>
    <definedName name="real_average" localSheetId="9">#REF!</definedName>
    <definedName name="real_average" localSheetId="10">#REF!</definedName>
    <definedName name="real_average">#REF!</definedName>
    <definedName name="real_ye" localSheetId="9">#REF!</definedName>
    <definedName name="real_ye" localSheetId="10">#REF!</definedName>
    <definedName name="real_ye">#REF!</definedName>
    <definedName name="Recap_paste_1" localSheetId="9">#REF!</definedName>
    <definedName name="Recap_paste_1" localSheetId="10">#REF!</definedName>
    <definedName name="Recap_paste_1">#REF!</definedName>
    <definedName name="Recap_paste_2" localSheetId="9">#REF!</definedName>
    <definedName name="Recap_paste_2" localSheetId="10">#REF!</definedName>
    <definedName name="Recap_paste_2">#REF!</definedName>
    <definedName name="Recap_paste_3" localSheetId="9">#REF!</definedName>
    <definedName name="Recap_paste_3" localSheetId="10">#REF!</definedName>
    <definedName name="Recap_paste_3">#REF!</definedName>
    <definedName name="Recap_template" localSheetId="9">#REF!</definedName>
    <definedName name="Recap_template" localSheetId="10">#REF!</definedName>
    <definedName name="Recap_template">#REF!</definedName>
    <definedName name="REG_ASSET" localSheetId="9">#REF!</definedName>
    <definedName name="REG_ASSET" localSheetId="10">#REF!</definedName>
    <definedName name="REG_ASSET">#REF!</definedName>
    <definedName name="relever">[15]Controls!$E$8</definedName>
    <definedName name="relevered_beta" localSheetId="9">'[8]DCF Model'!#REF!</definedName>
    <definedName name="relevered_beta" localSheetId="10">'[8]DCF Model'!#REF!</definedName>
    <definedName name="relevered_beta">'[8]DCF Model'!#REF!</definedName>
    <definedName name="RELIEF" localSheetId="8">#REF!</definedName>
    <definedName name="RELIEF" localSheetId="9">#REF!</definedName>
    <definedName name="RELIEF" localSheetId="10">#REF!</definedName>
    <definedName name="RELIEF">#REF!</definedName>
    <definedName name="residmult" localSheetId="9">[33]Model!#REF!</definedName>
    <definedName name="residmult" localSheetId="10">[33]Model!#REF!</definedName>
    <definedName name="residmult">[33]Model!#REF!</definedName>
    <definedName name="RET" localSheetId="9">#REF!</definedName>
    <definedName name="RET" localSheetId="10">#REF!</definedName>
    <definedName name="RET">#REF!</definedName>
    <definedName name="RET_BY_DIST" localSheetId="9">#REF!</definedName>
    <definedName name="RET_BY_DIST" localSheetId="10">#REF!</definedName>
    <definedName name="RET_BY_DIST">#REF!</definedName>
    <definedName name="rhtcase" localSheetId="9">#REF!</definedName>
    <definedName name="rhtcase" localSheetId="10">#REF!</definedName>
    <definedName name="rhtcase">#REF!</definedName>
    <definedName name="rhtoffer" localSheetId="9">#REF!</definedName>
    <definedName name="rhtoffer" localSheetId="10">#REF!</definedName>
    <definedName name="rhtoffer">#REF!</definedName>
    <definedName name="rhtprice">[53]Overview!$D$8</definedName>
    <definedName name="risk_free_rate" localSheetId="9">#REF!</definedName>
    <definedName name="risk_free_rate" localSheetId="10">#REF!</definedName>
    <definedName name="risk_free_rate">#REF!</definedName>
    <definedName name="risk_premium" localSheetId="9">#REF!</definedName>
    <definedName name="risk_premium" localSheetId="10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 localSheetId="9">#REF!</definedName>
    <definedName name="ROETAX" localSheetId="10">#REF!</definedName>
    <definedName name="ROETAX">#REF!</definedName>
    <definedName name="RORSCHED" localSheetId="8">#REF!</definedName>
    <definedName name="RORSCHED" localSheetId="9">#REF!</definedName>
    <definedName name="RORSCHED" localSheetId="10">#REF!</definedName>
    <definedName name="RORSCHED">#REF!</definedName>
    <definedName name="ROUNDED" localSheetId="8">#REF!</definedName>
    <definedName name="ROUNDED" localSheetId="9">#REF!</definedName>
    <definedName name="ROUNDED" localSheetId="10">#REF!</definedName>
    <definedName name="ROUNDED">#REF!</definedName>
    <definedName name="royalty" localSheetId="9">[15]Controls!#REF!</definedName>
    <definedName name="royalty" localSheetId="10">[15]Controls!#REF!</definedName>
    <definedName name="royalty">[15]Controls!#REF!</definedName>
    <definedName name="RUN" localSheetId="9">'[28]DCF Inputs'!#REF!</definedName>
    <definedName name="RUN" localSheetId="10">'[28]DCF Inputs'!#REF!</definedName>
    <definedName name="RUN">'[28]DCF Inputs'!#REF!</definedName>
    <definedName name="RUNTIME" localSheetId="9">#REF!</definedName>
    <definedName name="RUNTIME" localSheetId="10">#REF!</definedName>
    <definedName name="RUNTIME">#REF!</definedName>
    <definedName name="s" localSheetId="9">Word</definedName>
    <definedName name="s" localSheetId="10">Word</definedName>
    <definedName name="s">Word</definedName>
    <definedName name="SALE" localSheetId="9">[15]Fin_Assumptions!#REF!</definedName>
    <definedName name="SALE" localSheetId="10">[15]Fin_Assumptions!#REF!</definedName>
    <definedName name="SALE">[15]Fin_Assumptions!#REF!</definedName>
    <definedName name="SANCUST" localSheetId="8">#REF!</definedName>
    <definedName name="SANCUST" localSheetId="9">#REF!</definedName>
    <definedName name="SANCUST" localSheetId="10">#REF!</definedName>
    <definedName name="SANCUST">#REF!</definedName>
    <definedName name="SANINC" localSheetId="8">#REF!</definedName>
    <definedName name="SANINC" localSheetId="9">#REF!</definedName>
    <definedName name="SANINC" localSheetId="10">#REF!</definedName>
    <definedName name="SANINC">#REF!</definedName>
    <definedName name="SANUNIT" localSheetId="8">#REF!</definedName>
    <definedName name="SANUNIT" localSheetId="9">#REF!</definedName>
    <definedName name="SANUNIT" localSheetId="10">#REF!</definedName>
    <definedName name="SANUNIT">#REF!</definedName>
    <definedName name="scenario" localSheetId="9">'[26]Deal Summary'!#REF!</definedName>
    <definedName name="scenario" localSheetId="10">'[26]Deal Summary'!#REF!</definedName>
    <definedName name="scenario">'[26]Deal Summary'!#REF!</definedName>
    <definedName name="SCH5GAS" localSheetId="8">#REF!</definedName>
    <definedName name="SCH5GAS" localSheetId="9">#REF!</definedName>
    <definedName name="SCH5GAS" localSheetId="10">#REF!</definedName>
    <definedName name="SCH5GAS">#REF!</definedName>
    <definedName name="sdfsdf" localSheetId="9">#REF!</definedName>
    <definedName name="sdfsdf" localSheetId="10">#REF!</definedName>
    <definedName name="sdfsdf">#REF!</definedName>
    <definedName name="sdfsdfsd" localSheetId="9">#REF!</definedName>
    <definedName name="sdfsdfsd" localSheetId="10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 localSheetId="9">[35]TRANSACTION!#REF!</definedName>
    <definedName name="seller_note_sweep" localSheetId="10">[35]TRANSACTION!#REF!</definedName>
    <definedName name="seller_note_sweep">[35]TRANSACTION!#REF!</definedName>
    <definedName name="sellerfinancerate">[6]Model!$I$8</definedName>
    <definedName name="seniorcoupon" localSheetId="9">#REF!</definedName>
    <definedName name="seniorcoupon" localSheetId="10">#REF!</definedName>
    <definedName name="seniorcoupon">#REF!</definedName>
    <definedName name="SENSEPOOL">[18]Calcs:Summary!$M$34:$AI$122</definedName>
    <definedName name="SENSITIVE" localSheetId="9">#REF!</definedName>
    <definedName name="SENSITIVE" localSheetId="10">#REF!</definedName>
    <definedName name="SENSITIVE">#REF!</definedName>
    <definedName name="Sensitivity" localSheetId="8">#REF!</definedName>
    <definedName name="Sensitivity" localSheetId="9">#REF!</definedName>
    <definedName name="Sensitivity" localSheetId="10">#REF!</definedName>
    <definedName name="Sensitivity">#REF!</definedName>
    <definedName name="servdebt" localSheetId="9">[26]Earnings!#REF!</definedName>
    <definedName name="servdebt" localSheetId="10">[26]Earnings!#REF!</definedName>
    <definedName name="servdebt">[26]Earnings!#REF!</definedName>
    <definedName name="servicesconvention" localSheetId="9">#REF!</definedName>
    <definedName name="servicesconvention" localSheetId="10">#REF!</definedName>
    <definedName name="servicesconvention">#REF!</definedName>
    <definedName name="SET_ISS_PRICE" localSheetId="9">#REF!</definedName>
    <definedName name="SET_ISS_PRICE" localSheetId="10">#REF!</definedName>
    <definedName name="SET_ISS_PRICE">#REF!</definedName>
    <definedName name="SET_OFF_PRICE" localSheetId="9">#REF!</definedName>
    <definedName name="SET_OFF_PRICE" localSheetId="10">#REF!</definedName>
    <definedName name="SET_OFF_PRICE">#REF!</definedName>
    <definedName name="set_price" localSheetId="9">'[26]Deal Summary'!#REF!</definedName>
    <definedName name="set_price" localSheetId="10">'[26]Deal Summary'!#REF!</definedName>
    <definedName name="set_price">'[26]Deal Summary'!#REF!</definedName>
    <definedName name="shares">[54]DCEInputs!$M$13</definedName>
    <definedName name="Shares_Outstanding">[10]Inputs!$B$5</definedName>
    <definedName name="SHDATE" localSheetId="9">#REF!</definedName>
    <definedName name="SHDATE" localSheetId="10">#REF!</definedName>
    <definedName name="SHDATE">#REF!</definedName>
    <definedName name="Short_Term_Debt">[10]Inputs!$B$9</definedName>
    <definedName name="signcont" localSheetId="9">#REF!</definedName>
    <definedName name="signcont" localSheetId="10">#REF!</definedName>
    <definedName name="signcont">#REF!</definedName>
    <definedName name="signcontOther" localSheetId="9">#REF!</definedName>
    <definedName name="signcontOther" localSheetId="10">#REF!</definedName>
    <definedName name="signcontOther">#REF!</definedName>
    <definedName name="srecap">[36]Triggers!$E$21</definedName>
    <definedName name="STDEBT" localSheetId="8">#REF!</definedName>
    <definedName name="STDEBT" localSheetId="9">#REF!</definedName>
    <definedName name="STDEBT" localSheetId="10">#REF!</definedName>
    <definedName name="STDEBT">#REF!</definedName>
    <definedName name="STORBASE2" localSheetId="9">#REF!</definedName>
    <definedName name="STORBASE2" localSheetId="10">#REF!</definedName>
    <definedName name="STORBASE2">#REF!</definedName>
    <definedName name="StrikePrice" localSheetId="9">#REF!</definedName>
    <definedName name="StrikePrice" localSheetId="10">#REF!</definedName>
    <definedName name="StrikePrice">#REF!</definedName>
    <definedName name="Stub_year_fraction" localSheetId="9">#REF!</definedName>
    <definedName name="Stub_year_fraction" localSheetId="10">#REF!</definedName>
    <definedName name="Stub_year_fraction">#REF!</definedName>
    <definedName name="sum" localSheetId="9">#REF!</definedName>
    <definedName name="sum" localSheetId="10">#REF!</definedName>
    <definedName name="sum">#REF!</definedName>
    <definedName name="Summ">'[55]DEL-updated'!$A$11:$T$372</definedName>
    <definedName name="support_A" localSheetId="9">#REF!</definedName>
    <definedName name="support_A" localSheetId="10">#REF!</definedName>
    <definedName name="support_A">#REF!</definedName>
    <definedName name="support_B" localSheetId="9">#REF!</definedName>
    <definedName name="support_B" localSheetId="10">#REF!</definedName>
    <definedName name="support_B">#REF!</definedName>
    <definedName name="support_C" localSheetId="9">#REF!</definedName>
    <definedName name="support_C" localSheetId="10">#REF!</definedName>
    <definedName name="support_C">#REF!</definedName>
    <definedName name="switch">[13]conrol!$B$16</definedName>
    <definedName name="syn" localSheetId="9">'[51]DCF - Ed'!#REF!</definedName>
    <definedName name="syn" localSheetId="10">'[51]DCF - Ed'!#REF!</definedName>
    <definedName name="syn">'[51]DCF - Ed'!#REF!</definedName>
    <definedName name="SYN_ON" localSheetId="9">'[26]Trans Assump'!#REF!</definedName>
    <definedName name="SYN_ON" localSheetId="10">'[26]Trans Assump'!#REF!</definedName>
    <definedName name="SYN_ON">'[26]Trans Assump'!#REF!</definedName>
    <definedName name="SYNOFF" localSheetId="9">'[28]DCF Inputs'!#REF!</definedName>
    <definedName name="SYNOFF" localSheetId="10">'[28]DCF Inputs'!#REF!</definedName>
    <definedName name="SYNOFF">'[28]DCF Inputs'!#REF!</definedName>
    <definedName name="SYNON" localSheetId="9">'[28]DCF Inputs'!#REF!</definedName>
    <definedName name="SYNON" localSheetId="10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 localSheetId="9">#REF!</definedName>
    <definedName name="Tar00Est" localSheetId="10">#REF!</definedName>
    <definedName name="Tar00Est">#REF!</definedName>
    <definedName name="Tar01Est" localSheetId="9">#REF!</definedName>
    <definedName name="Tar01Est" localSheetId="10">#REF!</definedName>
    <definedName name="Tar01Est">#REF!</definedName>
    <definedName name="Tar99Est" localSheetId="9">#REF!</definedName>
    <definedName name="Tar99Est" localSheetId="10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 localSheetId="9">[18]Target!#REF!</definedName>
    <definedName name="TARGET_NAME" localSheetId="10">[18]Target!#REF!</definedName>
    <definedName name="TARGET_NAME">[18]Target!#REF!</definedName>
    <definedName name="Target1">'[50]Transaction Inputs'!$E$19</definedName>
    <definedName name="TargetDebt">[56]Input!$K$54</definedName>
    <definedName name="tax" localSheetId="9">#REF!</definedName>
    <definedName name="tax" localSheetId="10">#REF!</definedName>
    <definedName name="tax">#REF!</definedName>
    <definedName name="Tax_Rate" localSheetId="9">#REF!</definedName>
    <definedName name="Tax_Rate" localSheetId="10">#REF!</definedName>
    <definedName name="Tax_Rate">#REF!</definedName>
    <definedName name="taxasset?" localSheetId="9">[20]Transaction!#REF!</definedName>
    <definedName name="taxasset?" localSheetId="10">[20]Transaction!#REF!</definedName>
    <definedName name="taxasset?">[20]Transaction!#REF!</definedName>
    <definedName name="taxassetswitch" localSheetId="9">[20]Transaction!#REF!</definedName>
    <definedName name="taxassetswitch" localSheetId="10">[20]Transaction!#REF!</definedName>
    <definedName name="taxassetswitch">[20]Transaction!#REF!</definedName>
    <definedName name="taxrate" localSheetId="9">#REF!</definedName>
    <definedName name="taxrate" localSheetId="10">#REF!</definedName>
    <definedName name="taxrate">#REF!</definedName>
    <definedName name="tbl">{2}</definedName>
    <definedName name="TEMPLATE_FILE" localSheetId="9">[18]Inputs!#REF!</definedName>
    <definedName name="TEMPLATE_FILE" localSheetId="10">[18]Inputs!#REF!</definedName>
    <definedName name="TEMPLATE_FILE">[18]Inputs!#REF!</definedName>
    <definedName name="tender" localSheetId="9">'[57]Trans Assump'!#REF!</definedName>
    <definedName name="tender" localSheetId="10">'[57]Trans Assump'!#REF!</definedName>
    <definedName name="tender">'[57]Trans Assump'!#REF!</definedName>
    <definedName name="ticker">'[9]SumComp-Nortel'!$D$1</definedName>
    <definedName name="ticker2" localSheetId="9">'[38]Side by Side'!#REF!</definedName>
    <definedName name="ticker2" localSheetId="10">'[38]Side by Side'!#REF!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 localSheetId="9">#REF!</definedName>
    <definedName name="totalcap" localSheetId="10">#REF!</definedName>
    <definedName name="totalcap">#REF!</definedName>
    <definedName name="TR_LOOP" localSheetId="9">#REF!</definedName>
    <definedName name="TR_LOOP" localSheetId="10">#REF!</definedName>
    <definedName name="TR_LOOP">#REF!</definedName>
    <definedName name="TR_MERGE" localSheetId="9">#REF!</definedName>
    <definedName name="TR_MERGE" localSheetId="10">#REF!</definedName>
    <definedName name="TR_MERGE">#REF!</definedName>
    <definedName name="TR_METHODS" localSheetId="9">#REF!</definedName>
    <definedName name="TR_METHODS" localSheetId="10">#REF!</definedName>
    <definedName name="TR_METHODS">#REF!</definedName>
    <definedName name="TR_PRICE" localSheetId="9">#REF!</definedName>
    <definedName name="TR_PRICE" localSheetId="10">#REF!</definedName>
    <definedName name="TR_PRICE">#REF!</definedName>
    <definedName name="TR_RANGES" localSheetId="9">#REF!</definedName>
    <definedName name="TR_RANGES" localSheetId="10">#REF!</definedName>
    <definedName name="TR_RANGES">#REF!</definedName>
    <definedName name="TR_STRUCT" localSheetId="9">#REF!</definedName>
    <definedName name="TR_STRUCT" localSheetId="10">#REF!</definedName>
    <definedName name="TR_STRUCT">#REF!</definedName>
    <definedName name="TR_STRUCT_CALCS" localSheetId="9">#REF!</definedName>
    <definedName name="TR_STRUCT_CALCS" localSheetId="10">#REF!</definedName>
    <definedName name="TR_STRUCT_CALCS">#REF!</definedName>
    <definedName name="TR_STRUCT_RUN" localSheetId="9">#REF!</definedName>
    <definedName name="TR_STRUCT_RUN" localSheetId="10">#REF!</definedName>
    <definedName name="TR_STRUCT_RUN">#REF!</definedName>
    <definedName name="TRADVAL" localSheetId="9">#REF!</definedName>
    <definedName name="TRADVAL" localSheetId="10">#REF!</definedName>
    <definedName name="TRADVAL">#REF!</definedName>
    <definedName name="transactioncase" localSheetId="9">#REF!</definedName>
    <definedName name="transactioncase" localSheetId="10">#REF!</definedName>
    <definedName name="transactioncase">#REF!</definedName>
    <definedName name="TRUEUP_BAL2" localSheetId="9">#REF!</definedName>
    <definedName name="TRUEUP_BAL2" localSheetId="10">#REF!</definedName>
    <definedName name="TRUEUP_BAL2">#REF!</definedName>
    <definedName name="TWO_YRS_BY_MTH" localSheetId="9">#REF!</definedName>
    <definedName name="TWO_YRS_BY_MTH" localSheetId="10">#REF!</definedName>
    <definedName name="TWO_YRS_BY_MTH">#REF!</definedName>
    <definedName name="UNAFFPRICE" localSheetId="9">[18]Target!#REF!</definedName>
    <definedName name="UNAFFPRICE" localSheetId="10">[18]Target!#REF!</definedName>
    <definedName name="UNAFFPRICE">[18]Target!#REF!</definedName>
    <definedName name="UNAMORT" localSheetId="8">#REF!</definedName>
    <definedName name="UNAMORT" localSheetId="9">#REF!</definedName>
    <definedName name="UNAMORT" localSheetId="10">#REF!</definedName>
    <definedName name="UNAMORT">#REF!</definedName>
    <definedName name="UNDER" localSheetId="8">#REF!</definedName>
    <definedName name="UNDER" localSheetId="9">#REF!</definedName>
    <definedName name="UNDER" localSheetId="10">#REF!</definedName>
    <definedName name="UNDER">#REF!</definedName>
    <definedName name="units">[43]conrol!$C$8</definedName>
    <definedName name="UPDATE" localSheetId="9">#REF!</definedName>
    <definedName name="UPDATE" localSheetId="10">#REF!</definedName>
    <definedName name="UPDATE">#REF!</definedName>
    <definedName name="UPDATE_MKT" localSheetId="9">#REF!</definedName>
    <definedName name="UPDATE_MKT" localSheetId="10">#REF!</definedName>
    <definedName name="UPDATE_MKT">#REF!</definedName>
    <definedName name="us_cpi" localSheetId="9">#REF!</definedName>
    <definedName name="us_cpi" localSheetId="10">#REF!</definedName>
    <definedName name="us_cpi">#REF!</definedName>
    <definedName name="USE_TEMP" localSheetId="9">[18]Inputs!#REF!</definedName>
    <definedName name="USE_TEMP" localSheetId="10">[18]Inputs!#REF!</definedName>
    <definedName name="USE_TEMP">[18]Inputs!#REF!</definedName>
    <definedName name="Useful_Life_of_Depreciable_PP_E">"PPElife"</definedName>
    <definedName name="usprice">[9]DCEInputs!$I$5</definedName>
    <definedName name="varyr1" localSheetId="9">'[60]var 10 11'!#REF!</definedName>
    <definedName name="varyr1" localSheetId="10">'[60]var 10 11'!#REF!</definedName>
    <definedName name="varyr1">'[60]var 10 11'!#REF!</definedName>
    <definedName name="VAT" localSheetId="9">#REF!</definedName>
    <definedName name="VAT" localSheetId="10">#REF!</definedName>
    <definedName name="VAT">#REF!</definedName>
    <definedName name="VCA" localSheetId="9">#REF!</definedName>
    <definedName name="VCA" localSheetId="10">#REF!</definedName>
    <definedName name="VCA">#REF!</definedName>
    <definedName name="w_sales" localSheetId="9">[22]Lookups!#REF!</definedName>
    <definedName name="w_sales" localSheetId="10">[22]Lookups!#REF!</definedName>
    <definedName name="w_sales">[22]Lookups!#REF!</definedName>
    <definedName name="wacc" localSheetId="9">#REF!</definedName>
    <definedName name="wacc" localSheetId="10">#REF!</definedName>
    <definedName name="wacc">#REF!</definedName>
    <definedName name="WATINC" localSheetId="8">#REF!</definedName>
    <definedName name="WATINC" localSheetId="9">#REF!</definedName>
    <definedName name="WATINC" localSheetId="10">#REF!</definedName>
    <definedName name="WATINC">#REF!</definedName>
    <definedName name="Weight_of_Equity" localSheetId="9">'[16]B&amp;W WACC'!#REF!</definedName>
    <definedName name="Weight_of_Equity" localSheetId="10">'[16]B&amp;W WACC'!#REF!</definedName>
    <definedName name="Weight_of_Equity">'[16]B&amp;W WACC'!#REF!</definedName>
    <definedName name="WPBCUST" localSheetId="8">#REF!</definedName>
    <definedName name="WPBCUST" localSheetId="9">#REF!</definedName>
    <definedName name="WPBCUST" localSheetId="10">#REF!</definedName>
    <definedName name="WPBCUST">#REF!</definedName>
    <definedName name="WPBINC" localSheetId="8">#REF!</definedName>
    <definedName name="WPBINC" localSheetId="9">#REF!</definedName>
    <definedName name="WPBINC" localSheetId="10">#REF!</definedName>
    <definedName name="WPBINC">#REF!</definedName>
    <definedName name="WPBUNIT" localSheetId="8">#REF!</definedName>
    <definedName name="WPBUNIT" localSheetId="9">#REF!</definedName>
    <definedName name="WPBUNIT" localSheetId="10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 localSheetId="9">#REF!</definedName>
    <definedName name="y1active" localSheetId="10">#REF!</definedName>
    <definedName name="y1active">#REF!</definedName>
    <definedName name="y1build" localSheetId="9">#REF!</definedName>
    <definedName name="y1build" localSheetId="10">#REF!</definedName>
    <definedName name="y1build">#REF!</definedName>
    <definedName name="y1build_alt" localSheetId="9">#REF!</definedName>
    <definedName name="y1build_alt" localSheetId="10">#REF!</definedName>
    <definedName name="y1build_alt">#REF!</definedName>
    <definedName name="y1sport" localSheetId="9">#REF!</definedName>
    <definedName name="y1sport" localSheetId="10">#REF!</definedName>
    <definedName name="y1sport">#REF!</definedName>
    <definedName name="y2active" localSheetId="9">#REF!</definedName>
    <definedName name="y2active" localSheetId="10">#REF!</definedName>
    <definedName name="y2active">#REF!</definedName>
    <definedName name="y2build" localSheetId="9">#REF!</definedName>
    <definedName name="y2build" localSheetId="10">#REF!</definedName>
    <definedName name="y2build">#REF!</definedName>
    <definedName name="y2build_alt" localSheetId="9">#REF!</definedName>
    <definedName name="y2build_alt" localSheetId="10">#REF!</definedName>
    <definedName name="y2build_alt">#REF!</definedName>
    <definedName name="y2sport" localSheetId="9">#REF!</definedName>
    <definedName name="y2sport" localSheetId="10">#REF!</definedName>
    <definedName name="y2sport">#REF!</definedName>
    <definedName name="y3active" localSheetId="9">#REF!</definedName>
    <definedName name="y3active" localSheetId="10">#REF!</definedName>
    <definedName name="y3active">#REF!</definedName>
    <definedName name="y3build" localSheetId="9">#REF!</definedName>
    <definedName name="y3build" localSheetId="10">#REF!</definedName>
    <definedName name="y3build">#REF!</definedName>
    <definedName name="y3build_alt" localSheetId="9">#REF!</definedName>
    <definedName name="y3build_alt" localSheetId="10">#REF!</definedName>
    <definedName name="y3build_alt">#REF!</definedName>
    <definedName name="y3sport" localSheetId="9">#REF!</definedName>
    <definedName name="y3sport" localSheetId="10">#REF!</definedName>
    <definedName name="y3sport">#REF!</definedName>
    <definedName name="y4active" localSheetId="9">#REF!</definedName>
    <definedName name="y4active" localSheetId="10">#REF!</definedName>
    <definedName name="y4active">#REF!</definedName>
    <definedName name="y4build" localSheetId="9">#REF!</definedName>
    <definedName name="y4build" localSheetId="10">#REF!</definedName>
    <definedName name="y4build">#REF!</definedName>
    <definedName name="y4build_alt" localSheetId="9">#REF!</definedName>
    <definedName name="y4build_alt" localSheetId="10">#REF!</definedName>
    <definedName name="y4build_alt">#REF!</definedName>
    <definedName name="y4sport" localSheetId="9">#REF!</definedName>
    <definedName name="y4sport" localSheetId="10">#REF!</definedName>
    <definedName name="y4sport">#REF!</definedName>
    <definedName name="y5active" localSheetId="9">#REF!</definedName>
    <definedName name="y5active" localSheetId="10">#REF!</definedName>
    <definedName name="y5active">#REF!</definedName>
    <definedName name="y5build" localSheetId="9">#REF!</definedName>
    <definedName name="y5build" localSheetId="10">#REF!</definedName>
    <definedName name="y5build">#REF!</definedName>
    <definedName name="y5build_alt" localSheetId="9">#REF!</definedName>
    <definedName name="y5build_alt" localSheetId="10">#REF!</definedName>
    <definedName name="y5build_alt">#REF!</definedName>
    <definedName name="y5sport" localSheetId="9">#REF!</definedName>
    <definedName name="y5sport" localSheetId="10">#REF!</definedName>
    <definedName name="y5sport">#REF!</definedName>
    <definedName name="y6active" localSheetId="9">#REF!</definedName>
    <definedName name="y6active" localSheetId="10">#REF!</definedName>
    <definedName name="y6active">#REF!</definedName>
    <definedName name="y6build" localSheetId="9">#REF!</definedName>
    <definedName name="y6build" localSheetId="10">#REF!</definedName>
    <definedName name="y6build">#REF!</definedName>
    <definedName name="y6build_alt" localSheetId="9">#REF!</definedName>
    <definedName name="y6build_alt" localSheetId="10">#REF!</definedName>
    <definedName name="y6build_alt">#REF!</definedName>
    <definedName name="y6sport" localSheetId="9">#REF!</definedName>
    <definedName name="y6sport" localSheetId="10">#REF!</definedName>
    <definedName name="y6sport">#REF!</definedName>
    <definedName name="year" localSheetId="9">#REF!</definedName>
    <definedName name="year" localSheetId="10">#REF!</definedName>
    <definedName name="year">#REF!</definedName>
    <definedName name="YEAR2" localSheetId="9">[15]Fin_Assumptions!#REF!</definedName>
    <definedName name="YEAR2" localSheetId="10">[15]Fin_Assumptions!#REF!</definedName>
    <definedName name="YEAR2">[15]Fin_Assumptions!#REF!</definedName>
    <definedName name="yr1b" localSheetId="9">#REF!</definedName>
    <definedName name="yr1b" localSheetId="10">#REF!</definedName>
    <definedName name="yr1b">#REF!</definedName>
    <definedName name="z_Clear" localSheetId="9">#REF!,#REF!,#REF!,#REF!,#REF!,#REF!,#REF!,#REF!,#REF!,#REF!,#REF!,#REF!</definedName>
    <definedName name="z_Clear" localSheetId="10">#REF!,#REF!,#REF!,#REF!,#REF!,#REF!,#REF!,#REF!,#REF!,#REF!,#REF!,#REF!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 localSheetId="9">[4]Main!#REF!,[4]Main!#REF!,[4]Main!#REF!,[4]Main!#REF!</definedName>
    <definedName name="z_Col7" localSheetId="10">[4]Main!#REF!,[4]Main!#REF!,[4]Main!#REF!,[4]Main!#REF!</definedName>
    <definedName name="z_Col7">[4]Main!#REF!,[4]Main!#REF!,[4]Main!#REF!,[4]Main!#REF!</definedName>
    <definedName name="z_Col9">[4]Main!$P$5:$P$56,[4]Main!$P$16:$P$132,[4]Main!$P$145:$P$199,[4]Main!$P$213:$P$234</definedName>
    <definedName name="z_DelOne" localSheetId="9">#REF!</definedName>
    <definedName name="z_DelOne" localSheetId="10">#REF!</definedName>
    <definedName name="z_DelOne">#REF!</definedName>
    <definedName name="z_DelTwo" localSheetId="9">#REF!</definedName>
    <definedName name="z_DelTwo" localSheetId="10">#REF!</definedName>
    <definedName name="z_DelTwo">#REF!</definedName>
    <definedName name="z_End" localSheetId="9">#REF!</definedName>
    <definedName name="z_End" localSheetId="10">#REF!</definedName>
    <definedName name="z_End">#REF!</definedName>
    <definedName name="z_End1" localSheetId="9">[4]Main!#REF!</definedName>
    <definedName name="z_End1" localSheetId="10">[4]Main!#REF!</definedName>
    <definedName name="z_End1">[4]Main!#REF!</definedName>
    <definedName name="z_EndA" localSheetId="9">[4]Main!#REF!</definedName>
    <definedName name="z_EndA" localSheetId="10">[4]Main!#REF!</definedName>
    <definedName name="z_EndA">[4]Main!#REF!</definedName>
    <definedName name="z_Endp1" localSheetId="9">[4]Main!#REF!</definedName>
    <definedName name="z_Endp1" localSheetId="10">[4]Main!#REF!</definedName>
    <definedName name="z_Endp1">[4]Main!#REF!</definedName>
    <definedName name="z_EndP2" localSheetId="9">[4]Main!#REF!</definedName>
    <definedName name="z_EndP2" localSheetId="10">[4]Main!#REF!</definedName>
    <definedName name="z_EndP2">[4]Main!#REF!</definedName>
    <definedName name="z_Industry" localSheetId="9">[4]Main!#REF!</definedName>
    <definedName name="z_Industry" localSheetId="10">[4]Main!#REF!</definedName>
    <definedName name="z_Industry">[4]Main!#REF!</definedName>
    <definedName name="z_Margin_EBIT3yr" localSheetId="9">#REF!</definedName>
    <definedName name="z_Margin_EBIT3yr" localSheetId="10">#REF!</definedName>
    <definedName name="z_Margin_EBIT3yr">#REF!</definedName>
    <definedName name="z_Margin_EBIT3yr_Increm" localSheetId="9">#REF!</definedName>
    <definedName name="z_Margin_EBIT3yr_Increm" localSheetId="10">#REF!</definedName>
    <definedName name="z_Margin_EBIT3yr_Increm">#REF!</definedName>
    <definedName name="z_Margin_EBIT3yr_Max" localSheetId="9">#REF!</definedName>
    <definedName name="z_Margin_EBIT3yr_Max" localSheetId="10">#REF!</definedName>
    <definedName name="z_Margin_EBIT3yr_Max">#REF!</definedName>
    <definedName name="z_Margin_EBIT3yr_Mean" localSheetId="9">#REF!</definedName>
    <definedName name="z_Margin_EBIT3yr_Mean" localSheetId="10">#REF!</definedName>
    <definedName name="z_Margin_EBIT3yr_Mean">#REF!</definedName>
    <definedName name="z_Margin_EBIT3yr_Mean_cal" localSheetId="9">#REF!</definedName>
    <definedName name="z_Margin_EBIT3yr_Mean_cal" localSheetId="10">#REF!</definedName>
    <definedName name="z_Margin_EBIT3yr_Mean_cal">#REF!</definedName>
    <definedName name="z_Margin_EBIT3yr_Min" localSheetId="9">#REF!</definedName>
    <definedName name="z_Margin_EBIT3yr_Min" localSheetId="10">#REF!</definedName>
    <definedName name="z_Margin_EBIT3yr_Min">#REF!</definedName>
    <definedName name="z_Margin_EBIT3yr_Name" localSheetId="9">#REF!</definedName>
    <definedName name="z_Margin_EBIT3yr_Name" localSheetId="10">#REF!</definedName>
    <definedName name="z_Margin_EBIT3yr_Name">#REF!</definedName>
    <definedName name="z_Margin_EBIT3yr2" localSheetId="9">#REF!</definedName>
    <definedName name="z_Margin_EBIT3yr2" localSheetId="10">#REF!</definedName>
    <definedName name="z_Margin_EBIT3yr2">#REF!</definedName>
    <definedName name="z_Margin_EBITDA3yr" localSheetId="9">#REF!</definedName>
    <definedName name="z_Margin_EBITDA3yr" localSheetId="10">#REF!</definedName>
    <definedName name="z_Margin_EBITDA3yr">#REF!</definedName>
    <definedName name="z_Margin_EBITDA3yr_Increm" localSheetId="9">#REF!</definedName>
    <definedName name="z_Margin_EBITDA3yr_Increm" localSheetId="10">#REF!</definedName>
    <definedName name="z_Margin_EBITDA3yr_Increm">#REF!</definedName>
    <definedName name="z_Margin_EBITDA3yr_Max" localSheetId="9">#REF!</definedName>
    <definedName name="z_Margin_EBITDA3yr_Max" localSheetId="10">#REF!</definedName>
    <definedName name="z_Margin_EBITDA3yr_Max">#REF!</definedName>
    <definedName name="z_Margin_EBITDA3yr_Mean" localSheetId="9">#REF!</definedName>
    <definedName name="z_Margin_EBITDA3yr_Mean" localSheetId="10">#REF!</definedName>
    <definedName name="z_Margin_EBITDA3yr_Mean">#REF!</definedName>
    <definedName name="z_Margin_EBITDA3yr_Mean_cal" localSheetId="9">#REF!</definedName>
    <definedName name="z_Margin_EBITDA3yr_Mean_cal" localSheetId="10">#REF!</definedName>
    <definedName name="z_Margin_EBITDA3yr_Mean_cal">#REF!</definedName>
    <definedName name="z_Margin_EBITDA3yr_Min" localSheetId="9">#REF!</definedName>
    <definedName name="z_Margin_EBITDA3yr_Min" localSheetId="10">#REF!</definedName>
    <definedName name="z_Margin_EBITDA3yr_Min">#REF!</definedName>
    <definedName name="z_Margin_EBITDA3yr_Name" localSheetId="9">#REF!</definedName>
    <definedName name="z_Margin_EBITDA3yr_Name" localSheetId="10">#REF!</definedName>
    <definedName name="z_Margin_EBITDA3yr_Name">#REF!</definedName>
    <definedName name="z_Margin_EBITDA3yr2" localSheetId="9">#REF!</definedName>
    <definedName name="z_Margin_EBITDA3yr2" localSheetId="10">#REF!</definedName>
    <definedName name="z_Margin_EBITDA3yr2">#REF!</definedName>
    <definedName name="z_Margin_LTM_EBIT" localSheetId="9">#REF!</definedName>
    <definedName name="z_Margin_LTM_EBIT" localSheetId="10">#REF!</definedName>
    <definedName name="z_Margin_LTM_EBIT">#REF!</definedName>
    <definedName name="z_Margin_LTM_EBIT_Increm" localSheetId="9">#REF!</definedName>
    <definedName name="z_Margin_LTM_EBIT_Increm" localSheetId="10">#REF!</definedName>
    <definedName name="z_Margin_LTM_EBIT_Increm">#REF!</definedName>
    <definedName name="z_Margin_LTM_EBIT_Max" localSheetId="9">#REF!</definedName>
    <definedName name="z_Margin_LTM_EBIT_Max" localSheetId="10">#REF!</definedName>
    <definedName name="z_Margin_LTM_EBIT_Max">#REF!</definedName>
    <definedName name="z_Margin_LTM_EBIT_Mean" localSheetId="9">#REF!</definedName>
    <definedName name="z_Margin_LTM_EBIT_Mean" localSheetId="10">#REF!</definedName>
    <definedName name="z_Margin_LTM_EBIT_Mean">#REF!</definedName>
    <definedName name="z_Margin_LTM_EBIT_Mean_cal" localSheetId="9">#REF!</definedName>
    <definedName name="z_Margin_LTM_EBIT_Mean_cal" localSheetId="10">#REF!</definedName>
    <definedName name="z_Margin_LTM_EBIT_Mean_cal">#REF!</definedName>
    <definedName name="z_Margin_LTM_EBIT_Min" localSheetId="9">#REF!</definedName>
    <definedName name="z_Margin_LTM_EBIT_Min" localSheetId="10">#REF!</definedName>
    <definedName name="z_Margin_LTM_EBIT_Min">#REF!</definedName>
    <definedName name="z_Margin_LTM_EBIT_Name" localSheetId="9">#REF!</definedName>
    <definedName name="z_Margin_LTM_EBIT_Name" localSheetId="10">#REF!</definedName>
    <definedName name="z_Margin_LTM_EBIT_Name">#REF!</definedName>
    <definedName name="z_Margin_LTM_EBIT2" localSheetId="9">#REF!</definedName>
    <definedName name="z_Margin_LTM_EBIT2" localSheetId="10">#REF!</definedName>
    <definedName name="z_Margin_LTM_EBIT2">#REF!</definedName>
    <definedName name="z_Margin_LTM_EBITDA" localSheetId="9">#REF!</definedName>
    <definedName name="z_Margin_LTM_EBITDA" localSheetId="10">#REF!</definedName>
    <definedName name="z_Margin_LTM_EBITDA">#REF!</definedName>
    <definedName name="z_Margin_LTM_EBITDA_Increm" localSheetId="9">#REF!</definedName>
    <definedName name="z_Margin_LTM_EBITDA_Increm" localSheetId="10">#REF!</definedName>
    <definedName name="z_Margin_LTM_EBITDA_Increm">#REF!</definedName>
    <definedName name="z_Margin_LTM_EBITDA_Max" localSheetId="9">#REF!</definedName>
    <definedName name="z_Margin_LTM_EBITDA_Max" localSheetId="10">#REF!</definedName>
    <definedName name="z_Margin_LTM_EBITDA_Max">#REF!</definedName>
    <definedName name="z_Margin_LTM_EBITDA_Mean" localSheetId="9">#REF!</definedName>
    <definedName name="z_Margin_LTM_EBITDA_Mean" localSheetId="10">#REF!</definedName>
    <definedName name="z_Margin_LTM_EBITDA_Mean">#REF!</definedName>
    <definedName name="z_Margin_LTM_EBITDA_Mean_cal" localSheetId="9">#REF!</definedName>
    <definedName name="z_Margin_LTM_EBITDA_Mean_cal" localSheetId="10">#REF!</definedName>
    <definedName name="z_Margin_LTM_EBITDA_Mean_cal">#REF!</definedName>
    <definedName name="z_Margin_LTM_EBITDA_Min" localSheetId="9">#REF!</definedName>
    <definedName name="z_Margin_LTM_EBITDA_Min" localSheetId="10">#REF!</definedName>
    <definedName name="z_Margin_LTM_EBITDA_Min">#REF!</definedName>
    <definedName name="z_Margin_LTM_EBITDA_Name" localSheetId="9">#REF!</definedName>
    <definedName name="z_Margin_LTM_EBITDA_Name" localSheetId="10">#REF!</definedName>
    <definedName name="z_Margin_LTM_EBITDA_Name">#REF!</definedName>
    <definedName name="z_Margin_LTM_EBITDA2" localSheetId="9">#REF!</definedName>
    <definedName name="z_Margin_LTM_EBITDA2" localSheetId="10">#REF!</definedName>
    <definedName name="z_Margin_LTM_EBITDA2">#REF!</definedName>
    <definedName name="z_Op_EBIT" localSheetId="9">#REF!</definedName>
    <definedName name="z_Op_EBIT" localSheetId="10">#REF!</definedName>
    <definedName name="z_Op_EBIT">#REF!</definedName>
    <definedName name="z_Op_EBIT_Increm" localSheetId="9">#REF!</definedName>
    <definedName name="z_Op_EBIT_Increm" localSheetId="10">#REF!</definedName>
    <definedName name="z_Op_EBIT_Increm">#REF!</definedName>
    <definedName name="z_Op_EBIT_Max" localSheetId="9">#REF!</definedName>
    <definedName name="z_Op_EBIT_Max" localSheetId="10">#REF!</definedName>
    <definedName name="z_Op_EBIT_Max">#REF!</definedName>
    <definedName name="z_Op_EBIT_Mean" localSheetId="9">#REF!</definedName>
    <definedName name="z_Op_EBIT_Mean" localSheetId="10">#REF!</definedName>
    <definedName name="z_Op_EBIT_Mean">#REF!</definedName>
    <definedName name="z_Op_EBIT_Mean_cal" localSheetId="9">#REF!</definedName>
    <definedName name="z_Op_EBIT_Mean_cal" localSheetId="10">#REF!</definedName>
    <definedName name="z_Op_EBIT_Mean_cal">#REF!</definedName>
    <definedName name="z_Op_EBIT_Min" localSheetId="9">#REF!</definedName>
    <definedName name="z_Op_EBIT_Min" localSheetId="10">#REF!</definedName>
    <definedName name="z_Op_EBIT_Min">#REF!</definedName>
    <definedName name="z_Op_EBIT_Name" localSheetId="9">#REF!</definedName>
    <definedName name="z_Op_EBIT_Name" localSheetId="10">#REF!</definedName>
    <definedName name="z_Op_EBIT_Name">#REF!</definedName>
    <definedName name="z_Op_EBIT2" localSheetId="9">#REF!</definedName>
    <definedName name="z_Op_EBIT2" localSheetId="10">#REF!</definedName>
    <definedName name="z_Op_EBIT2">#REF!</definedName>
    <definedName name="z_Op_EBITDA" localSheetId="9">#REF!</definedName>
    <definedName name="z_Op_EBITDA" localSheetId="10">#REF!</definedName>
    <definedName name="z_Op_EBITDA">#REF!</definedName>
    <definedName name="z_Op_EBITDA_Increm" localSheetId="9">#REF!</definedName>
    <definedName name="z_Op_EBITDA_Increm" localSheetId="10">#REF!</definedName>
    <definedName name="z_Op_EBITDA_Increm">#REF!</definedName>
    <definedName name="z_Op_EBITDA_Max" localSheetId="9">#REF!</definedName>
    <definedName name="z_Op_EBITDA_Max" localSheetId="10">#REF!</definedName>
    <definedName name="z_Op_EBITDA_Max">#REF!</definedName>
    <definedName name="z_Op_EBITDA_Mean" localSheetId="9">#REF!</definedName>
    <definedName name="z_Op_EBITDA_Mean" localSheetId="10">#REF!</definedName>
    <definedName name="z_Op_EBITDA_Mean">#REF!</definedName>
    <definedName name="z_Op_EBITDA_Mean_cal" localSheetId="9">#REF!</definedName>
    <definedName name="z_Op_EBITDA_Mean_cal" localSheetId="10">#REF!</definedName>
    <definedName name="z_Op_EBITDA_Mean_cal">#REF!</definedName>
    <definedName name="z_Op_EBITDA_Min" localSheetId="9">#REF!</definedName>
    <definedName name="z_Op_EBITDA_Min" localSheetId="10">#REF!</definedName>
    <definedName name="z_Op_EBITDA_Min">#REF!</definedName>
    <definedName name="z_Op_EBITDA_Name" localSheetId="9">#REF!</definedName>
    <definedName name="z_Op_EBITDA_Name" localSheetId="10">#REF!</definedName>
    <definedName name="z_Op_EBITDA_Name">#REF!</definedName>
    <definedName name="z_Op_EBITDA2" localSheetId="9">#REF!</definedName>
    <definedName name="z_Op_EBITDA2" localSheetId="10">#REF!</definedName>
    <definedName name="z_Op_EBITDA2">#REF!</definedName>
    <definedName name="z_Op_NI" localSheetId="9">#REF!</definedName>
    <definedName name="z_Op_NI" localSheetId="10">#REF!</definedName>
    <definedName name="z_Op_NI">#REF!</definedName>
    <definedName name="z_Op_NI_Increm" localSheetId="9">#REF!</definedName>
    <definedName name="z_Op_NI_Increm" localSheetId="10">#REF!</definedName>
    <definedName name="z_Op_NI_Increm">#REF!</definedName>
    <definedName name="z_Op_NI_Max" localSheetId="9">#REF!</definedName>
    <definedName name="z_Op_NI_Max" localSheetId="10">#REF!</definedName>
    <definedName name="z_Op_NI_Max">#REF!</definedName>
    <definedName name="z_Op_NI_Mean" localSheetId="9">#REF!</definedName>
    <definedName name="z_Op_NI_Mean" localSheetId="10">#REF!</definedName>
    <definedName name="z_Op_NI_Mean">#REF!</definedName>
    <definedName name="z_Op_NI_Mean_cal" localSheetId="9">#REF!</definedName>
    <definedName name="z_Op_NI_Mean_cal" localSheetId="10">#REF!</definedName>
    <definedName name="z_Op_NI_Mean_cal">#REF!</definedName>
    <definedName name="z_Op_NI_Min" localSheetId="9">#REF!</definedName>
    <definedName name="z_Op_NI_Min" localSheetId="10">#REF!</definedName>
    <definedName name="z_Op_NI_Min">#REF!</definedName>
    <definedName name="z_Op_NI_Name" localSheetId="9">#REF!</definedName>
    <definedName name="z_Op_NI_Name" localSheetId="10">#REF!</definedName>
    <definedName name="z_Op_NI_Name">#REF!</definedName>
    <definedName name="z_Op_NI2" localSheetId="9">#REF!</definedName>
    <definedName name="z_Op_NI2" localSheetId="10">#REF!</definedName>
    <definedName name="z_Op_NI2">#REF!</definedName>
    <definedName name="z_Op_Revenues" localSheetId="9">#REF!</definedName>
    <definedName name="z_Op_Revenues" localSheetId="10">#REF!</definedName>
    <definedName name="z_Op_Revenues">#REF!</definedName>
    <definedName name="z_Op_Revenues_Increm" localSheetId="9">#REF!</definedName>
    <definedName name="z_Op_Revenues_Increm" localSheetId="10">#REF!</definedName>
    <definedName name="z_Op_Revenues_Increm">#REF!</definedName>
    <definedName name="z_Op_Revenues_Max" localSheetId="9">#REF!</definedName>
    <definedName name="z_Op_Revenues_Max" localSheetId="10">#REF!</definedName>
    <definedName name="z_Op_Revenues_Max">#REF!</definedName>
    <definedName name="z_Op_Revenues_Mean" localSheetId="9">#REF!</definedName>
    <definedName name="z_Op_Revenues_Mean" localSheetId="10">#REF!</definedName>
    <definedName name="z_Op_Revenues_Mean">#REF!</definedName>
    <definedName name="z_Op_Revenues_Mean_cal" localSheetId="9">#REF!</definedName>
    <definedName name="z_Op_Revenues_Mean_cal" localSheetId="10">#REF!</definedName>
    <definedName name="z_Op_Revenues_Mean_cal">#REF!</definedName>
    <definedName name="z_Op_Revenues_Min" localSheetId="9">#REF!</definedName>
    <definedName name="z_Op_Revenues_Min" localSheetId="10">#REF!</definedName>
    <definedName name="z_Op_Revenues_Min">#REF!</definedName>
    <definedName name="z_Op_Revenues_Name" localSheetId="9">#REF!</definedName>
    <definedName name="z_Op_Revenues_Name" localSheetId="10">#REF!</definedName>
    <definedName name="z_Op_Revenues_Name">#REF!</definedName>
    <definedName name="z_Op_Revenues2" localSheetId="9">#REF!</definedName>
    <definedName name="z_Op_Revenues2" localSheetId="10">#REF!</definedName>
    <definedName name="z_Op_Revenues2">#REF!</definedName>
    <definedName name="z_Printarea">[4]Main!$H$8:$S$56,[4]Main!$H$16:$S$132</definedName>
    <definedName name="z_Project_Name" localSheetId="9">[4]Main!#REF!</definedName>
    <definedName name="z_Project_Name" localSheetId="10">[4]Main!#REF!</definedName>
    <definedName name="z_Project_Name">[4]Main!#REF!</definedName>
    <definedName name="z_Range" localSheetId="9">#REF!</definedName>
    <definedName name="z_Range" localSheetId="10">#REF!</definedName>
    <definedName name="z_Range">#REF!</definedName>
    <definedName name="z_Row_Clear" localSheetId="9">#REF!</definedName>
    <definedName name="z_Row_Clear" localSheetId="10">#REF!</definedName>
    <definedName name="z_Row_Clear">#REF!</definedName>
    <definedName name="z_Row_End" localSheetId="9">#REF!</definedName>
    <definedName name="z_Row_End" localSheetId="10">#REF!</definedName>
    <definedName name="z_Row_End">#REF!</definedName>
    <definedName name="z_Row1" localSheetId="9">#REF!</definedName>
    <definedName name="z_Row1" localSheetId="10">#REF!</definedName>
    <definedName name="z_Row1">#REF!</definedName>
    <definedName name="z_Row14" localSheetId="9">#REF!,#REF!</definedName>
    <definedName name="z_Row14" localSheetId="10">#REF!,#REF!</definedName>
    <definedName name="z_Row14">#REF!,#REF!</definedName>
    <definedName name="z_Row15" localSheetId="9">#REF!,#REF!</definedName>
    <definedName name="z_Row15" localSheetId="10">#REF!,#REF!</definedName>
    <definedName name="z_Row15">#REF!,#REF!</definedName>
    <definedName name="z_Row16" localSheetId="9">#REF!,#REF!</definedName>
    <definedName name="z_Row16" localSheetId="10">#REF!,#REF!</definedName>
    <definedName name="z_Row16">#REF!,#REF!</definedName>
    <definedName name="z_Row17" localSheetId="9">#REF!</definedName>
    <definedName name="z_Row17" localSheetId="10">#REF!</definedName>
    <definedName name="z_Row17">#REF!</definedName>
    <definedName name="z_Row18" localSheetId="9">#REF!</definedName>
    <definedName name="z_Row18" localSheetId="10">#REF!</definedName>
    <definedName name="z_Row18">#REF!</definedName>
    <definedName name="z_Row19" localSheetId="9">#REF!</definedName>
    <definedName name="z_Row19" localSheetId="10">#REF!</definedName>
    <definedName name="z_Row19">#REF!</definedName>
    <definedName name="z_rw_End" localSheetId="9">#REF!</definedName>
    <definedName name="z_rw_End" localSheetId="10">#REF!</definedName>
    <definedName name="z_rw_End">#REF!</definedName>
    <definedName name="z_TEV_LTM_EBIT" localSheetId="9">#REF!</definedName>
    <definedName name="z_TEV_LTM_EBIT" localSheetId="10">#REF!</definedName>
    <definedName name="z_TEV_LTM_EBIT">#REF!</definedName>
    <definedName name="z_TEV_LTM_EBIT_Increm" localSheetId="9">#REF!</definedName>
    <definedName name="z_TEV_LTM_EBIT_Increm" localSheetId="10">#REF!</definedName>
    <definedName name="z_TEV_LTM_EBIT_Increm">#REF!</definedName>
    <definedName name="z_TEV_LTM_EBIT_Max" localSheetId="9">#REF!</definedName>
    <definedName name="z_TEV_LTM_EBIT_Max" localSheetId="10">#REF!</definedName>
    <definedName name="z_TEV_LTM_EBIT_Max">#REF!</definedName>
    <definedName name="z_TEV_LTM_EBIT_Mean" localSheetId="9">#REF!</definedName>
    <definedName name="z_TEV_LTM_EBIT_Mean" localSheetId="10">#REF!</definedName>
    <definedName name="z_TEV_LTM_EBIT_Mean">#REF!</definedName>
    <definedName name="z_TEV_LTM_EBIT_Mean_cal" localSheetId="9">#REF!</definedName>
    <definedName name="z_TEV_LTM_EBIT_Mean_cal" localSheetId="10">#REF!</definedName>
    <definedName name="z_TEV_LTM_EBIT_Mean_cal">#REF!</definedName>
    <definedName name="z_TEV_LTM_EBIT_Min" localSheetId="9">#REF!</definedName>
    <definedName name="z_TEV_LTM_EBIT_Min" localSheetId="10">#REF!</definedName>
    <definedName name="z_TEV_LTM_EBIT_Min">#REF!</definedName>
    <definedName name="z_TEV_LTM_EBIT_Name" localSheetId="9">#REF!</definedName>
    <definedName name="z_TEV_LTM_EBIT_Name" localSheetId="10">#REF!</definedName>
    <definedName name="z_TEV_LTM_EBIT_Name">#REF!</definedName>
    <definedName name="z_TEV_LTM_EBIT2" localSheetId="9">#REF!</definedName>
    <definedName name="z_TEV_LTM_EBIT2" localSheetId="10">#REF!</definedName>
    <definedName name="z_TEV_LTM_EBIT2">#REF!</definedName>
    <definedName name="z_TEV_LTM_EBITDA" localSheetId="9">#REF!</definedName>
    <definedName name="z_TEV_LTM_EBITDA" localSheetId="10">#REF!</definedName>
    <definedName name="z_TEV_LTM_EBITDA">#REF!</definedName>
    <definedName name="z_TEV_LTM_EBITDA_Increm" localSheetId="9">#REF!</definedName>
    <definedName name="z_TEV_LTM_EBITDA_Increm" localSheetId="10">#REF!</definedName>
    <definedName name="z_TEV_LTM_EBITDA_Increm">#REF!</definedName>
    <definedName name="z_TEV_LTM_EBITDA_Max" localSheetId="9">#REF!</definedName>
    <definedName name="z_TEV_LTM_EBITDA_Max" localSheetId="10">#REF!</definedName>
    <definedName name="z_TEV_LTM_EBITDA_Max">#REF!</definedName>
    <definedName name="z_TEV_LTM_EBITDA_Mean" localSheetId="9">#REF!</definedName>
    <definedName name="z_TEV_LTM_EBITDA_Mean" localSheetId="10">#REF!</definedName>
    <definedName name="z_TEV_LTM_EBITDA_Mean">#REF!</definedName>
    <definedName name="z_TEV_LTM_EBITDA_Mean_cal" localSheetId="9">#REF!</definedName>
    <definedName name="z_TEV_LTM_EBITDA_Mean_cal" localSheetId="10">#REF!</definedName>
    <definedName name="z_TEV_LTM_EBITDA_Mean_cal">#REF!</definedName>
    <definedName name="z_TEV_LTM_EBITDA_Min" localSheetId="9">#REF!</definedName>
    <definedName name="z_TEV_LTM_EBITDA_Min" localSheetId="10">#REF!</definedName>
    <definedName name="z_TEV_LTM_EBITDA_Min">#REF!</definedName>
    <definedName name="z_TEV_LTM_EBITDA_Name" localSheetId="9">#REF!</definedName>
    <definedName name="z_TEV_LTM_EBITDA_Name" localSheetId="10">#REF!</definedName>
    <definedName name="z_TEV_LTM_EBITDA_Name">#REF!</definedName>
    <definedName name="z_TEV_LTM_EBITDA2" localSheetId="9">#REF!</definedName>
    <definedName name="z_TEV_LTM_EBITDA2" localSheetId="10">#REF!</definedName>
    <definedName name="z_TEV_LTM_EBITDA2">#REF!</definedName>
    <definedName name="z_TEV_LTM_LTM_NI" localSheetId="9">#REF!</definedName>
    <definedName name="z_TEV_LTM_LTM_NI" localSheetId="10">#REF!</definedName>
    <definedName name="z_TEV_LTM_LTM_NI">#REF!</definedName>
    <definedName name="z_TEV_LTM_LTM_NI_Increm" localSheetId="9">#REF!</definedName>
    <definedName name="z_TEV_LTM_LTM_NI_Increm" localSheetId="10">#REF!</definedName>
    <definedName name="z_TEV_LTM_LTM_NI_Increm">#REF!</definedName>
    <definedName name="z_TEV_LTM_LTM_NI_Max" localSheetId="9">#REF!</definedName>
    <definedName name="z_TEV_LTM_LTM_NI_Max" localSheetId="10">#REF!</definedName>
    <definedName name="z_TEV_LTM_LTM_NI_Max">#REF!</definedName>
    <definedName name="z_TEV_LTM_LTM_NI_Mean" localSheetId="9">#REF!</definedName>
    <definedName name="z_TEV_LTM_LTM_NI_Mean" localSheetId="10">#REF!</definedName>
    <definedName name="z_TEV_LTM_LTM_NI_Mean">#REF!</definedName>
    <definedName name="z_TEV_LTM_LTM_NI_Mean_cal" localSheetId="9">#REF!</definedName>
    <definedName name="z_TEV_LTM_LTM_NI_Mean_cal" localSheetId="10">#REF!</definedName>
    <definedName name="z_TEV_LTM_LTM_NI_Mean_cal">#REF!</definedName>
    <definedName name="z_TEV_LTM_LTM_NI_Min" localSheetId="9">#REF!</definedName>
    <definedName name="z_TEV_LTM_LTM_NI_Min" localSheetId="10">#REF!</definedName>
    <definedName name="z_TEV_LTM_LTM_NI_Min">#REF!</definedName>
    <definedName name="z_TEV_LTM_LTM_NI_Name" localSheetId="9">#REF!</definedName>
    <definedName name="z_TEV_LTM_LTM_NI_Name" localSheetId="10">#REF!</definedName>
    <definedName name="z_TEV_LTM_LTM_NI_Name">#REF!</definedName>
    <definedName name="z_TEV_LTM_LTM_NI2" localSheetId="9">#REF!</definedName>
    <definedName name="z_TEV_LTM_LTM_NI2" localSheetId="10">#REF!</definedName>
    <definedName name="z_TEV_LTM_LTM_NI2">#REF!</definedName>
    <definedName name="z_TEV_LTM_Revenues" localSheetId="9">#REF!</definedName>
    <definedName name="z_TEV_LTM_Revenues" localSheetId="10">#REF!</definedName>
    <definedName name="z_TEV_LTM_Revenues">#REF!</definedName>
    <definedName name="z_TEV_LTM_Revenues_Increm" localSheetId="9">#REF!</definedName>
    <definedName name="z_TEV_LTM_Revenues_Increm" localSheetId="10">#REF!</definedName>
    <definedName name="z_TEV_LTM_Revenues_Increm">#REF!</definedName>
    <definedName name="z_TEV_LTM_Revenues_Max" localSheetId="9">#REF!</definedName>
    <definedName name="z_TEV_LTM_Revenues_Max" localSheetId="10">#REF!</definedName>
    <definedName name="z_TEV_LTM_Revenues_Max">#REF!</definedName>
    <definedName name="z_TEV_LTM_Revenues_Mean" localSheetId="9">#REF!</definedName>
    <definedName name="z_TEV_LTM_Revenues_Mean" localSheetId="10">#REF!</definedName>
    <definedName name="z_TEV_LTM_Revenues_Mean">#REF!</definedName>
    <definedName name="z_TEV_LTM_Revenues_Mean_cal" localSheetId="9">#REF!</definedName>
    <definedName name="z_TEV_LTM_Revenues_Mean_cal" localSheetId="10">#REF!</definedName>
    <definedName name="z_TEV_LTM_Revenues_Mean_cal">#REF!</definedName>
    <definedName name="z_TEV_LTM_Revenues_Min" localSheetId="9">#REF!</definedName>
    <definedName name="z_TEV_LTM_Revenues_Min" localSheetId="10">#REF!</definedName>
    <definedName name="z_TEV_LTM_Revenues_Min">#REF!</definedName>
    <definedName name="z_TEV_LTM_Revenues_Name" localSheetId="9">#REF!</definedName>
    <definedName name="z_TEV_LTM_Revenues_Name" localSheetId="10">#REF!</definedName>
    <definedName name="z_TEV_LTM_Revenues_Name">#REF!</definedName>
    <definedName name="z_TEV_LTM_Revenues2" localSheetId="9">#REF!</definedName>
    <definedName name="z_TEV_LTM_Revenues2" localSheetId="10">#REF!</definedName>
    <definedName name="z_TEV_LTM_Revenues2">#REF!</definedName>
    <definedName name="z_top" localSheetId="9">#REF!</definedName>
    <definedName name="z_top" localSheetId="10">#REF!</definedName>
    <definedName name="z_top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4" l="1"/>
</calcChain>
</file>

<file path=xl/sharedStrings.xml><?xml version="1.0" encoding="utf-8"?>
<sst xmlns="http://schemas.openxmlformats.org/spreadsheetml/2006/main" count="1091" uniqueCount="205">
  <si>
    <t>FPUC's 2022-2031 Storm Protection Plan Total Costs by Program (in Millions)</t>
  </si>
  <si>
    <t>Distribution - OH Feeder Hardening</t>
  </si>
  <si>
    <t>Capital</t>
  </si>
  <si>
    <t>O&amp;M</t>
  </si>
  <si>
    <t>Carry over jobs from the 2019-2021 plan</t>
  </si>
  <si>
    <t>Total</t>
  </si>
  <si>
    <t>New distribution SPP programs</t>
  </si>
  <si>
    <t>Distribution - OH Lateral Hardening</t>
  </si>
  <si>
    <t>Placeholders - one for transmission &amp; Substation.  One distribution automation</t>
  </si>
  <si>
    <t>Legacy programs from 10point plan &amp; dist pole inspections</t>
  </si>
  <si>
    <t>Distribution - OH Lateral Underground</t>
  </si>
  <si>
    <t>Distribution - Pole Insp. &amp; Replace</t>
  </si>
  <si>
    <t>T&amp;D - Vegetation Management</t>
  </si>
  <si>
    <t>Future T&amp;D Enhancements</t>
  </si>
  <si>
    <t>Transmission / Substation Resiliency</t>
  </si>
  <si>
    <t>Transmission - Inspection and Hardening</t>
  </si>
  <si>
    <t>SPP Program Management</t>
  </si>
  <si>
    <t>Totals</t>
  </si>
  <si>
    <t>Florida Public Utilities - Electric Division</t>
  </si>
  <si>
    <t>Storm Protection Plan Cost Recovery Clause</t>
  </si>
  <si>
    <t>Estimated Period: 2022 to 2031</t>
  </si>
  <si>
    <t>Return on Capital Investments, Depreciation and Taxes</t>
  </si>
  <si>
    <t>Year End</t>
  </si>
  <si>
    <t>Line</t>
  </si>
  <si>
    <t>Rates</t>
  </si>
  <si>
    <t>Total/Balance</t>
  </si>
  <si>
    <t>Capital Investments</t>
  </si>
  <si>
    <t>Estimated Beginning Net Qualified Investment</t>
  </si>
  <si>
    <t>Estimated Ending Net Qualified Investment</t>
  </si>
  <si>
    <t>Estimated Average Net Qualified Investment</t>
  </si>
  <si>
    <t>Return on Average Net Qualified Investment</t>
  </si>
  <si>
    <t>Equity Component - Grossed-Up for Taxes</t>
  </si>
  <si>
    <t>Debt Component</t>
  </si>
  <si>
    <t>Return Requirement</t>
  </si>
  <si>
    <t>Investment Expenses</t>
  </si>
  <si>
    <t>Depreciation Expense</t>
  </si>
  <si>
    <t>Amortization Expense</t>
  </si>
  <si>
    <t>Property Taxes</t>
  </si>
  <si>
    <t>Other</t>
  </si>
  <si>
    <t>Total Expense</t>
  </si>
  <si>
    <t>Total System Recoverable Expenses (Lines 3 + 4)</t>
  </si>
  <si>
    <t>Total O&amp;M Expenses</t>
  </si>
  <si>
    <t>Total Rev Req</t>
  </si>
  <si>
    <t>Accounts</t>
  </si>
  <si>
    <t>Rate</t>
  </si>
  <si>
    <t>Plant Bal 
@ 12/31/2021</t>
  </si>
  <si>
    <t>% of Total</t>
  </si>
  <si>
    <t>Weighted Consolidated 
Depr Rate</t>
  </si>
  <si>
    <t>FE-353E-Stat Eq</t>
  </si>
  <si>
    <t>FE-362E-Stat Eq</t>
  </si>
  <si>
    <t>FE-364E-Poles/Towers/Fixtures</t>
  </si>
  <si>
    <t>FE-365E-Conduct/Dvc OH</t>
  </si>
  <si>
    <t>FE-366E-UG Conduit</t>
  </si>
  <si>
    <t>FE-367E-Conduct/Dvc UG</t>
  </si>
  <si>
    <t>FE-368H-LnTrnfrm OH</t>
  </si>
  <si>
    <t xml:space="preserve">Earnings Surveillance Report </t>
  </si>
  <si>
    <t>Equity Cost Rate</t>
  </si>
  <si>
    <t>Weighted Equity Cost Rate</t>
  </si>
  <si>
    <t>Revenue Expansion Factor</t>
  </si>
  <si>
    <t>Weighted Equity Cost Rate , times Revenue Expansion Factor</t>
  </si>
  <si>
    <t>Long Term Debt-CU</t>
  </si>
  <si>
    <t>Short Term Debt</t>
  </si>
  <si>
    <t>Long Term Debt-FC</t>
  </si>
  <si>
    <t>Short Term Debt-Refinanced LTD</t>
  </si>
  <si>
    <t>Customer Deposits</t>
  </si>
  <si>
    <t>Weighted Debt Cost Rate</t>
  </si>
  <si>
    <t>Overall Weighted Cost Rate</t>
  </si>
  <si>
    <t>Florida Public Utilities Company</t>
  </si>
  <si>
    <t>Storm Protection Plan</t>
  </si>
  <si>
    <t>Distribution of Revenue Requirement</t>
  </si>
  <si>
    <t>(1)</t>
  </si>
  <si>
    <t>(2)</t>
  </si>
  <si>
    <t>(3)</t>
  </si>
  <si>
    <t>(4)</t>
  </si>
  <si>
    <t>(5)</t>
  </si>
  <si>
    <t>LINE NO.</t>
  </si>
  <si>
    <t>RATE SCHEDULE</t>
  </si>
  <si>
    <t>2022 BUDGET KWH SALES</t>
  </si>
  <si>
    <t>2022 BUDGET</t>
  </si>
  <si>
    <t>PERCENT OF TOTAL</t>
  </si>
  <si>
    <t>INCREASE AT UNIFORM PERCENT
2022</t>
  </si>
  <si>
    <t>2022 FACTOR PER KWH</t>
  </si>
  <si>
    <t>Annual Increase per KWH</t>
  </si>
  <si>
    <t>RESIDENTIAL</t>
  </si>
  <si>
    <t>COMMERCIAL SMALL</t>
  </si>
  <si>
    <t>COMMERCIAL</t>
  </si>
  <si>
    <t>COMMERCIAL LARGE</t>
  </si>
  <si>
    <t>INDUSTRIAL</t>
  </si>
  <si>
    <t>OUTDOOR LIGHTS</t>
  </si>
  <si>
    <t xml:space="preserve"> </t>
  </si>
  <si>
    <t>Percent Increase</t>
  </si>
  <si>
    <t>2023 BUDGET KWH SALES</t>
  </si>
  <si>
    <t>2023 BUDGET</t>
  </si>
  <si>
    <t>INCREASE AT UNIFORM PERCENT
2023</t>
  </si>
  <si>
    <t>2023 FACTOR PER KWH</t>
  </si>
  <si>
    <t>2024 BUDGET KWH SALES</t>
  </si>
  <si>
    <t>2024 BUDGET</t>
  </si>
  <si>
    <t>INCREASE AT UNIFORM PERCENT
2024</t>
  </si>
  <si>
    <t>2024 FACTOR PER KWH</t>
  </si>
  <si>
    <t>2025 BUDGET KWH SALES</t>
  </si>
  <si>
    <t>2025 BUDGET</t>
  </si>
  <si>
    <t>INCREASE AT UNIFORM PERCENT
2025</t>
  </si>
  <si>
    <t>2025 FACTOR PER KWH</t>
  </si>
  <si>
    <t>2026 BUDGET KWH SALES</t>
  </si>
  <si>
    <t>2026 BUDGET</t>
  </si>
  <si>
    <t>INCREASE AT UNIFORM PERCENT
2026</t>
  </si>
  <si>
    <t>2026 FACTOR PER KWH</t>
  </si>
  <si>
    <t>% OF TOTAL</t>
  </si>
  <si>
    <t>Florida Public Utilities</t>
  </si>
  <si>
    <t>Electric Division</t>
  </si>
  <si>
    <t>Annual Per Customer Usage</t>
  </si>
  <si>
    <t>Annual Volume Consolidated</t>
  </si>
  <si>
    <t>Residential</t>
  </si>
  <si>
    <t>KWH</t>
  </si>
  <si>
    <t>Commercial Small</t>
  </si>
  <si>
    <t>Commercial</t>
  </si>
  <si>
    <t>Commercial Large</t>
  </si>
  <si>
    <t>Industrial</t>
  </si>
  <si>
    <t>Outdoor Lights</t>
  </si>
  <si>
    <t>Customers Total Combined:</t>
  </si>
  <si>
    <t>Monthly</t>
  </si>
  <si>
    <t>Annual Usage Per Customer</t>
  </si>
  <si>
    <t>Average Usage.</t>
  </si>
  <si>
    <t>Florida Public Utilities - 2022</t>
  </si>
  <si>
    <t>Florida Public Utilities - 2023</t>
  </si>
  <si>
    <t>Florida Public Utilities - 2024</t>
  </si>
  <si>
    <t>Florida Public Utilities - 2025</t>
  </si>
  <si>
    <t>Florida Public Utilities - 2026</t>
  </si>
  <si>
    <t>Schedule "RS"</t>
  </si>
  <si>
    <t> </t>
  </si>
  <si>
    <t>Total Volumes</t>
  </si>
  <si>
    <t>Charge</t>
  </si>
  <si>
    <t>Customer Charge</t>
  </si>
  <si>
    <t>Base Energy Charge</t>
  </si>
  <si>
    <t>Fuel</t>
  </si>
  <si>
    <t>Conservation</t>
  </si>
  <si>
    <t>Storm Surcharge</t>
  </si>
  <si>
    <t xml:space="preserve"> Monthly </t>
  </si>
  <si>
    <t xml:space="preserve"> Annual </t>
  </si>
  <si>
    <t>% Increase</t>
  </si>
  <si>
    <t>Schedule "GS"</t>
  </si>
  <si>
    <t xml:space="preserve">Storm Protection Plan Cost Recovery Clause (SPPCRC) </t>
  </si>
  <si>
    <t xml:space="preserve">Exhibit_______ </t>
  </si>
  <si>
    <t>Projection of Revenue Requirements</t>
  </si>
  <si>
    <t>Surcharge Calculation - January 1, 2022 through December 31, 2023</t>
  </si>
  <si>
    <t>Per KWH Rate</t>
  </si>
  <si>
    <t>1.</t>
  </si>
  <si>
    <t>1/1/23-12/31/23 Total  Revenue Requirements</t>
  </si>
  <si>
    <t>Net</t>
  </si>
  <si>
    <t>2.</t>
  </si>
  <si>
    <t>2018 Tax Savings Refund</t>
  </si>
  <si>
    <t>TRUE-UP from Prior Period  (Over)/Under Recovery Estimated thru 12/2022</t>
  </si>
  <si>
    <t>3.</t>
  </si>
  <si>
    <t>2023 Total Revenue Requirements</t>
  </si>
  <si>
    <t>DOLLARS</t>
  </si>
  <si>
    <t>SPP</t>
  </si>
  <si>
    <t>TYPICAL</t>
  </si>
  <si>
    <t>AVERAGE</t>
  </si>
  <si>
    <t>RATE</t>
  </si>
  <si>
    <t>2023</t>
  </si>
  <si>
    <t>BUDGETED</t>
  </si>
  <si>
    <t>MAINS</t>
  </si>
  <si>
    <t>PER</t>
  </si>
  <si>
    <t>TAX</t>
  </si>
  <si>
    <t>FACTORS</t>
  </si>
  <si>
    <t>ANNUAL</t>
  </si>
  <si>
    <t>BILL</t>
  </si>
  <si>
    <t>INCREASE</t>
  </si>
  <si>
    <t>SCHEDULE</t>
  </si>
  <si>
    <t>COS %</t>
  </si>
  <si>
    <t>REV REQ</t>
  </si>
  <si>
    <t>FACTOR</t>
  </si>
  <si>
    <t>PER KWH</t>
  </si>
  <si>
    <t>COST</t>
  </si>
  <si>
    <t>IMPACTS</t>
  </si>
  <si>
    <t>%</t>
  </si>
  <si>
    <t>GENERAL SERVICE</t>
  </si>
  <si>
    <t>GENERAL SERVICE DEMAND</t>
  </si>
  <si>
    <t>GENERAL SERVICE LARGE DEMAND</t>
  </si>
  <si>
    <t>INDUSTRIAL / STANDBY</t>
  </si>
  <si>
    <t>LIGHTING SERVICE</t>
  </si>
  <si>
    <t>TOTAL</t>
  </si>
  <si>
    <t/>
  </si>
  <si>
    <t>Schedule D-1</t>
  </si>
  <si>
    <t>Surcharge Calculation - January 1, 2024 through December 31, 2024</t>
  </si>
  <si>
    <t>1/1/24-12/31/24 Total  Revenue Requirements</t>
  </si>
  <si>
    <t>TRUE-UP from Prior Period  (Over)/Under Recovery Estimated thru 12/2023</t>
  </si>
  <si>
    <t>2024   Total  Revenue Requirements</t>
  </si>
  <si>
    <t>2024</t>
  </si>
  <si>
    <t>Surcharge Calculation - January 1, 2025 through December 31, 2025</t>
  </si>
  <si>
    <t>1/1/25-12/31/25 Total  Revenue Requirements</t>
  </si>
  <si>
    <t>TRUE-UP from Prior Period  (Over)/Under Recovery Estimated thru 12/2024</t>
  </si>
  <si>
    <t>2025   Total  Revenue Requirements</t>
  </si>
  <si>
    <t>2025</t>
  </si>
  <si>
    <t>Surcharge Calculation - January 1, 2026 through December 31, 2026</t>
  </si>
  <si>
    <t>1/1/26-12/31/26 Total  Revenue Requirements</t>
  </si>
  <si>
    <t>1a</t>
  </si>
  <si>
    <t>AIE</t>
  </si>
  <si>
    <t>TRUE-UP from Prior Period  (Over)/Under Recovery Estimated thru 12/2025</t>
  </si>
  <si>
    <t>2026   Total  Revenue Requirements</t>
  </si>
  <si>
    <t>LESS</t>
  </si>
  <si>
    <t>NET</t>
  </si>
  <si>
    <t>2026</t>
  </si>
  <si>
    <t>STORM</t>
  </si>
  <si>
    <t>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</si>
</sst>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"/>
    <numFmt numFmtId="166" formatCode="_(* #,##0.0000_);_(* \(#,##0.0000\);_(* &quot;-&quot;????_);_(@_)"/>
    <numFmt numFmtId="167" formatCode="0.000%"/>
    <numFmt numFmtId="168" formatCode="_(* #,##0_);_(* \(#,##0\);_(* &quot;-&quot;??_);_(@_)"/>
    <numFmt numFmtId="169" formatCode="_(&quot;$&quot;* #,##0_);_(&quot;$&quot;* \(#,##0\);_(&quot;$&quot;* &quot;-&quot;??_);_(@_)"/>
    <numFmt numFmtId="170" formatCode="&quot;$&quot;#,##0.00000_);[Red]\(&quot;$&quot;#,##0.00000\)"/>
    <numFmt numFmtId="171" formatCode="_(&quot;$&quot;* #,##0.00000_);_(&quot;$&quot;* \(#,##0.00000\);_(&quot;$&quot;* &quot;-&quot;??_);_(@_)"/>
    <numFmt numFmtId="172" formatCode="_([$$-409]* #,##0.000000_);_([$$-409]* \(#,##0.000000\);_([$$-409]* &quot;-&quot;??_);_(@_)"/>
    <numFmt numFmtId="173" formatCode="&quot;$&quot;#,##0"/>
    <numFmt numFmtId="174" formatCode="&quot;$&quot;#,##0.00000"/>
    <numFmt numFmtId="175" formatCode="#,##0.00000_);\(#,##0.00000\)"/>
    <numFmt numFmtId="176" formatCode="&quot;$&quot;#,##0.00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u val="single"/>
      <sz val="11"/>
      <color theme="1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"/>
      <sz val="10"/>
      <color theme="1"/>
      <name val="Times New Roman"/>
      <family val="1"/>
    </font>
    <font>
      <b/>
      <sz val="14"/>
      <color rgb="FF000000"/>
      <name val="Calibri"/>
      <family val="2"/>
    </font>
    <font>
      <sz val="12"/>
      <name val="Arial"/>
      <family val="2"/>
    </font>
    <font>
      <sz val="12"/>
      <color rgb="FF0000FF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B0F0"/>
      <name val="Times New Roman"/>
      <family val="1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A9D08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000000"/>
      </left>
      <right/>
      <top/>
      <bottom style="thin">
        <color auto="1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thin">
        <color indexed="8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ouble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double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double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double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rgb="FF000000"/>
      </right>
      <top style="medium">
        <color auto="1"/>
      </top>
      <bottom style="medium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5" fontId="2" fillId="0" borderId="0" xfId="0" applyNumberFormat="1" applyFont="1"/>
    <xf numFmtId="0" fontId="2" fillId="0" borderId="0" xfId="0" applyFont="1" applyAlignment="1" quotePrefix="1">
      <alignment horizontal="right"/>
    </xf>
    <xf numFmtId="42" fontId="2" fillId="0" borderId="0" xfId="0" applyNumberFormat="1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5" fontId="2" fillId="0" borderId="0" xfId="15" applyNumberFormat="1" applyFont="1" applyFill="1" applyBorder="1"/>
    <xf numFmtId="41" fontId="2" fillId="0" borderId="0" xfId="0" applyNumberFormat="1" applyFont="1"/>
    <xf numFmtId="0" fontId="2" fillId="0" borderId="0" xfId="0" applyFont="1" applyAlignment="1">
      <alignment horizontal="right"/>
    </xf>
    <xf numFmtId="5" fontId="2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10" fontId="0" fillId="0" borderId="0" xfId="15" applyNumberFormat="1" applyFont="1"/>
    <xf numFmtId="10" fontId="4" fillId="0" borderId="0" xfId="15" applyNumberFormat="1" applyFont="1"/>
    <xf numFmtId="43" fontId="0" fillId="0" borderId="0" xfId="18" applyFont="1"/>
    <xf numFmtId="43" fontId="0" fillId="0" borderId="2" xfId="18" applyFont="1" applyBorder="1"/>
    <xf numFmtId="43" fontId="4" fillId="0" borderId="0" xfId="18" applyFont="1" applyFill="1" applyBorder="1"/>
    <xf numFmtId="10" fontId="0" fillId="0" borderId="2" xfId="15" applyNumberFormat="1" applyFont="1" applyBorder="1"/>
    <xf numFmtId="10" fontId="4" fillId="0" borderId="0" xfId="15" applyNumberFormat="1" applyFont="1" applyFill="1" applyBorder="1"/>
    <xf numFmtId="0" fontId="5" fillId="0" borderId="0" xfId="0" applyFont="1"/>
    <xf numFmtId="42" fontId="5" fillId="0" borderId="0" xfId="0" applyNumberFormat="1" applyFont="1"/>
    <xf numFmtId="17" fontId="5" fillId="0" borderId="0" xfId="0" applyNumberFormat="1" applyFont="1"/>
    <xf numFmtId="10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7" fontId="5" fillId="0" borderId="3" xfId="0" applyNumberFormat="1" applyFont="1" applyBorder="1"/>
    <xf numFmtId="167" fontId="5" fillId="0" borderId="0" xfId="0" applyNumberFormat="1" applyFont="1"/>
    <xf numFmtId="10" fontId="5" fillId="0" borderId="4" xfId="0" applyNumberFormat="1" applyFont="1" applyBorder="1"/>
    <xf numFmtId="41" fontId="0" fillId="0" borderId="0" xfId="0" applyNumberFormat="1"/>
    <xf numFmtId="5" fontId="2" fillId="0" borderId="2" xfId="0" applyNumberFormat="1" applyFont="1" applyBorder="1"/>
    <xf numFmtId="5" fontId="3" fillId="0" borderId="0" xfId="0" applyNumberFormat="1" applyFont="1"/>
    <xf numFmtId="5" fontId="6" fillId="2" borderId="0" xfId="0" applyNumberFormat="1" applyFont="1" applyFill="1"/>
    <xf numFmtId="164" fontId="6" fillId="2" borderId="0" xfId="15" applyNumberFormat="1" applyFont="1" applyFill="1" applyAlignment="1">
      <alignment horizontal="right"/>
    </xf>
    <xf numFmtId="10" fontId="6" fillId="2" borderId="0" xfId="0" applyNumberFormat="1" applyFont="1" applyFill="1"/>
    <xf numFmtId="0" fontId="3" fillId="0" borderId="0" xfId="0" applyFont="1" applyAlignment="1" quotePrefix="1">
      <alignment horizontal="right"/>
    </xf>
    <xf numFmtId="5" fontId="3" fillId="0" borderId="1" xfId="0" applyNumberFormat="1" applyFont="1" applyBorder="1"/>
    <xf numFmtId="0" fontId="2" fillId="0" borderId="0" xfId="20" applyFont="1">
      <alignment/>
      <protection/>
    </xf>
    <xf numFmtId="0" fontId="8" fillId="0" borderId="0" xfId="20" applyFont="1">
      <alignment/>
      <protection/>
    </xf>
    <xf numFmtId="0" fontId="10" fillId="0" borderId="0" xfId="20" applyFont="1" applyAlignment="1">
      <alignment horizontal="center" wrapText="1"/>
      <protection/>
    </xf>
    <xf numFmtId="0" fontId="2" fillId="0" borderId="0" xfId="20" applyFont="1" applyAlignment="1">
      <alignment wrapText="1"/>
      <protection/>
    </xf>
    <xf numFmtId="10" fontId="9" fillId="0" borderId="0" xfId="23" applyNumberFormat="1" applyFont="1"/>
    <xf numFmtId="0" fontId="3" fillId="0" borderId="2" xfId="20" applyFont="1" applyBorder="1" applyAlignment="1">
      <alignment horizontal="center" wrapText="1"/>
      <protection/>
    </xf>
    <xf numFmtId="49" fontId="3" fillId="0" borderId="0" xfId="20" applyNumberFormat="1" applyFont="1" applyAlignment="1">
      <alignment horizontal="center"/>
      <protection/>
    </xf>
    <xf numFmtId="169" fontId="2" fillId="0" borderId="4" xfId="22" applyNumberFormat="1" applyFont="1" applyBorder="1"/>
    <xf numFmtId="0" fontId="12" fillId="0" borderId="5" xfId="0" applyFont="1" applyBorder="1"/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/>
    <xf numFmtId="8" fontId="12" fillId="0" borderId="0" xfId="0" applyNumberFormat="1" applyFont="1"/>
    <xf numFmtId="8" fontId="12" fillId="0" borderId="10" xfId="0" applyNumberFormat="1" applyFont="1" applyBorder="1"/>
    <xf numFmtId="170" fontId="12" fillId="0" borderId="0" xfId="0" applyNumberFormat="1" applyFont="1"/>
    <xf numFmtId="8" fontId="12" fillId="0" borderId="6" xfId="0" applyNumberFormat="1" applyFont="1" applyBorder="1"/>
    <xf numFmtId="0" fontId="13" fillId="0" borderId="0" xfId="0" applyFont="1"/>
    <xf numFmtId="0" fontId="13" fillId="0" borderId="2" xfId="0" applyFont="1" applyBorder="1"/>
    <xf numFmtId="0" fontId="12" fillId="0" borderId="11" xfId="0" applyFont="1" applyBorder="1"/>
    <xf numFmtId="8" fontId="12" fillId="3" borderId="10" xfId="0" applyNumberFormat="1" applyFont="1" applyFill="1" applyBorder="1"/>
    <xf numFmtId="0" fontId="14" fillId="0" borderId="0" xfId="0" applyFont="1"/>
    <xf numFmtId="0" fontId="15" fillId="0" borderId="0" xfId="0" applyFont="1"/>
    <xf numFmtId="10" fontId="15" fillId="3" borderId="11" xfId="0" applyNumberFormat="1" applyFont="1" applyFill="1" applyBorder="1"/>
    <xf numFmtId="0" fontId="14" fillId="0" borderId="0" xfId="0" applyFont="1" applyAlignment="1">
      <alignment wrapText="1"/>
    </xf>
    <xf numFmtId="0" fontId="3" fillId="0" borderId="0" xfId="20" applyFont="1">
      <alignment/>
      <protection/>
    </xf>
    <xf numFmtId="0" fontId="2" fillId="0" borderId="0" xfId="20" applyFont="1">
      <alignment/>
      <protection/>
    </xf>
    <xf numFmtId="49" fontId="2" fillId="0" borderId="0" xfId="20" applyNumberFormat="1" applyFont="1">
      <alignment/>
      <protection/>
    </xf>
    <xf numFmtId="0" fontId="2" fillId="0" borderId="0" xfId="20" applyFont="1" applyAlignment="1">
      <alignment wrapText="1"/>
      <protection/>
    </xf>
    <xf numFmtId="168" fontId="2" fillId="0" borderId="0" xfId="21" applyNumberFormat="1" applyFont="1"/>
    <xf numFmtId="169" fontId="2" fillId="0" borderId="0" xfId="22" applyNumberFormat="1" applyFont="1"/>
    <xf numFmtId="171" fontId="2" fillId="0" borderId="0" xfId="16" applyNumberFormat="1" applyFont="1"/>
    <xf numFmtId="44" fontId="2" fillId="0" borderId="0" xfId="20" applyNumberFormat="1" applyFont="1">
      <alignment/>
      <protection/>
    </xf>
    <xf numFmtId="168" fontId="2" fillId="0" borderId="4" xfId="21" applyNumberFormat="1" applyFont="1" applyBorder="1"/>
    <xf numFmtId="10" fontId="2" fillId="0" borderId="4" xfId="20" applyNumberFormat="1" applyFont="1" applyBorder="1">
      <alignment/>
      <protection/>
    </xf>
    <xf numFmtId="10" fontId="2" fillId="0" borderId="0" xfId="24" applyNumberFormat="1" applyFont="1"/>
    <xf numFmtId="172" fontId="16" fillId="0" borderId="12" xfId="20" applyNumberFormat="1" applyFont="1" applyBorder="1">
      <alignment/>
      <protection/>
    </xf>
    <xf numFmtId="0" fontId="16" fillId="0" borderId="0" xfId="20" applyFont="1" applyAlignment="1">
      <alignment horizontal="center" wrapText="1"/>
      <protection/>
    </xf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center"/>
    </xf>
    <xf numFmtId="39" fontId="19" fillId="0" borderId="0" xfId="0" applyNumberFormat="1" applyFont="1"/>
    <xf numFmtId="169" fontId="19" fillId="0" borderId="0" xfId="16" applyNumberFormat="1" applyFont="1" applyBorder="1" applyProtection="1">
      <protection/>
    </xf>
    <xf numFmtId="39" fontId="19" fillId="0" borderId="0" xfId="0" applyNumberFormat="1" applyFont="1" applyAlignment="1" quotePrefix="1">
      <alignment horizontal="left"/>
    </xf>
    <xf numFmtId="9" fontId="19" fillId="0" borderId="0" xfId="0" applyNumberFormat="1" applyFont="1"/>
    <xf numFmtId="5" fontId="19" fillId="0" borderId="0" xfId="0" applyNumberFormat="1" applyFont="1"/>
    <xf numFmtId="173" fontId="19" fillId="0" borderId="0" xfId="0" applyNumberFormat="1" applyFont="1"/>
    <xf numFmtId="5" fontId="19" fillId="0" borderId="4" xfId="0" applyNumberFormat="1" applyFont="1" applyBorder="1"/>
    <xf numFmtId="39" fontId="19" fillId="0" borderId="0" xfId="0" applyNumberFormat="1" applyFont="1" applyAlignment="1">
      <alignment horizontal="center"/>
    </xf>
    <xf numFmtId="37" fontId="19" fillId="0" borderId="0" xfId="0" applyNumberFormat="1" applyFont="1"/>
    <xf numFmtId="0" fontId="19" fillId="0" borderId="0" xfId="0" applyFont="1" applyAlignment="1">
      <alignment horizontal="center"/>
    </xf>
    <xf numFmtId="39" fontId="19" fillId="0" borderId="13" xfId="0" applyNumberFormat="1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0" fontId="19" fillId="0" borderId="0" xfId="0" applyNumberFormat="1" applyFont="1"/>
    <xf numFmtId="174" fontId="19" fillId="0" borderId="0" xfId="0" applyNumberFormat="1" applyFont="1"/>
    <xf numFmtId="175" fontId="19" fillId="0" borderId="0" xfId="0" applyNumberFormat="1" applyFont="1"/>
    <xf numFmtId="7" fontId="19" fillId="0" borderId="0" xfId="0" applyNumberFormat="1" applyFont="1"/>
    <xf numFmtId="39" fontId="19" fillId="0" borderId="0" xfId="0" applyNumberFormat="1" applyFont="1" applyAlignment="1">
      <alignment horizontal="left"/>
    </xf>
    <xf numFmtId="37" fontId="19" fillId="0" borderId="4" xfId="0" applyNumberFormat="1" applyFont="1" applyBorder="1"/>
    <xf numFmtId="9" fontId="19" fillId="0" borderId="4" xfId="15" applyFont="1" applyFill="1" applyBorder="1" applyProtection="1">
      <protection/>
    </xf>
    <xf numFmtId="39" fontId="19" fillId="0" borderId="0" xfId="0" applyNumberFormat="1" applyFont="1" applyAlignment="1">
      <alignment horizontal="fill"/>
    </xf>
    <xf numFmtId="169" fontId="19" fillId="0" borderId="14" xfId="16" applyNumberFormat="1" applyFont="1" applyBorder="1" applyProtection="1">
      <protection/>
    </xf>
    <xf numFmtId="0" fontId="3" fillId="0" borderId="0" xfId="20" applyFont="1" applyAlignment="1">
      <alignment horizontal="center" wrapText="1"/>
      <protection/>
    </xf>
    <xf numFmtId="10" fontId="2" fillId="0" borderId="0" xfId="15" applyNumberFormat="1" applyFont="1"/>
    <xf numFmtId="10" fontId="2" fillId="0" borderId="4" xfId="15" applyNumberFormat="1" applyFont="1" applyBorder="1"/>
    <xf numFmtId="0" fontId="20" fillId="4" borderId="15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20" fillId="4" borderId="17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0" fillId="9" borderId="0" xfId="0" applyFont="1" applyFill="1" applyAlignment="1">
      <alignment horizontal="center" vertical="center"/>
    </xf>
    <xf numFmtId="44" fontId="21" fillId="9" borderId="0" xfId="16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44" fontId="21" fillId="9" borderId="18" xfId="16" applyFont="1" applyFill="1" applyBorder="1" applyAlignment="1">
      <alignment horizontal="center" vertical="center"/>
    </xf>
    <xf numFmtId="44" fontId="21" fillId="9" borderId="19" xfId="16" applyFont="1" applyFill="1" applyBorder="1" applyAlignment="1">
      <alignment horizontal="center" vertical="center"/>
    </xf>
    <xf numFmtId="5" fontId="22" fillId="2" borderId="0" xfId="0" applyNumberFormat="1" applyFont="1" applyFill="1"/>
    <xf numFmtId="0" fontId="2" fillId="2" borderId="0" xfId="0" applyFont="1" applyFill="1"/>
    <xf numFmtId="0" fontId="23" fillId="0" borderId="0" xfId="0" applyFont="1"/>
    <xf numFmtId="169" fontId="23" fillId="0" borderId="0" xfId="0" applyNumberFormat="1" applyFont="1"/>
    <xf numFmtId="176" fontId="18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0" xfId="16" applyFont="1" applyBorder="1" applyAlignment="1">
      <alignment horizontal="center" vertical="center"/>
    </xf>
    <xf numFmtId="44" fontId="0" fillId="0" borderId="20" xfId="16" applyFont="1" applyBorder="1" applyAlignment="1">
      <alignment horizontal="center" vertical="center"/>
    </xf>
    <xf numFmtId="44" fontId="0" fillId="0" borderId="1" xfId="16" applyFont="1" applyBorder="1" applyAlignment="1">
      <alignment horizontal="center" vertical="center"/>
    </xf>
    <xf numFmtId="44" fontId="0" fillId="0" borderId="21" xfId="16" applyFont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44" fontId="0" fillId="10" borderId="2" xfId="16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44" fontId="0" fillId="10" borderId="22" xfId="16" applyFont="1" applyFill="1" applyBorder="1" applyAlignment="1">
      <alignment horizontal="center" vertical="center"/>
    </xf>
    <xf numFmtId="44" fontId="0" fillId="0" borderId="1" xfId="16" applyFont="1" applyFill="1" applyBorder="1" applyAlignment="1">
      <alignment horizontal="center" vertical="center"/>
    </xf>
    <xf numFmtId="44" fontId="0" fillId="0" borderId="21" xfId="16" applyFont="1" applyFill="1" applyBorder="1" applyAlignment="1">
      <alignment horizontal="center" vertical="center"/>
    </xf>
    <xf numFmtId="44" fontId="0" fillId="0" borderId="0" xfId="16" applyFont="1" applyFill="1" applyBorder="1" applyAlignment="1">
      <alignment horizontal="center" vertical="center"/>
    </xf>
    <xf numFmtId="44" fontId="0" fillId="0" borderId="20" xfId="16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10" fontId="18" fillId="0" borderId="0" xfId="15" applyNumberFormat="1" applyFont="1" applyBorder="1"/>
    <xf numFmtId="43" fontId="24" fillId="0" borderId="0" xfId="18" applyFont="1" applyFill="1" applyBorder="1" applyAlignment="1">
      <alignment horizontal="left" indent="1"/>
    </xf>
    <xf numFmtId="43" fontId="18" fillId="0" borderId="0" xfId="18" applyFont="1" applyFill="1" applyBorder="1" applyAlignment="1">
      <alignment horizontal="left" indent="2"/>
    </xf>
    <xf numFmtId="43" fontId="24" fillId="0" borderId="0" xfId="18" applyFont="1" applyFill="1" applyBorder="1" applyAlignment="1">
      <alignment horizontal="left"/>
    </xf>
    <xf numFmtId="168" fontId="0" fillId="0" borderId="0" xfId="18" applyNumberFormat="1" applyFont="1"/>
    <xf numFmtId="168" fontId="4" fillId="0" borderId="0" xfId="18" applyNumberFormat="1" applyFont="1"/>
    <xf numFmtId="168" fontId="0" fillId="0" borderId="2" xfId="18" applyNumberFormat="1" applyFont="1" applyBorder="1"/>
    <xf numFmtId="43" fontId="24" fillId="0" borderId="23" xfId="18" applyFont="1" applyFill="1" applyBorder="1" applyAlignment="1">
      <alignment horizontal="left"/>
    </xf>
    <xf numFmtId="0" fontId="0" fillId="0" borderId="24" xfId="0" applyBorder="1"/>
    <xf numFmtId="168" fontId="0" fillId="0" borderId="24" xfId="18" applyNumberFormat="1" applyFont="1" applyBorder="1"/>
    <xf numFmtId="168" fontId="0" fillId="0" borderId="25" xfId="18" applyNumberFormat="1" applyFont="1" applyBorder="1"/>
    <xf numFmtId="0" fontId="0" fillId="0" borderId="26" xfId="0" applyBorder="1"/>
    <xf numFmtId="168" fontId="0" fillId="0" borderId="0" xfId="18" applyNumberFormat="1" applyFont="1" applyBorder="1"/>
    <xf numFmtId="168" fontId="0" fillId="0" borderId="20" xfId="18" applyNumberFormat="1" applyFont="1" applyBorder="1"/>
    <xf numFmtId="0" fontId="0" fillId="0" borderId="27" xfId="0" applyBorder="1"/>
    <xf numFmtId="43" fontId="18" fillId="0" borderId="18" xfId="18" applyFont="1" applyFill="1" applyBorder="1" applyAlignment="1">
      <alignment horizontal="left" indent="2"/>
    </xf>
    <xf numFmtId="0" fontId="0" fillId="0" borderId="18" xfId="0" applyBorder="1"/>
    <xf numFmtId="168" fontId="0" fillId="0" borderId="18" xfId="18" applyNumberFormat="1" applyFont="1" applyBorder="1"/>
    <xf numFmtId="168" fontId="0" fillId="0" borderId="19" xfId="18" applyNumberFormat="1" applyFont="1" applyBorder="1"/>
    <xf numFmtId="168" fontId="0" fillId="0" borderId="0" xfId="0" applyNumberFormat="1"/>
    <xf numFmtId="7" fontId="19" fillId="11" borderId="0" xfId="0" applyNumberFormat="1" applyFont="1" applyFill="1"/>
    <xf numFmtId="10" fontId="18" fillId="11" borderId="0" xfId="15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0" fillId="9" borderId="28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wrapText="1"/>
    </xf>
    <xf numFmtId="0" fontId="20" fillId="9" borderId="33" xfId="0" applyFont="1" applyFill="1" applyBorder="1" applyAlignment="1">
      <alignment horizontal="center" wrapText="1"/>
    </xf>
    <xf numFmtId="0" fontId="20" fillId="9" borderId="34" xfId="0" applyFont="1" applyFill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33" xfId="0" applyFont="1" applyFill="1" applyBorder="1" applyAlignment="1">
      <alignment horizontal="center"/>
    </xf>
    <xf numFmtId="0" fontId="11" fillId="13" borderId="3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Comma 2" xfId="21"/>
    <cellStyle name="Currency 2" xfId="22"/>
    <cellStyle name="Hyperlink" xfId="23" builtinId="8"/>
    <cellStyle name="Percent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9" Type="http://schemas.openxmlformats.org/officeDocument/2006/relationships/externalLink" Target="externalLinks/externalLink59.xml" /><Relationship Id="rId3" Type="http://schemas.openxmlformats.org/officeDocument/2006/relationships/worksheet" Target="worksheets/sheet2.xml" /><Relationship Id="rId64" Type="http://schemas.openxmlformats.org/officeDocument/2006/relationships/externalLink" Target="externalLinks/externalLink44.xml" /><Relationship Id="rId68" Type="http://schemas.openxmlformats.org/officeDocument/2006/relationships/externalLink" Target="externalLinks/externalLink48.xml" /><Relationship Id="rId75" Type="http://schemas.openxmlformats.org/officeDocument/2006/relationships/externalLink" Target="externalLinks/externalLink55.xml" /><Relationship Id="rId65" Type="http://schemas.openxmlformats.org/officeDocument/2006/relationships/externalLink" Target="externalLinks/externalLink45.xml" /><Relationship Id="rId80" Type="http://schemas.openxmlformats.org/officeDocument/2006/relationships/externalLink" Target="externalLinks/externalLink60.xml" /><Relationship Id="rId48" Type="http://schemas.openxmlformats.org/officeDocument/2006/relationships/externalLink" Target="externalLinks/externalLink28.xml" /><Relationship Id="rId49" Type="http://schemas.openxmlformats.org/officeDocument/2006/relationships/externalLink" Target="externalLinks/externalLink29.xml" /><Relationship Id="rId44" Type="http://schemas.openxmlformats.org/officeDocument/2006/relationships/externalLink" Target="externalLinks/externalLink24.xml" /><Relationship Id="rId45" Type="http://schemas.openxmlformats.org/officeDocument/2006/relationships/externalLink" Target="externalLinks/externalLink25.xml" /><Relationship Id="rId46" Type="http://schemas.openxmlformats.org/officeDocument/2006/relationships/externalLink" Target="externalLinks/externalLink26.xml" /><Relationship Id="rId47" Type="http://schemas.openxmlformats.org/officeDocument/2006/relationships/externalLink" Target="externalLinks/externalLink27.xml" /><Relationship Id="rId40" Type="http://schemas.openxmlformats.org/officeDocument/2006/relationships/externalLink" Target="externalLinks/externalLink20.xml" /><Relationship Id="rId41" Type="http://schemas.openxmlformats.org/officeDocument/2006/relationships/externalLink" Target="externalLinks/externalLink21.xml" /><Relationship Id="rId42" Type="http://schemas.openxmlformats.org/officeDocument/2006/relationships/externalLink" Target="externalLinks/externalLink22.xml" /><Relationship Id="rId43" Type="http://schemas.openxmlformats.org/officeDocument/2006/relationships/externalLink" Target="externalLinks/externalLink23.xml" /><Relationship Id="rId28" Type="http://schemas.openxmlformats.org/officeDocument/2006/relationships/externalLink" Target="externalLinks/externalLink8.xml" /><Relationship Id="rId29" Type="http://schemas.openxmlformats.org/officeDocument/2006/relationships/externalLink" Target="externalLinks/externalLink9.xml" /><Relationship Id="rId81" Type="http://schemas.openxmlformats.org/officeDocument/2006/relationships/externalLink" Target="externalLinks/externalLink61.xml" /><Relationship Id="rId82" Type="http://schemas.openxmlformats.org/officeDocument/2006/relationships/externalLink" Target="externalLinks/externalLink62.xml" /><Relationship Id="rId24" Type="http://schemas.openxmlformats.org/officeDocument/2006/relationships/externalLink" Target="externalLinks/externalLink4.xml" /><Relationship Id="rId25" Type="http://schemas.openxmlformats.org/officeDocument/2006/relationships/externalLink" Target="externalLinks/externalLink5.xml" /><Relationship Id="rId26" Type="http://schemas.openxmlformats.org/officeDocument/2006/relationships/externalLink" Target="externalLinks/externalLink6.xml" /><Relationship Id="rId27" Type="http://schemas.openxmlformats.org/officeDocument/2006/relationships/externalLink" Target="externalLinks/externalLink7.xml" /><Relationship Id="rId20" Type="http://schemas.openxmlformats.org/officeDocument/2006/relationships/customXml" Target="../customXml/item4.xml" /><Relationship Id="rId21" Type="http://schemas.openxmlformats.org/officeDocument/2006/relationships/externalLink" Target="externalLinks/externalLink1.xml" /><Relationship Id="rId22" Type="http://schemas.openxmlformats.org/officeDocument/2006/relationships/externalLink" Target="externalLinks/externalLink2.xml" /><Relationship Id="rId23" Type="http://schemas.openxmlformats.org/officeDocument/2006/relationships/externalLink" Target="externalLinks/externalLink3.xml" /><Relationship Id="rId66" Type="http://schemas.openxmlformats.org/officeDocument/2006/relationships/externalLink" Target="externalLinks/externalLink46.xml" /><Relationship Id="rId67" Type="http://schemas.openxmlformats.org/officeDocument/2006/relationships/externalLink" Target="externalLinks/externalLink47.xml" /><Relationship Id="rId60" Type="http://schemas.openxmlformats.org/officeDocument/2006/relationships/externalLink" Target="externalLinks/externalLink40.xml" /><Relationship Id="rId61" Type="http://schemas.openxmlformats.org/officeDocument/2006/relationships/externalLink" Target="externalLinks/externalLink41.xml" /><Relationship Id="rId62" Type="http://schemas.openxmlformats.org/officeDocument/2006/relationships/externalLink" Target="externalLinks/externalLink42.xml" /><Relationship Id="rId63" Type="http://schemas.openxmlformats.org/officeDocument/2006/relationships/externalLink" Target="externalLinks/externalLink43.xml" /><Relationship Id="rId7" Type="http://schemas.openxmlformats.org/officeDocument/2006/relationships/worksheet" Target="worksheets/sheet6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78" Type="http://schemas.openxmlformats.org/officeDocument/2006/relationships/externalLink" Target="externalLinks/externalLink58.xml" /><Relationship Id="rId38" Type="http://schemas.openxmlformats.org/officeDocument/2006/relationships/externalLink" Target="externalLinks/externalLink18.xml" /><Relationship Id="rId39" Type="http://schemas.openxmlformats.org/officeDocument/2006/relationships/externalLink" Target="externalLinks/externalLink19.xml" /><Relationship Id="rId34" Type="http://schemas.openxmlformats.org/officeDocument/2006/relationships/externalLink" Target="externalLinks/externalLink14.xml" /><Relationship Id="rId35" Type="http://schemas.openxmlformats.org/officeDocument/2006/relationships/externalLink" Target="externalLinks/externalLink15.xml" /><Relationship Id="rId36" Type="http://schemas.openxmlformats.org/officeDocument/2006/relationships/externalLink" Target="externalLinks/externalLink16.xml" /><Relationship Id="rId37" Type="http://schemas.openxmlformats.org/officeDocument/2006/relationships/externalLink" Target="externalLinks/externalLink17.xml" /><Relationship Id="rId30" Type="http://schemas.openxmlformats.org/officeDocument/2006/relationships/externalLink" Target="externalLinks/externalLink10.xml" /><Relationship Id="rId31" Type="http://schemas.openxmlformats.org/officeDocument/2006/relationships/externalLink" Target="externalLinks/externalLink11.xml" /><Relationship Id="rId32" Type="http://schemas.openxmlformats.org/officeDocument/2006/relationships/externalLink" Target="externalLinks/externalLink12.xml" /><Relationship Id="rId33" Type="http://schemas.openxmlformats.org/officeDocument/2006/relationships/externalLink" Target="externalLinks/externalLink13.xml" /><Relationship Id="rId74" Type="http://schemas.openxmlformats.org/officeDocument/2006/relationships/externalLink" Target="externalLinks/externalLink54.xml" /><Relationship Id="rId77" Type="http://schemas.openxmlformats.org/officeDocument/2006/relationships/externalLink" Target="externalLinks/externalLink57.xml" /><Relationship Id="rId70" Type="http://schemas.openxmlformats.org/officeDocument/2006/relationships/externalLink" Target="externalLinks/externalLink50.xml" /><Relationship Id="rId69" Type="http://schemas.openxmlformats.org/officeDocument/2006/relationships/externalLink" Target="externalLinks/externalLink49.xml" /><Relationship Id="rId72" Type="http://schemas.openxmlformats.org/officeDocument/2006/relationships/externalLink" Target="externalLinks/externalLink52.xml" /><Relationship Id="rId73" Type="http://schemas.openxmlformats.org/officeDocument/2006/relationships/externalLink" Target="externalLinks/externalLink53.xml" /><Relationship Id="rId83" Type="http://schemas.openxmlformats.org/officeDocument/2006/relationships/calcChain" Target="calcChain.xml" /><Relationship Id="rId76" Type="http://schemas.openxmlformats.org/officeDocument/2006/relationships/externalLink" Target="externalLinks/externalLink56.xml" /><Relationship Id="rId18" Type="http://schemas.openxmlformats.org/officeDocument/2006/relationships/customXml" Target="../customXml/item2.xml" /><Relationship Id="rId19" Type="http://schemas.openxmlformats.org/officeDocument/2006/relationships/customXml" Target="../customXml/item3.xml" /><Relationship Id="rId14" Type="http://schemas.openxmlformats.org/officeDocument/2006/relationships/worksheet" Target="worksheets/sheet13.xml" /><Relationship Id="rId15" Type="http://schemas.openxmlformats.org/officeDocument/2006/relationships/styles" Target="styles.xml" /><Relationship Id="rId58" Type="http://schemas.openxmlformats.org/officeDocument/2006/relationships/externalLink" Target="externalLinks/externalLink38.xml" /><Relationship Id="rId17" Type="http://schemas.openxmlformats.org/officeDocument/2006/relationships/customXml" Target="../customXml/item1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externalLink" Target="externalLinks/externalLink34.xml" /><Relationship Id="rId55" Type="http://schemas.openxmlformats.org/officeDocument/2006/relationships/externalLink" Target="externalLinks/externalLink35.xml" /><Relationship Id="rId56" Type="http://schemas.openxmlformats.org/officeDocument/2006/relationships/externalLink" Target="externalLinks/externalLink36.xml" /><Relationship Id="rId57" Type="http://schemas.openxmlformats.org/officeDocument/2006/relationships/externalLink" Target="externalLinks/externalLink37.xml" /><Relationship Id="rId50" Type="http://schemas.openxmlformats.org/officeDocument/2006/relationships/externalLink" Target="externalLinks/externalLink30.xml" /><Relationship Id="rId51" Type="http://schemas.openxmlformats.org/officeDocument/2006/relationships/externalLink" Target="externalLinks/externalLink31.xml" /><Relationship Id="rId52" Type="http://schemas.openxmlformats.org/officeDocument/2006/relationships/externalLink" Target="externalLinks/externalLink32.xml" /><Relationship Id="rId53" Type="http://schemas.openxmlformats.org/officeDocument/2006/relationships/externalLink" Target="externalLinks/externalLink33.xml" /><Relationship Id="rId71" Type="http://schemas.openxmlformats.org/officeDocument/2006/relationships/externalLink" Target="externalLinks/externalLink51.xml" /><Relationship Id="rId16" Type="http://schemas.openxmlformats.org/officeDocument/2006/relationships/sharedStrings" Target="sharedStrings.xml" /><Relationship Id="rId59" Type="http://schemas.openxmlformats.org/officeDocument/2006/relationships/externalLink" Target="externalLinks/externalLink39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8" Type="http://schemas.openxmlformats.org/officeDocument/2006/relationships/worksheet" Target="worksheets/sheet7.xml" /><Relationship Id="rId2" Type="http://schemas.openxmlformats.org/officeDocument/2006/relationships/worksheet" Target="worksheets/sheet1.xml" /><Relationship Id="rId6" Type="http://schemas.openxmlformats.org/officeDocument/2006/relationships/worksheet" Target="worksheets/sheet5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curtis_young.CPK/AppData/Local/Microsoft/Windows/Temporary%20Internet%20Files/Content.Outlook/4BJ31546/Cash%20Projections/Cash%20Projection%20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COMPLET2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5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DCFYN26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ocuments%20and%20Settings/rjcamfield/My%20Documents/FPU/Template_S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OMPANY\HELMET\SENSHELM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Rolex-Timex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Forecast\2015\Gas\Gas%20Gross%20Margin%20Forecast%20-%2006-2015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/Documents%20and%20Settings/jennifer_starr/Local%20Settings/Temporary%20Internet%20Files/OLK36/FORECAST2004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6\FINAL%202016%20Electric%20Margin%20Budget.xlsx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RAIG\MATH\MODEL\MATH14.XLS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Snug\Model\Linens329.xls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Ari\Extendicare\RECAP3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TEMP\budis112700quarterly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3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Timex-Rolex%20Merger6.xls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Model\Comb417.xls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amast\Templates\Fendi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COMPANY\HELMET\TPG12.XLS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ContractSales99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bmaitre/Downloads/Electric%20Depr%20Rates.xlsx" TargetMode="External" /></Relationships>
</file>

<file path=xl/externalLinks/_rels/externalLink6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chpk.sharepoint.com/sites/FPUCLightingConversion/Shared%20Documents/General/LIghting%20Tariff%20Petition%20-%20New/FE%20Debt%20and%20Equity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1"/>
      <sheetName val="Electric Depr Rates"/>
    </sheetNames>
    <sheetDataSet>
      <sheetData sheetId="0"/>
      <sheetData sheetId="1"/>
      <sheetData sheetId="2">
        <row r="3">
          <cell r="A3" t="str">
            <v>Row Labels</v>
          </cell>
          <cell r="B3" t="str">
            <v>Average of rate</v>
          </cell>
          <cell r="C3" t="str">
            <v>Average of cost_of_removal_rate</v>
          </cell>
        </row>
        <row r="4">
          <cell r="A4" t="str">
            <v>FE00 - Lease Default</v>
          </cell>
          <cell r="B4">
            <v>0</v>
          </cell>
          <cell r="C4">
            <v>0</v>
          </cell>
          <cell r="E4">
            <v>0</v>
          </cell>
        </row>
        <row r="5">
          <cell r="A5" t="str">
            <v>FE-3501-Land &amp; Land Rights</v>
          </cell>
          <cell r="B5">
            <v>0</v>
          </cell>
          <cell r="C5">
            <v>0</v>
          </cell>
          <cell r="E5">
            <v>0</v>
          </cell>
        </row>
        <row r="6">
          <cell r="A6" t="str">
            <v>FE-3502-ROW</v>
          </cell>
          <cell r="B6">
            <v>0.014</v>
          </cell>
          <cell r="C6">
            <v>0</v>
          </cell>
          <cell r="E6">
            <v>0.014</v>
          </cell>
        </row>
        <row r="7">
          <cell r="A7" t="str">
            <v>FE-352E-Struc&amp;Impr</v>
          </cell>
          <cell r="B7">
            <v>0.017</v>
          </cell>
          <cell r="C7">
            <v>0</v>
          </cell>
          <cell r="E7">
            <v>0.017</v>
          </cell>
        </row>
        <row r="8">
          <cell r="A8" t="str">
            <v>FE-353E-Stat Eq</v>
          </cell>
          <cell r="B8">
            <v>0.018</v>
          </cell>
          <cell r="C8">
            <v>0</v>
          </cell>
          <cell r="E8">
            <v>0.018</v>
          </cell>
        </row>
        <row r="9">
          <cell r="A9" t="str">
            <v>FE-354E-Tower/Fixture</v>
          </cell>
          <cell r="B9">
            <v>0.01652</v>
          </cell>
          <cell r="C9">
            <v>0.00248</v>
          </cell>
          <cell r="E9">
            <v>0.019</v>
          </cell>
        </row>
        <row r="10">
          <cell r="A10" t="str">
            <v>FE-355C-Pole/Fixture-Concrete</v>
          </cell>
          <cell r="B10">
            <v>0.01731</v>
          </cell>
          <cell r="C10">
            <v>0.00519</v>
          </cell>
          <cell r="E10">
            <v>0.0225</v>
          </cell>
        </row>
        <row r="11">
          <cell r="A11" t="str">
            <v>FE-355W-Pole/Fixture-Wood</v>
          </cell>
          <cell r="B11">
            <v>0.03013</v>
          </cell>
          <cell r="C11">
            <v>0.01507</v>
          </cell>
          <cell r="E11">
            <v>0.0452</v>
          </cell>
        </row>
        <row r="12">
          <cell r="A12" t="str">
            <v>FE-356E-Conduct/Dvc OH</v>
          </cell>
          <cell r="B12">
            <v>0.01917</v>
          </cell>
          <cell r="C12">
            <v>0.00383</v>
          </cell>
          <cell r="E12">
            <v>0.023</v>
          </cell>
        </row>
        <row r="13">
          <cell r="A13" t="str">
            <v>FE-357E-UG Conduit</v>
          </cell>
          <cell r="B13">
            <v>0</v>
          </cell>
          <cell r="C13">
            <v>0</v>
          </cell>
          <cell r="E13">
            <v>0</v>
          </cell>
        </row>
        <row r="14">
          <cell r="A14" t="str">
            <v>FE-359E-Road/Trail</v>
          </cell>
          <cell r="B14">
            <v>0.009</v>
          </cell>
          <cell r="C14">
            <v>0</v>
          </cell>
          <cell r="E14">
            <v>0.009</v>
          </cell>
        </row>
        <row r="15">
          <cell r="A15" t="str">
            <v>FE-3600-Land</v>
          </cell>
          <cell r="B15">
            <v>0</v>
          </cell>
          <cell r="C15">
            <v>0</v>
          </cell>
          <cell r="E15">
            <v>0</v>
          </cell>
        </row>
        <row r="16">
          <cell r="A16" t="str">
            <v>FE-3601-Land Rights</v>
          </cell>
          <cell r="B16">
            <v>0.015</v>
          </cell>
          <cell r="C16">
            <v>0</v>
          </cell>
          <cell r="E16">
            <v>0.015</v>
          </cell>
        </row>
        <row r="17">
          <cell r="A17" t="str">
            <v>FE-361E-Struc&amp;Impr</v>
          </cell>
          <cell r="B17">
            <v>0.01714</v>
          </cell>
          <cell r="C17">
            <v>0.00086</v>
          </cell>
          <cell r="E17">
            <v>0.018</v>
          </cell>
        </row>
        <row r="18">
          <cell r="A18" t="str">
            <v>FE-362E-Stat Eq</v>
          </cell>
          <cell r="B18">
            <v>0.01727</v>
          </cell>
          <cell r="C18">
            <v>0.00173</v>
          </cell>
          <cell r="E18">
            <v>0.019</v>
          </cell>
        </row>
        <row r="19">
          <cell r="A19" t="str">
            <v>FE-364E-Poles/Towers/Fixtures</v>
          </cell>
          <cell r="B19">
            <v>0.02267</v>
          </cell>
          <cell r="C19">
            <v>0.01133</v>
          </cell>
          <cell r="E19">
            <v>0.034</v>
          </cell>
        </row>
        <row r="20">
          <cell r="A20" t="str">
            <v>FE-365E-Conduct/Dvc OH</v>
          </cell>
          <cell r="B20">
            <v>0.02074</v>
          </cell>
          <cell r="C20">
            <v>0.00726</v>
          </cell>
          <cell r="E20">
            <v>0.028</v>
          </cell>
        </row>
        <row r="21">
          <cell r="A21" t="str">
            <v>FE-366E-UG Conduit</v>
          </cell>
          <cell r="B21">
            <v>0.01619</v>
          </cell>
          <cell r="C21">
            <v>0.00081</v>
          </cell>
          <cell r="E21">
            <v>0.017</v>
          </cell>
        </row>
        <row r="22">
          <cell r="A22" t="str">
            <v>FE-367E-Conduct/Dvc UG</v>
          </cell>
          <cell r="B22">
            <v>0.01905</v>
          </cell>
          <cell r="C22">
            <v>0.00095</v>
          </cell>
          <cell r="E22">
            <v>0.02</v>
          </cell>
        </row>
        <row r="23">
          <cell r="A23" t="str">
            <v>FE-368B-LnTrnfrm B/D</v>
          </cell>
          <cell r="B23">
            <v>0.0225</v>
          </cell>
          <cell r="C23">
            <v>0.0045</v>
          </cell>
          <cell r="E23">
            <v>0.027</v>
          </cell>
        </row>
        <row r="24">
          <cell r="A24" t="str">
            <v>FE-368H-LnTrnfrm OH</v>
          </cell>
          <cell r="B24">
            <v>0.0225</v>
          </cell>
          <cell r="C24">
            <v>0.0045</v>
          </cell>
          <cell r="E24">
            <v>0.027</v>
          </cell>
        </row>
        <row r="25">
          <cell r="A25" t="str">
            <v>FE-369B-Svc Buried</v>
          </cell>
          <cell r="B25">
            <v>0.01857</v>
          </cell>
          <cell r="C25">
            <v>0.00743</v>
          </cell>
          <cell r="E25">
            <v>0.026</v>
          </cell>
        </row>
        <row r="26">
          <cell r="A26" t="str">
            <v>FE-369H-Svc OH</v>
          </cell>
          <cell r="B26">
            <v>0.01857</v>
          </cell>
          <cell r="C26">
            <v>0.00743</v>
          </cell>
          <cell r="E26">
            <v>0.026</v>
          </cell>
        </row>
        <row r="27">
          <cell r="A27" t="str">
            <v>FE-370E-Meters</v>
          </cell>
          <cell r="B27">
            <v>0.03455</v>
          </cell>
          <cell r="C27">
            <v>0.00345</v>
          </cell>
          <cell r="E27">
            <v>0.038</v>
          </cell>
        </row>
        <row r="28">
          <cell r="A28" t="str">
            <v>FE-371A-CustInstall AG</v>
          </cell>
          <cell r="B28">
            <v>0.0316</v>
          </cell>
          <cell r="C28">
            <v>-0.0016</v>
          </cell>
          <cell r="E28">
            <v>0.03</v>
          </cell>
        </row>
        <row r="29">
          <cell r="A29" t="str">
            <v>FE-371B-CustInstall UG</v>
          </cell>
          <cell r="B29">
            <v>0.03158</v>
          </cell>
          <cell r="C29">
            <v>-0.00158</v>
          </cell>
          <cell r="E29">
            <v>0.03</v>
          </cell>
        </row>
        <row r="30">
          <cell r="A30" t="str">
            <v>FE-373A-StLgt/SigSys AG</v>
          </cell>
          <cell r="B30">
            <v>0.04545</v>
          </cell>
          <cell r="C30">
            <v>0.00455</v>
          </cell>
          <cell r="E30">
            <v>0.05</v>
          </cell>
        </row>
        <row r="31">
          <cell r="A31" t="str">
            <v>FE-373B-StLgt/SigSys UG</v>
          </cell>
          <cell r="B31">
            <v>0.04545</v>
          </cell>
          <cell r="C31">
            <v>0.00455</v>
          </cell>
          <cell r="E31">
            <v>0.05</v>
          </cell>
        </row>
        <row r="32">
          <cell r="A32" t="str">
            <v>FE-3800-Land &amp; Land Rghts</v>
          </cell>
          <cell r="B32">
            <v>0</v>
          </cell>
          <cell r="C32">
            <v>0</v>
          </cell>
          <cell r="E32">
            <v>0</v>
          </cell>
        </row>
        <row r="33">
          <cell r="A33" t="str">
            <v>FE-3890-Land &amp; Land Rghts</v>
          </cell>
          <cell r="B33">
            <v>0</v>
          </cell>
          <cell r="C33">
            <v>0</v>
          </cell>
          <cell r="E33">
            <v>0</v>
          </cell>
        </row>
        <row r="34">
          <cell r="A34" t="str">
            <v>FE-389A-Land &amp; Land Rghts</v>
          </cell>
          <cell r="B34">
            <v>0</v>
          </cell>
          <cell r="C34">
            <v>0</v>
          </cell>
          <cell r="E34">
            <v>0</v>
          </cell>
        </row>
        <row r="35">
          <cell r="A35" t="str">
            <v>FE-3900-Struc&amp;Impr</v>
          </cell>
          <cell r="B35">
            <v>0.02</v>
          </cell>
          <cell r="C35">
            <v>0</v>
          </cell>
          <cell r="E35">
            <v>0.02</v>
          </cell>
        </row>
        <row r="36">
          <cell r="A36" t="str">
            <v>FE-390A-Alloc Struc&amp;Impr</v>
          </cell>
          <cell r="B36">
            <v>0.02</v>
          </cell>
          <cell r="C36">
            <v>0</v>
          </cell>
          <cell r="E36">
            <v>0.02</v>
          </cell>
        </row>
        <row r="37">
          <cell r="A37" t="str">
            <v>FE-3910-Offc Furn &amp; Eq</v>
          </cell>
          <cell r="B37">
            <v>0.1428571</v>
          </cell>
          <cell r="C37">
            <v>0</v>
          </cell>
          <cell r="E37">
            <v>0.1428571</v>
          </cell>
        </row>
        <row r="38">
          <cell r="A38" t="str">
            <v>FE-3911-Comp &amp; Periph</v>
          </cell>
          <cell r="B38">
            <v>0.2</v>
          </cell>
          <cell r="C38">
            <v>0</v>
          </cell>
          <cell r="E38">
            <v>0.2</v>
          </cell>
        </row>
        <row r="39">
          <cell r="A39" t="str">
            <v>FE-3912-Comp Hdwr</v>
          </cell>
          <cell r="B39">
            <v>0.2</v>
          </cell>
          <cell r="C39">
            <v>0</v>
          </cell>
          <cell r="E39">
            <v>0.2</v>
          </cell>
        </row>
        <row r="40">
          <cell r="A40" t="str">
            <v>FE-3913-Furn &amp; Fix</v>
          </cell>
          <cell r="B40">
            <v>0.1428571</v>
          </cell>
          <cell r="C40">
            <v>0</v>
          </cell>
          <cell r="E40">
            <v>0.1428571</v>
          </cell>
        </row>
        <row r="41">
          <cell r="A41" t="str">
            <v>FE-3914-Sys Sftwr</v>
          </cell>
          <cell r="B41">
            <v>0.2</v>
          </cell>
          <cell r="C41">
            <v>0</v>
          </cell>
          <cell r="E41">
            <v>0.2</v>
          </cell>
        </row>
        <row r="42">
          <cell r="A42" t="str">
            <v>FE-391A-Alloc Offc Furn &amp; Eq</v>
          </cell>
          <cell r="B42">
            <v>0.2</v>
          </cell>
          <cell r="C42">
            <v>0</v>
          </cell>
          <cell r="E42">
            <v>0.2</v>
          </cell>
        </row>
        <row r="43">
          <cell r="A43" t="str">
            <v>FE-391S-ECIS Improvement</v>
          </cell>
          <cell r="B43">
            <v>0.1428571</v>
          </cell>
          <cell r="C43">
            <v>0</v>
          </cell>
          <cell r="E43">
            <v>0.1428571</v>
          </cell>
        </row>
        <row r="44">
          <cell r="A44" t="str">
            <v>FE-3921-Cars</v>
          </cell>
          <cell r="B44">
            <v>0.077</v>
          </cell>
          <cell r="C44">
            <v>0</v>
          </cell>
          <cell r="E44">
            <v>0.077</v>
          </cell>
        </row>
        <row r="45">
          <cell r="A45" t="str">
            <v>FE-3922-Lt Truck/Van</v>
          </cell>
          <cell r="B45">
            <v>0.08</v>
          </cell>
          <cell r="C45">
            <v>0</v>
          </cell>
          <cell r="E45">
            <v>0.08</v>
          </cell>
        </row>
        <row r="46">
          <cell r="A46" t="str">
            <v>FE-3923-HD Truck/Bobtail</v>
          </cell>
          <cell r="B46">
            <v>0.06</v>
          </cell>
          <cell r="C46">
            <v>0</v>
          </cell>
          <cell r="E46">
            <v>0.06</v>
          </cell>
        </row>
        <row r="47">
          <cell r="A47" t="str">
            <v>FE-3924-Trailers</v>
          </cell>
          <cell r="B47">
            <v>0.032</v>
          </cell>
          <cell r="C47">
            <v>0</v>
          </cell>
          <cell r="E47">
            <v>0.032</v>
          </cell>
        </row>
        <row r="48">
          <cell r="A48" t="str">
            <v>FE-3930-Stores Equip</v>
          </cell>
          <cell r="B48">
            <v>0.1428571</v>
          </cell>
          <cell r="C48">
            <v>0</v>
          </cell>
          <cell r="E48">
            <v>0.1428571</v>
          </cell>
        </row>
        <row r="49">
          <cell r="A49" t="str">
            <v>FE-3940-Tools/Shop Eq</v>
          </cell>
          <cell r="B49">
            <v>0.1428571</v>
          </cell>
          <cell r="C49">
            <v>0</v>
          </cell>
          <cell r="E49">
            <v>0.1428571</v>
          </cell>
        </row>
        <row r="50">
          <cell r="A50" t="str">
            <v>FE-3950-Lab Equip</v>
          </cell>
          <cell r="B50">
            <v>0.1428571</v>
          </cell>
          <cell r="C50">
            <v>0</v>
          </cell>
          <cell r="E50">
            <v>0.1428571</v>
          </cell>
        </row>
        <row r="51">
          <cell r="A51" t="str">
            <v>FE-3960-Pwr Op Equip</v>
          </cell>
          <cell r="B51">
            <v>0.041</v>
          </cell>
          <cell r="C51">
            <v>0</v>
          </cell>
          <cell r="E51">
            <v>0.041</v>
          </cell>
        </row>
        <row r="52">
          <cell r="A52" t="str">
            <v>FE-3970-Comm Eq</v>
          </cell>
          <cell r="B52">
            <v>0</v>
          </cell>
          <cell r="C52">
            <v>0</v>
          </cell>
          <cell r="E52">
            <v>0</v>
          </cell>
        </row>
        <row r="53">
          <cell r="A53" t="str">
            <v>FE-3980-Misc Equip</v>
          </cell>
          <cell r="B53">
            <v>0.1428571</v>
          </cell>
          <cell r="C53">
            <v>0</v>
          </cell>
          <cell r="E53">
            <v>0.1428571</v>
          </cell>
        </row>
        <row r="54">
          <cell r="A54" t="str">
            <v>FE-398A-Alloc Misc Equip</v>
          </cell>
          <cell r="B54">
            <v>0.1428571</v>
          </cell>
          <cell r="C54">
            <v>0</v>
          </cell>
          <cell r="E54">
            <v>0.1428571</v>
          </cell>
        </row>
        <row r="55">
          <cell r="A55" t="str">
            <v>FE-3990-Other Tang Prop</v>
          </cell>
          <cell r="B55">
            <v>0</v>
          </cell>
          <cell r="C55">
            <v>0</v>
          </cell>
          <cell r="E55">
            <v>0</v>
          </cell>
        </row>
        <row r="56">
          <cell r="A56" t="str">
            <v>Grand Total</v>
          </cell>
          <cell r="B56">
            <v>0.0506155255813954</v>
          </cell>
          <cell r="C56">
            <v>0.00145813953488372</v>
          </cell>
        </row>
      </sheetData>
      <sheetData sheetId="3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FE Cost Rate Cal"/>
      <sheetName val="Capital Structure Sch 4"/>
      <sheetName val="FE Expan Factor"/>
      <sheetName val="Uncollectibles 2019"/>
      <sheetName val="Rev 2019"/>
      <sheetName val="State and Federal Rates"/>
    </sheetNames>
    <sheetDataSet>
      <sheetData sheetId="0"/>
      <sheetData sheetId="1">
        <row r="13">
          <cell r="M13">
            <v>0.1025</v>
          </cell>
          <cell r="N13">
            <v>0.0546</v>
          </cell>
        </row>
        <row r="15">
          <cell r="N15">
            <v>0.0064</v>
          </cell>
        </row>
        <row r="17">
          <cell r="N17">
            <v>0.0004</v>
          </cell>
        </row>
        <row r="19">
          <cell r="N19">
            <v>0</v>
          </cell>
        </row>
        <row r="21">
          <cell r="N21">
            <v>0</v>
          </cell>
        </row>
        <row r="23">
          <cell r="N23">
            <v>0.0008</v>
          </cell>
        </row>
      </sheetData>
      <sheetData sheetId="2">
        <row r="38">
          <cell r="K38">
            <v>1.31710499312863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3" Type="http://schemas.openxmlformats.org/officeDocument/2006/relationships/hyperlink" Target="mailto:=@ROUND((D8/D$14),2)" TargetMode="External" /><Relationship Id="rId4" Type="http://schemas.openxmlformats.org/officeDocument/2006/relationships/hyperlink" Target="mailto:=@ROUND((D8/D$14),2)" TargetMode="External" /><Relationship Id="rId2" Type="http://schemas.openxmlformats.org/officeDocument/2006/relationships/hyperlink" Target="mailto:=@ROUND((D8/D$14),2)" TargetMode="External" /><Relationship Id="rId9" Type="http://schemas.openxmlformats.org/officeDocument/2006/relationships/hyperlink" Target="mailto:=@ROUND((D8/D$14),2)" TargetMode="External" /><Relationship Id="rId1" Type="http://schemas.openxmlformats.org/officeDocument/2006/relationships/hyperlink" Target="mailto:=@ROUND((D8/D$14),2)" TargetMode="External" /><Relationship Id="rId8" Type="http://schemas.openxmlformats.org/officeDocument/2006/relationships/hyperlink" Target="mailto:=@ROUND((D8/D$14),2)" TargetMode="External" /><Relationship Id="rId6" Type="http://schemas.openxmlformats.org/officeDocument/2006/relationships/hyperlink" Target="mailto:=@ROUND((D8/D$14),2)" TargetMode="External" /><Relationship Id="rId7" Type="http://schemas.openxmlformats.org/officeDocument/2006/relationships/hyperlink" Target="mailto:=@ROUND((D8/D$14),2)" TargetMode="External" /><Relationship Id="rId11" Type="http://schemas.openxmlformats.org/officeDocument/2006/relationships/printerSettings" Target="../printerSettings/printerSettings5.bin" /><Relationship Id="rId10" Type="http://schemas.openxmlformats.org/officeDocument/2006/relationships/hyperlink" Target="mailto:=@ROUND((D8/D$14),2)" TargetMode="External" /><Relationship Id="rId5" Type="http://schemas.openxmlformats.org/officeDocument/2006/relationships/hyperlink" Target="mailto:=@ROUND((D8/D$14),2)" TargetMode="Externa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8"/>
  <sheetViews>
    <sheetView showGridLines="0" zoomScale="120" zoomScaleNormal="120" workbookViewId="0" topLeftCell="A1">
      <pane xSplit="3" ySplit="4" topLeftCell="D5" activePane="bottomRight" state="frozen"/>
      <selection pane="topLeft" activeCell="A1" sqref="A1"/>
      <selection pane="bottomLeft" activeCell="A5" sqref="A5"/>
      <selection pane="topRight" activeCell="D1" sqref="D1"/>
      <selection pane="bottomRight" activeCell="D32" sqref="D32"/>
    </sheetView>
  </sheetViews>
  <sheetFormatPr defaultRowHeight="15"/>
  <cols>
    <col min="2" max="2" width="14.1428571428571" customWidth="1"/>
    <col min="3" max="3" width="11.4285714285714" customWidth="1"/>
    <col min="4" max="4" width="17.5714285714286" bestFit="1" customWidth="1"/>
    <col min="5" max="6" width="19.7142857142857" bestFit="1" customWidth="1"/>
    <col min="7" max="13" width="21.1428571428571" bestFit="1" customWidth="1"/>
  </cols>
  <sheetData>
    <row r="2" ht="15.75" thickBot="1"/>
    <row r="3" spans="2:13" ht="15.75" customHeight="1" thickBot="1">
      <c r="B3" s="177" t="s">
        <v>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9"/>
    </row>
    <row r="4" spans="2:13" ht="15.75" thickBot="1">
      <c r="B4" s="112"/>
      <c r="C4" s="113"/>
      <c r="D4" s="113">
        <v>2022</v>
      </c>
      <c r="E4" s="113">
        <v>2023</v>
      </c>
      <c r="F4" s="113">
        <v>2024</v>
      </c>
      <c r="G4" s="113">
        <v>2025</v>
      </c>
      <c r="H4" s="113">
        <v>2026</v>
      </c>
      <c r="I4" s="113">
        <v>2027</v>
      </c>
      <c r="J4" s="113">
        <v>2028</v>
      </c>
      <c r="K4" s="113">
        <v>2029</v>
      </c>
      <c r="L4" s="113">
        <v>2030</v>
      </c>
      <c r="M4" s="114">
        <v>2031</v>
      </c>
    </row>
    <row r="5" spans="2:13" ht="15" customHeight="1" thickTop="1">
      <c r="B5" s="172" t="s">
        <v>1</v>
      </c>
      <c r="C5" s="129" t="s">
        <v>2</v>
      </c>
      <c r="D5" s="133">
        <v>0.28942375675543047</v>
      </c>
      <c r="E5" s="133">
        <v>2.9229471627284354</v>
      </c>
      <c r="F5" s="133">
        <v>2.9768746455555197</v>
      </c>
      <c r="G5" s="133">
        <v>1.2836551427857028</v>
      </c>
      <c r="H5" s="133">
        <v>2.4921739126156832</v>
      </c>
      <c r="I5" s="133">
        <v>1.4691036089104959</v>
      </c>
      <c r="J5" s="133">
        <v>1.464383337631866</v>
      </c>
      <c r="K5" s="133">
        <v>1.421900896124199</v>
      </c>
      <c r="L5" s="133">
        <v>1.4251986198942006</v>
      </c>
      <c r="M5" s="134">
        <v>1.3093903204417934</v>
      </c>
    </row>
    <row r="6" spans="2:17" ht="15">
      <c r="B6" s="172"/>
      <c r="C6" s="129" t="s">
        <v>3</v>
      </c>
      <c r="D6" s="131">
        <v>0.0089512502089308405</v>
      </c>
      <c r="E6" s="131">
        <v>0.090400427713250589</v>
      </c>
      <c r="F6" s="131">
        <v>0.092068288006871751</v>
      </c>
      <c r="G6" s="131">
        <v>0.039700674519145454</v>
      </c>
      <c r="H6" s="131">
        <v>0.077077543689144851</v>
      </c>
      <c r="I6" s="131">
        <v>0.045436194090015342</v>
      </c>
      <c r="J6" s="131">
        <v>0.045290206318511328</v>
      </c>
      <c r="K6" s="131">
        <v>0.043976316374975226</v>
      </c>
      <c r="L6" s="131">
        <v>0.044078307831779406</v>
      </c>
      <c r="M6" s="132">
        <v>0.040496607848715255</v>
      </c>
      <c r="P6" s="115"/>
      <c r="Q6" t="s">
        <v>4</v>
      </c>
    </row>
    <row r="7" spans="2:17" ht="15">
      <c r="B7" s="173"/>
      <c r="C7" s="135" t="s">
        <v>5</v>
      </c>
      <c r="D7" s="136">
        <f>SUM(D5:D6)</f>
        <v>0.29837500696436131</v>
      </c>
      <c r="E7" s="136">
        <f t="shared" si="0" ref="E7:M7">SUM(E5:E6)</f>
        <v>3.0133475904416858</v>
      </c>
      <c r="F7" s="136">
        <f t="shared" si="0"/>
        <v>3.0689429335623917</v>
      </c>
      <c r="G7" s="136">
        <f t="shared" si="0"/>
        <v>1.3233558173048483</v>
      </c>
      <c r="H7" s="136">
        <f t="shared" si="0"/>
        <v>2.5692514563048281</v>
      </c>
      <c r="I7" s="136">
        <f t="shared" si="0"/>
        <v>1.5145398030005113</v>
      </c>
      <c r="J7" s="136">
        <f t="shared" si="0"/>
        <v>1.5096735439503775</v>
      </c>
      <c r="K7" s="136">
        <f t="shared" si="0"/>
        <v>1.4658772124991741</v>
      </c>
      <c r="L7" s="136">
        <f t="shared" si="0"/>
        <v>1.4692769277259801</v>
      </c>
      <c r="M7" s="136">
        <f t="shared" si="0"/>
        <v>1.3498869282905086</v>
      </c>
      <c r="P7" s="116"/>
      <c r="Q7" t="s">
        <v>6</v>
      </c>
    </row>
    <row r="8" spans="2:17" ht="15" customHeight="1">
      <c r="B8" s="172" t="s">
        <v>7</v>
      </c>
      <c r="C8" s="129" t="s">
        <v>2</v>
      </c>
      <c r="D8" s="133">
        <v>0.056012808152232273</v>
      </c>
      <c r="E8" s="133">
        <v>0.56012808152232263</v>
      </c>
      <c r="F8" s="133">
        <v>0.97525330904016505</v>
      </c>
      <c r="G8" s="133">
        <v>4.4068258673535468</v>
      </c>
      <c r="H8" s="133">
        <v>1.7979060671547686</v>
      </c>
      <c r="I8" s="133">
        <v>2.986541502489152</v>
      </c>
      <c r="J8" s="133">
        <v>3.1722809442407098</v>
      </c>
      <c r="K8" s="133">
        <v>4.7118653160786907</v>
      </c>
      <c r="L8" s="133">
        <v>3.4618825194347189</v>
      </c>
      <c r="M8" s="134">
        <v>2.6187806408835868</v>
      </c>
      <c r="P8" s="117"/>
      <c r="Q8" t="s">
        <v>8</v>
      </c>
    </row>
    <row r="9" spans="2:17" ht="15">
      <c r="B9" s="172"/>
      <c r="C9" s="129" t="s">
        <v>3</v>
      </c>
      <c r="D9" s="131">
        <v>0.0017323548913061526</v>
      </c>
      <c r="E9" s="131">
        <v>0.017323548913061523</v>
      </c>
      <c r="F9" s="131">
        <v>0.03016247347546902</v>
      </c>
      <c r="G9" s="131">
        <v>0.13629358352639834</v>
      </c>
      <c r="H9" s="131">
        <v>0.055605342283137175</v>
      </c>
      <c r="I9" s="131">
        <v>0.092367262963582025</v>
      </c>
      <c r="J9" s="131">
        <v>0.098111781780640506</v>
      </c>
      <c r="K9" s="131">
        <v>0.14572779328078425</v>
      </c>
      <c r="L9" s="131">
        <v>0.10706853152890883</v>
      </c>
      <c r="M9" s="132">
        <v>0.08099321569743051</v>
      </c>
      <c r="P9" s="118"/>
      <c r="Q9" t="s">
        <v>9</v>
      </c>
    </row>
    <row r="10" spans="2:13" ht="15">
      <c r="B10" s="173"/>
      <c r="C10" s="135" t="s">
        <v>5</v>
      </c>
      <c r="D10" s="136">
        <f>SUM(D8:D9)</f>
        <v>0.057745163043538425</v>
      </c>
      <c r="E10" s="136">
        <f t="shared" si="1" ref="E10:M10">SUM(E8:E9)</f>
        <v>0.57745163043538417</v>
      </c>
      <c r="F10" s="136">
        <f t="shared" si="1"/>
        <v>1.005415782515634</v>
      </c>
      <c r="G10" s="136">
        <f t="shared" si="1"/>
        <v>4.5431194508799448</v>
      </c>
      <c r="H10" s="136">
        <f t="shared" si="1"/>
        <v>1.8535114094379057</v>
      </c>
      <c r="I10" s="136">
        <f t="shared" si="1"/>
        <v>3.0789087654527338</v>
      </c>
      <c r="J10" s="136">
        <f t="shared" si="1"/>
        <v>3.2703927260213503</v>
      </c>
      <c r="K10" s="136">
        <f t="shared" si="1"/>
        <v>4.8575931093594749</v>
      </c>
      <c r="L10" s="136">
        <f t="shared" si="1"/>
        <v>3.5689510509636277</v>
      </c>
      <c r="M10" s="136">
        <f t="shared" si="1"/>
        <v>2.6997738565810172</v>
      </c>
    </row>
    <row r="11" spans="2:13" ht="15" customHeight="1">
      <c r="B11" s="172" t="s">
        <v>10</v>
      </c>
      <c r="C11" s="130" t="s">
        <v>2</v>
      </c>
      <c r="D11" s="133">
        <v>0.10891023726056896</v>
      </c>
      <c r="E11" s="133">
        <v>1.0891023726056894</v>
      </c>
      <c r="F11" s="133">
        <v>1.6209359841813991</v>
      </c>
      <c r="G11" s="133">
        <v>6.2275146794714988</v>
      </c>
      <c r="H11" s="133">
        <v>4.999799277625085</v>
      </c>
      <c r="I11" s="133">
        <v>8.5241891812014288</v>
      </c>
      <c r="J11" s="133">
        <v>8.0633691412564357</v>
      </c>
      <c r="K11" s="133">
        <v>6.4431159798791766</v>
      </c>
      <c r="L11" s="133">
        <v>13.134267343362753</v>
      </c>
      <c r="M11" s="134">
        <v>13.134267343362753</v>
      </c>
    </row>
    <row r="12" spans="2:13" ht="15">
      <c r="B12" s="172"/>
      <c r="C12" s="129" t="s">
        <v>3</v>
      </c>
      <c r="D12" s="131">
        <v>0.0033683578534196585</v>
      </c>
      <c r="E12" s="131">
        <v>0.033683578534196582</v>
      </c>
      <c r="F12" s="131">
        <v>0.050132040747878318</v>
      </c>
      <c r="G12" s="131">
        <v>0.1926035467877783</v>
      </c>
      <c r="H12" s="131">
        <v>0.15463296734922941</v>
      </c>
      <c r="I12" s="131">
        <v>0.26363471694437401</v>
      </c>
      <c r="J12" s="131">
        <v>0.24938255076050828</v>
      </c>
      <c r="K12" s="131">
        <v>0.19927162824368586</v>
      </c>
      <c r="L12" s="131">
        <v>0.40621445391843564</v>
      </c>
      <c r="M12" s="132">
        <v>0.40621445391843564</v>
      </c>
    </row>
    <row r="13" spans="2:13" ht="15">
      <c r="B13" s="173"/>
      <c r="C13" s="135" t="s">
        <v>5</v>
      </c>
      <c r="D13" s="136">
        <f>SUM(D11:D12)</f>
        <v>0.11227859511398862</v>
      </c>
      <c r="E13" s="136">
        <f t="shared" si="2" ref="E13:M13">SUM(E11:E12)</f>
        <v>1.1227859511398861</v>
      </c>
      <c r="F13" s="136">
        <f t="shared" si="2"/>
        <v>1.6710680249292773</v>
      </c>
      <c r="G13" s="136">
        <f t="shared" si="2"/>
        <v>6.4201182262592775</v>
      </c>
      <c r="H13" s="136">
        <f t="shared" si="2"/>
        <v>5.1544322449743145</v>
      </c>
      <c r="I13" s="136">
        <f t="shared" si="2"/>
        <v>8.7878238981458026</v>
      </c>
      <c r="J13" s="136">
        <f t="shared" si="2"/>
        <v>8.3127516920169437</v>
      </c>
      <c r="K13" s="136">
        <f t="shared" si="2"/>
        <v>6.6423876081228626</v>
      </c>
      <c r="L13" s="136">
        <f t="shared" si="2"/>
        <v>13.540481797281188</v>
      </c>
      <c r="M13" s="136">
        <f t="shared" si="2"/>
        <v>13.540481797281188</v>
      </c>
    </row>
    <row r="14" spans="2:13" ht="15" customHeight="1">
      <c r="B14" s="172" t="s">
        <v>11</v>
      </c>
      <c r="C14" s="130" t="s">
        <v>2</v>
      </c>
      <c r="D14" s="139">
        <v>1.0698749999999997</v>
      </c>
      <c r="E14" s="139">
        <v>1.3327280069906813</v>
      </c>
      <c r="F14" s="139">
        <v>1.420345675987575</v>
      </c>
      <c r="G14" s="139">
        <v>1.5079633449844687</v>
      </c>
      <c r="H14" s="139">
        <v>1.5955810139813627</v>
      </c>
      <c r="I14" s="139">
        <v>1.4308597962672023</v>
      </c>
      <c r="J14" s="139">
        <v>1.0698749999999997</v>
      </c>
      <c r="K14" s="139">
        <v>1.0698749999999997</v>
      </c>
      <c r="L14" s="139">
        <v>1.0698749999999997</v>
      </c>
      <c r="M14" s="134">
        <v>1.0698749999999997</v>
      </c>
    </row>
    <row r="15" spans="2:13" ht="15">
      <c r="B15" s="172"/>
      <c r="C15" s="129" t="s">
        <v>3</v>
      </c>
      <c r="D15" s="141">
        <v>0.15119720181574239</v>
      </c>
      <c r="E15" s="141">
        <v>0.18834419482506107</v>
      </c>
      <c r="F15" s="141">
        <v>0.20072652582816727</v>
      </c>
      <c r="G15" s="141">
        <v>0.21310885683127348</v>
      </c>
      <c r="H15" s="141">
        <v>0.22549118783437971</v>
      </c>
      <c r="I15" s="141">
        <v>0.20221240554854</v>
      </c>
      <c r="J15" s="141">
        <v>0.15119720181574239</v>
      </c>
      <c r="K15" s="141">
        <v>0.15119720181574239</v>
      </c>
      <c r="L15" s="141">
        <v>0.15119720181574239</v>
      </c>
      <c r="M15" s="132">
        <v>0.15119720181574239</v>
      </c>
    </row>
    <row r="16" spans="2:13" ht="15">
      <c r="B16" s="173"/>
      <c r="C16" s="135" t="s">
        <v>5</v>
      </c>
      <c r="D16" s="136">
        <f>SUM(D14:D15)</f>
        <v>1.2210722018157421</v>
      </c>
      <c r="E16" s="136">
        <f t="shared" si="3" ref="E16:M16">SUM(E14:E15)</f>
        <v>1.5210722018157423</v>
      </c>
      <c r="F16" s="136">
        <f t="shared" si="3"/>
        <v>1.6210722018157422</v>
      </c>
      <c r="G16" s="136">
        <f t="shared" si="3"/>
        <v>1.7210722018157423</v>
      </c>
      <c r="H16" s="136">
        <f t="shared" si="3"/>
        <v>1.8210722018157424</v>
      </c>
      <c r="I16" s="136">
        <f t="shared" si="3"/>
        <v>1.6330722018157422</v>
      </c>
      <c r="J16" s="136">
        <f t="shared" si="3"/>
        <v>1.2210722018157421</v>
      </c>
      <c r="K16" s="136">
        <f t="shared" si="3"/>
        <v>1.2210722018157421</v>
      </c>
      <c r="L16" s="136">
        <f t="shared" si="3"/>
        <v>1.2210722018157421</v>
      </c>
      <c r="M16" s="136">
        <f t="shared" si="3"/>
        <v>1.2210722018157421</v>
      </c>
    </row>
    <row r="17" spans="2:13" ht="15" customHeight="1">
      <c r="B17" s="175" t="s">
        <v>12</v>
      </c>
      <c r="C17" s="130" t="s">
        <v>2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40">
        <v>0</v>
      </c>
    </row>
    <row r="18" spans="2:13" ht="15">
      <c r="B18" s="175"/>
      <c r="C18" s="129" t="s">
        <v>3</v>
      </c>
      <c r="D18" s="141">
        <v>1.2000000000000002</v>
      </c>
      <c r="E18" s="141">
        <v>1.2000000000000002</v>
      </c>
      <c r="F18" s="141">
        <v>1.2000000000000002</v>
      </c>
      <c r="G18" s="141">
        <v>1.2000000000000002</v>
      </c>
      <c r="H18" s="141">
        <v>1.2000000000000002</v>
      </c>
      <c r="I18" s="141">
        <v>1.2000000000000002</v>
      </c>
      <c r="J18" s="141">
        <v>1.2000000000000002</v>
      </c>
      <c r="K18" s="141">
        <v>1.2000000000000002</v>
      </c>
      <c r="L18" s="141">
        <v>1.2000000000000002</v>
      </c>
      <c r="M18" s="142">
        <v>1.2000000000000002</v>
      </c>
    </row>
    <row r="19" spans="2:13" ht="15">
      <c r="B19" s="180"/>
      <c r="C19" s="135" t="s">
        <v>5</v>
      </c>
      <c r="D19" s="136">
        <f>SUM(D17:D18)</f>
        <v>1.2000000000000002</v>
      </c>
      <c r="E19" s="136">
        <f t="shared" si="4" ref="E19:M19">SUM(E17:E18)</f>
        <v>1.2000000000000002</v>
      </c>
      <c r="F19" s="136">
        <f t="shared" si="4"/>
        <v>1.2000000000000002</v>
      </c>
      <c r="G19" s="136">
        <f t="shared" si="4"/>
        <v>1.2000000000000002</v>
      </c>
      <c r="H19" s="136">
        <f t="shared" si="4"/>
        <v>1.2000000000000002</v>
      </c>
      <c r="I19" s="136">
        <f t="shared" si="4"/>
        <v>1.2000000000000002</v>
      </c>
      <c r="J19" s="136">
        <f t="shared" si="4"/>
        <v>1.2000000000000002</v>
      </c>
      <c r="K19" s="136">
        <f t="shared" si="4"/>
        <v>1.2000000000000002</v>
      </c>
      <c r="L19" s="136">
        <f t="shared" si="4"/>
        <v>1.2000000000000002</v>
      </c>
      <c r="M19" s="136">
        <f t="shared" si="4"/>
        <v>1.2000000000000002</v>
      </c>
    </row>
    <row r="20" spans="2:13" ht="15" customHeight="1">
      <c r="B20" s="175" t="s">
        <v>13</v>
      </c>
      <c r="C20" s="129" t="s">
        <v>2</v>
      </c>
      <c r="D20" s="133">
        <v>0</v>
      </c>
      <c r="E20" s="133">
        <v>0</v>
      </c>
      <c r="F20" s="133">
        <v>0</v>
      </c>
      <c r="G20" s="133">
        <v>1.5</v>
      </c>
      <c r="H20" s="133">
        <v>3</v>
      </c>
      <c r="I20" s="133">
        <v>4.5</v>
      </c>
      <c r="J20" s="133">
        <v>4.7999999999999998</v>
      </c>
      <c r="K20" s="133">
        <v>5.1000000000000005</v>
      </c>
      <c r="L20" s="133">
        <v>5.1000000000000005</v>
      </c>
      <c r="M20" s="134">
        <v>6</v>
      </c>
    </row>
    <row r="21" spans="2:13" ht="15">
      <c r="B21" s="175"/>
      <c r="C21" s="129" t="s">
        <v>3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0</v>
      </c>
      <c r="L21" s="131">
        <v>0</v>
      </c>
      <c r="M21" s="132">
        <v>0</v>
      </c>
    </row>
    <row r="22" spans="2:13" ht="15">
      <c r="B22" s="180"/>
      <c r="C22" s="135" t="s">
        <v>5</v>
      </c>
      <c r="D22" s="136">
        <f>SUM(D20:D21)</f>
        <v>0</v>
      </c>
      <c r="E22" s="136">
        <f t="shared" si="5" ref="E22:M22">SUM(E20:E21)</f>
        <v>0</v>
      </c>
      <c r="F22" s="136">
        <f t="shared" si="5"/>
        <v>0</v>
      </c>
      <c r="G22" s="136">
        <f t="shared" si="5"/>
        <v>1.5</v>
      </c>
      <c r="H22" s="136">
        <f t="shared" si="5"/>
        <v>3</v>
      </c>
      <c r="I22" s="136">
        <f t="shared" si="5"/>
        <v>4.5</v>
      </c>
      <c r="J22" s="136">
        <f t="shared" si="5"/>
        <v>4.7999999999999998</v>
      </c>
      <c r="K22" s="136">
        <f t="shared" si="5"/>
        <v>5.1000000000000005</v>
      </c>
      <c r="L22" s="136">
        <f t="shared" si="5"/>
        <v>5.1000000000000005</v>
      </c>
      <c r="M22" s="136">
        <f t="shared" si="5"/>
        <v>6</v>
      </c>
    </row>
    <row r="23" spans="2:13" ht="15" customHeight="1">
      <c r="B23" s="172" t="s">
        <v>14</v>
      </c>
      <c r="C23" s="129" t="s">
        <v>2</v>
      </c>
      <c r="D23" s="139">
        <v>0</v>
      </c>
      <c r="E23" s="139">
        <v>0</v>
      </c>
      <c r="F23" s="139">
        <v>9.0694999999999997</v>
      </c>
      <c r="G23" s="139">
        <v>38.499299999999998</v>
      </c>
      <c r="H23" s="139">
        <v>38.499299999999998</v>
      </c>
      <c r="I23" s="139">
        <v>0</v>
      </c>
      <c r="J23" s="139">
        <v>0</v>
      </c>
      <c r="K23" s="139">
        <v>0</v>
      </c>
      <c r="L23" s="139">
        <v>0</v>
      </c>
      <c r="M23" s="140">
        <v>0</v>
      </c>
    </row>
    <row r="24" spans="2:13" ht="15">
      <c r="B24" s="172"/>
      <c r="C24" s="129" t="s">
        <v>3</v>
      </c>
      <c r="D24" s="141">
        <v>0</v>
      </c>
      <c r="E24" s="141">
        <v>0</v>
      </c>
      <c r="F24" s="141">
        <v>0.28050000000000003</v>
      </c>
      <c r="G24" s="141">
        <v>1.1907000000000001</v>
      </c>
      <c r="H24" s="141">
        <v>1.1907000000000001</v>
      </c>
      <c r="I24" s="141">
        <v>0</v>
      </c>
      <c r="J24" s="141">
        <v>0</v>
      </c>
      <c r="K24" s="141">
        <v>0</v>
      </c>
      <c r="L24" s="141">
        <v>0</v>
      </c>
      <c r="M24" s="142">
        <v>0</v>
      </c>
    </row>
    <row r="25" spans="2:13" ht="15">
      <c r="B25" s="173"/>
      <c r="C25" s="135" t="s">
        <v>5</v>
      </c>
      <c r="D25" s="136">
        <f t="shared" si="6" ref="D25:E25">SUM(D23:D24)</f>
        <v>0</v>
      </c>
      <c r="E25" s="136">
        <f t="shared" si="6"/>
        <v>0</v>
      </c>
      <c r="F25" s="136">
        <f t="shared" si="7" ref="F25:M25">SUM(F23:F24)</f>
        <v>9.3499999999999996</v>
      </c>
      <c r="G25" s="136">
        <f t="shared" si="7"/>
        <v>39.689999999999998</v>
      </c>
      <c r="H25" s="136">
        <f t="shared" si="7"/>
        <v>39.689999999999998</v>
      </c>
      <c r="I25" s="136">
        <f t="shared" si="7"/>
        <v>0</v>
      </c>
      <c r="J25" s="136">
        <f t="shared" si="7"/>
        <v>0</v>
      </c>
      <c r="K25" s="136">
        <f t="shared" si="7"/>
        <v>0</v>
      </c>
      <c r="L25" s="136">
        <f t="shared" si="7"/>
        <v>0</v>
      </c>
      <c r="M25" s="136">
        <f t="shared" si="7"/>
        <v>0</v>
      </c>
    </row>
    <row r="26" spans="2:13" ht="15" customHeight="1">
      <c r="B26" s="171" t="s">
        <v>15</v>
      </c>
      <c r="C26" s="130" t="s">
        <v>2</v>
      </c>
      <c r="D26" s="139">
        <v>0.59951833333333326</v>
      </c>
      <c r="E26" s="139">
        <v>0.59951833333333326</v>
      </c>
      <c r="F26" s="139">
        <v>0.59951833333333326</v>
      </c>
      <c r="G26" s="139">
        <v>0.59951833333333326</v>
      </c>
      <c r="H26" s="139">
        <v>0.59951833333333326</v>
      </c>
      <c r="I26" s="139">
        <v>0.81814333333333322</v>
      </c>
      <c r="J26" s="139">
        <v>0.81814333333333322</v>
      </c>
      <c r="K26" s="139">
        <v>0.81814333333333322</v>
      </c>
      <c r="L26" s="139">
        <v>0.81814333333333322</v>
      </c>
      <c r="M26" s="140">
        <v>0.81814333333333322</v>
      </c>
    </row>
    <row r="27" spans="2:13" ht="15">
      <c r="B27" s="172"/>
      <c r="C27" s="129" t="s">
        <v>3</v>
      </c>
      <c r="D27" s="141">
        <v>0.017481666666666666</v>
      </c>
      <c r="E27" s="141">
        <v>0.017481666666666666</v>
      </c>
      <c r="F27" s="141">
        <v>0.017481666666666666</v>
      </c>
      <c r="G27" s="141">
        <v>0.017481666666666666</v>
      </c>
      <c r="H27" s="141">
        <v>0.017481666666666666</v>
      </c>
      <c r="I27" s="141">
        <v>0.023856666666666661</v>
      </c>
      <c r="J27" s="141">
        <v>0.023856666666666661</v>
      </c>
      <c r="K27" s="141">
        <v>0.023856666666666661</v>
      </c>
      <c r="L27" s="141">
        <v>0.023856666666666661</v>
      </c>
      <c r="M27" s="142">
        <v>0.023856666666666661</v>
      </c>
    </row>
    <row r="28" spans="2:13" ht="15">
      <c r="B28" s="173"/>
      <c r="C28" s="135" t="s">
        <v>5</v>
      </c>
      <c r="D28" s="136">
        <f>SUM(D26:D27)</f>
        <v>0.61699999999999988</v>
      </c>
      <c r="E28" s="136">
        <f t="shared" si="8" ref="E28:M28">SUM(E26:E27)</f>
        <v>0.61699999999999988</v>
      </c>
      <c r="F28" s="136">
        <f t="shared" si="8"/>
        <v>0.61699999999999988</v>
      </c>
      <c r="G28" s="136">
        <f t="shared" si="8"/>
        <v>0.61699999999999988</v>
      </c>
      <c r="H28" s="136">
        <f t="shared" si="8"/>
        <v>0.61699999999999988</v>
      </c>
      <c r="I28" s="136">
        <f t="shared" si="8"/>
        <v>0.84199999999999986</v>
      </c>
      <c r="J28" s="136">
        <f t="shared" si="8"/>
        <v>0.84199999999999986</v>
      </c>
      <c r="K28" s="136">
        <f t="shared" si="8"/>
        <v>0.84199999999999986</v>
      </c>
      <c r="L28" s="136">
        <f t="shared" si="8"/>
        <v>0.84199999999999986</v>
      </c>
      <c r="M28" s="136">
        <f t="shared" si="8"/>
        <v>0.84199999999999986</v>
      </c>
    </row>
    <row r="29" spans="2:13" ht="15" customHeight="1">
      <c r="B29" s="174" t="s">
        <v>16</v>
      </c>
      <c r="C29" s="130" t="s">
        <v>2</v>
      </c>
      <c r="D29" s="133">
        <v>0.18999999999999997</v>
      </c>
      <c r="E29" s="133">
        <v>0.19569999999999996</v>
      </c>
      <c r="F29" s="133">
        <v>0.20157099999999997</v>
      </c>
      <c r="G29" s="133">
        <v>0.20761812999999998</v>
      </c>
      <c r="H29" s="133">
        <v>0.21384667389999995</v>
      </c>
      <c r="I29" s="133">
        <v>0.22026207411699994</v>
      </c>
      <c r="J29" s="133">
        <v>0.22686993634050998</v>
      </c>
      <c r="K29" s="133">
        <v>0.23367603443072529</v>
      </c>
      <c r="L29" s="133">
        <v>0.24068631546364699</v>
      </c>
      <c r="M29" s="134">
        <v>0.2479069049275564</v>
      </c>
    </row>
    <row r="30" spans="2:13" ht="15">
      <c r="B30" s="175"/>
      <c r="C30" s="129" t="s">
        <v>3</v>
      </c>
      <c r="D30" s="131">
        <v>0.01</v>
      </c>
      <c r="E30" s="131">
        <v>0.010299999999999998</v>
      </c>
      <c r="F30" s="131">
        <v>0.010608999999999999</v>
      </c>
      <c r="G30" s="131">
        <v>0.010927270000000001</v>
      </c>
      <c r="H30" s="131">
        <v>0.011255088099999999</v>
      </c>
      <c r="I30" s="131">
        <v>0.011592740742999999</v>
      </c>
      <c r="J30" s="131">
        <v>0.011940522965289999</v>
      </c>
      <c r="K30" s="131">
        <v>0.0122987386542487</v>
      </c>
      <c r="L30" s="131">
        <v>0.01266770081387616</v>
      </c>
      <c r="M30" s="132">
        <v>0.013047731838292446</v>
      </c>
    </row>
    <row r="31" spans="2:13" ht="15.75" thickBot="1">
      <c r="B31" s="176"/>
      <c r="C31" s="137" t="s">
        <v>5</v>
      </c>
      <c r="D31" s="138">
        <f>SUM(D29:D30)</f>
        <v>0.19999999999999998</v>
      </c>
      <c r="E31" s="138">
        <f t="shared" si="9" ref="E31:M31">SUM(E29:E30)</f>
        <v>0.20599999999999996</v>
      </c>
      <c r="F31" s="138">
        <f t="shared" si="9"/>
        <v>0.21217999999999998</v>
      </c>
      <c r="G31" s="138">
        <f t="shared" si="9"/>
        <v>0.21854539999999997</v>
      </c>
      <c r="H31" s="138">
        <f t="shared" si="9"/>
        <v>0.22510176199999996</v>
      </c>
      <c r="I31" s="138">
        <f t="shared" si="9"/>
        <v>0.23185481485999992</v>
      </c>
      <c r="J31" s="138">
        <f t="shared" si="9"/>
        <v>0.23881045930579997</v>
      </c>
      <c r="K31" s="138">
        <f t="shared" si="9"/>
        <v>0.24597477308497401</v>
      </c>
      <c r="L31" s="138">
        <f t="shared" si="9"/>
        <v>0.25335401627752313</v>
      </c>
      <c r="M31" s="138">
        <f t="shared" si="9"/>
        <v>0.26095463676584885</v>
      </c>
    </row>
    <row r="32" spans="2:13" ht="15.75" thickTop="1">
      <c r="B32" s="168" t="s">
        <v>17</v>
      </c>
      <c r="C32" s="119" t="s">
        <v>2</v>
      </c>
      <c r="D32" s="120">
        <f>SUM(D20,D5,D8,D11,D14,D17,D23,D26,D29)</f>
        <v>2.3137401355015648</v>
      </c>
      <c r="E32" s="120">
        <f t="shared" si="10" ref="E32:M32">SUM(E20,E5,E8,E11,E14,E17,E23,E26,E29)</f>
        <v>6.7001239571804607</v>
      </c>
      <c r="F32" s="120">
        <f t="shared" si="10"/>
        <v>16.86399894809799</v>
      </c>
      <c r="G32" s="120">
        <f t="shared" si="10"/>
        <v>54.23239549792855</v>
      </c>
      <c r="H32" s="120">
        <f t="shared" si="10"/>
        <v>53.198125278610235</v>
      </c>
      <c r="I32" s="120">
        <f t="shared" si="10"/>
        <v>19.94909949631861</v>
      </c>
      <c r="J32" s="120">
        <f t="shared" si="10"/>
        <v>19.614921692802852</v>
      </c>
      <c r="K32" s="120">
        <f t="shared" si="10"/>
        <v>19.798576559846126</v>
      </c>
      <c r="L32" s="120">
        <f t="shared" si="10"/>
        <v>25.250053131488652</v>
      </c>
      <c r="M32" s="120">
        <f t="shared" si="10"/>
        <v>25.198363542949021</v>
      </c>
    </row>
    <row r="33" spans="2:13" ht="15">
      <c r="B33" s="169"/>
      <c r="C33" s="119" t="s">
        <v>3</v>
      </c>
      <c r="D33" s="120">
        <f>SUM(D21,D6,D9,D12,D15,D18,D24,D27,D30)</f>
        <v>1.3927308314360658</v>
      </c>
      <c r="E33" s="120">
        <f t="shared" si="11" ref="E33:M33">SUM(E21,E6,E9,E12,E15,E18,E24,E27,E30)</f>
        <v>1.5575334166522365</v>
      </c>
      <c r="F33" s="120">
        <f t="shared" si="11"/>
        <v>1.8816799947250533</v>
      </c>
      <c r="G33" s="120">
        <f t="shared" si="11"/>
        <v>3.0008155983312625</v>
      </c>
      <c r="H33" s="120">
        <f t="shared" si="11"/>
        <v>2.9322437959225582</v>
      </c>
      <c r="I33" s="120">
        <f t="shared" si="11"/>
        <v>1.8390999869561782</v>
      </c>
      <c r="J33" s="120">
        <f t="shared" si="11"/>
        <v>1.7797789303073592</v>
      </c>
      <c r="K33" s="120">
        <f t="shared" si="11"/>
        <v>1.7763283450361034</v>
      </c>
      <c r="L33" s="120">
        <f t="shared" si="11"/>
        <v>1.9450828625754093</v>
      </c>
      <c r="M33" s="120">
        <f t="shared" si="11"/>
        <v>1.9158058777852829</v>
      </c>
    </row>
    <row r="34" spans="2:13" ht="15.75" thickBot="1">
      <c r="B34" s="170"/>
      <c r="C34" s="121" t="s">
        <v>5</v>
      </c>
      <c r="D34" s="122">
        <f>SUM(D32:D33)</f>
        <v>3.7064709669376308</v>
      </c>
      <c r="E34" s="122">
        <f t="shared" si="12" ref="E34:M34">SUM(E32:E33)</f>
        <v>8.2576573738326964</v>
      </c>
      <c r="F34" s="122">
        <f t="shared" si="12"/>
        <v>18.745678942823044</v>
      </c>
      <c r="G34" s="122">
        <f>SUM(G32:G33)</f>
        <v>57.233211096259815</v>
      </c>
      <c r="H34" s="122">
        <f t="shared" si="12"/>
        <v>56.130369074532794</v>
      </c>
      <c r="I34" s="122">
        <f t="shared" si="12"/>
        <v>21.788199483274788</v>
      </c>
      <c r="J34" s="122">
        <f t="shared" si="12"/>
        <v>21.394700623110211</v>
      </c>
      <c r="K34" s="122">
        <f t="shared" si="12"/>
        <v>21.574904904882228</v>
      </c>
      <c r="L34" s="122">
        <f t="shared" si="12"/>
        <v>27.19513599406406</v>
      </c>
      <c r="M34" s="123">
        <f t="shared" si="12"/>
        <v>27.114169420734303</v>
      </c>
    </row>
    <row r="36" spans="2:14" ht="18.75">
      <c r="B36" s="119" t="s">
        <v>2</v>
      </c>
      <c r="D36" s="127">
        <f>D32*1000000</f>
        <v>2313740.1355015649</v>
      </c>
      <c r="E36" s="127">
        <f>E32*1000000</f>
        <v>6700123.9571804609</v>
      </c>
      <c r="F36" s="127">
        <f t="shared" si="13" ref="F36:M36">F32*1000000</f>
        <v>16863998.948097989</v>
      </c>
      <c r="G36" s="127">
        <f t="shared" si="13"/>
        <v>54232395.497928552</v>
      </c>
      <c r="H36" s="127">
        <f t="shared" si="13"/>
        <v>53198125.278610237</v>
      </c>
      <c r="I36" s="127">
        <f t="shared" si="13"/>
        <v>19949099.496318609</v>
      </c>
      <c r="J36" s="127">
        <f t="shared" si="13"/>
        <v>19614921.692802854</v>
      </c>
      <c r="K36" s="127">
        <f t="shared" si="13"/>
        <v>19798576.559846126</v>
      </c>
      <c r="L36" s="127">
        <f t="shared" si="13"/>
        <v>25250053.131488651</v>
      </c>
      <c r="M36" s="127">
        <f t="shared" si="13"/>
        <v>25198363.542949021</v>
      </c>
      <c r="N36" s="126"/>
    </row>
    <row r="37" spans="2:14" ht="18.75">
      <c r="B37" s="119" t="s">
        <v>3</v>
      </c>
      <c r="D37" s="127">
        <f t="shared" si="14" ref="D37:M38">D33*1000000</f>
        <v>1392730.8314360657</v>
      </c>
      <c r="E37" s="127">
        <f t="shared" si="14"/>
        <v>1557533.4166522366</v>
      </c>
      <c r="F37" s="127">
        <f t="shared" si="14"/>
        <v>1881679.9947250534</v>
      </c>
      <c r="G37" s="127">
        <f t="shared" si="14"/>
        <v>3000815.5983312624</v>
      </c>
      <c r="H37" s="127">
        <f t="shared" si="14"/>
        <v>2932243.7959225583</v>
      </c>
      <c r="I37" s="127">
        <f t="shared" si="14"/>
        <v>1839099.9869561782</v>
      </c>
      <c r="J37" s="127">
        <f t="shared" si="14"/>
        <v>1779778.9303073592</v>
      </c>
      <c r="K37" s="127">
        <f t="shared" si="14"/>
        <v>1776328.3450361034</v>
      </c>
      <c r="L37" s="127">
        <f t="shared" si="14"/>
        <v>1945082.8625754092</v>
      </c>
      <c r="M37" s="127">
        <f t="shared" si="14"/>
        <v>1915805.8777852829</v>
      </c>
      <c r="N37" s="126"/>
    </row>
    <row r="38" spans="2:14" ht="19.5" thickBot="1">
      <c r="B38" s="121" t="s">
        <v>5</v>
      </c>
      <c r="D38" s="127">
        <f t="shared" si="14"/>
        <v>3706470.9669376309</v>
      </c>
      <c r="E38" s="127">
        <f t="shared" si="14"/>
        <v>8257657.3738326961</v>
      </c>
      <c r="F38" s="127">
        <f t="shared" si="14"/>
        <v>18745678.942823045</v>
      </c>
      <c r="G38" s="127">
        <f t="shared" si="14"/>
        <v>57233211.096259817</v>
      </c>
      <c r="H38" s="127">
        <f t="shared" si="14"/>
        <v>56130369.074532792</v>
      </c>
      <c r="I38" s="127">
        <f t="shared" si="14"/>
        <v>21788199.483274788</v>
      </c>
      <c r="J38" s="127">
        <f t="shared" si="14"/>
        <v>21394700.623110212</v>
      </c>
      <c r="K38" s="127">
        <f t="shared" si="14"/>
        <v>21574904.904882226</v>
      </c>
      <c r="L38" s="127">
        <f t="shared" si="14"/>
        <v>27195135.994064059</v>
      </c>
      <c r="M38" s="127">
        <f t="shared" si="14"/>
        <v>27114169.420734301</v>
      </c>
      <c r="N38" s="126"/>
    </row>
  </sheetData>
  <mergeCells count="11">
    <mergeCell ref="B32:B34"/>
    <mergeCell ref="B26:B28"/>
    <mergeCell ref="B29:B31"/>
    <mergeCell ref="B3:M3"/>
    <mergeCell ref="B5:B7"/>
    <mergeCell ref="B8:B10"/>
    <mergeCell ref="B11:B13"/>
    <mergeCell ref="B14:B16"/>
    <mergeCell ref="B17:B19"/>
    <mergeCell ref="B23:B25"/>
    <mergeCell ref="B20:B22"/>
  </mergeCells>
  <pageMargins left="0.25" right="0.25" top="0.75" bottom="0.75" header="0.3" footer="0.3"/>
  <pageSetup orientation="landscape" scale="55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N58"/>
  <sheetViews>
    <sheetView zoomScale="150" zoomScaleNormal="150" workbookViewId="0" topLeftCell="F17">
      <selection pane="topLeft" activeCell="N40" sqref="N40"/>
    </sheetView>
  </sheetViews>
  <sheetFormatPr defaultColWidth="9.14428571428571" defaultRowHeight="15"/>
  <cols>
    <col min="1" max="1" width="3.28571428571429" style="84" customWidth="1"/>
    <col min="2" max="2" width="48.5714285714286" style="84" customWidth="1"/>
    <col min="3" max="3" width="14.4285714285714" style="84" customWidth="1"/>
    <col min="4" max="4" width="14.1428571428571" style="84" customWidth="1"/>
    <col min="5" max="5" width="15.8571428571429" style="84" hidden="1" customWidth="1"/>
    <col min="6" max="6" width="11.2857142857143" style="84" customWidth="1"/>
    <col min="7" max="7" width="11.8571428571429" style="84" hidden="1" customWidth="1"/>
    <col min="8" max="8" width="12.7142857142857" style="84" customWidth="1"/>
    <col min="9" max="9" width="10.8571428571429" style="84" customWidth="1"/>
    <col min="10" max="10" width="10.5714285714286" style="84" customWidth="1"/>
    <col min="11" max="11" width="11.8571428571429" style="84" bestFit="1" customWidth="1"/>
    <col min="12" max="12" width="12.8571428571429" style="84" customWidth="1"/>
    <col min="13" max="13" width="10.4285714285714" style="84" customWidth="1"/>
    <col min="14" max="14" width="10.8571428571429" style="84" customWidth="1"/>
    <col min="15" max="16384" width="9.14285714285714" style="84"/>
  </cols>
  <sheetData>
    <row r="1" spans="1:12" ht="15" customHeight="1">
      <c r="A1" s="185" t="s">
        <v>67</v>
      </c>
      <c r="B1" s="185"/>
      <c r="C1" s="185"/>
      <c r="D1" s="185"/>
      <c r="E1" s="185"/>
      <c r="L1" s="85" t="s">
        <v>183</v>
      </c>
    </row>
    <row r="2" spans="1:12" ht="15">
      <c r="A2" s="186" t="s">
        <v>141</v>
      </c>
      <c r="B2" s="186"/>
      <c r="C2" s="186"/>
      <c r="D2" s="186"/>
      <c r="E2" s="186"/>
      <c r="L2" s="85" t="s">
        <v>142</v>
      </c>
    </row>
    <row r="3" spans="1:12" ht="15">
      <c r="A3" s="186" t="s">
        <v>143</v>
      </c>
      <c r="B3" s="186"/>
      <c r="C3" s="186"/>
      <c r="D3" s="186"/>
      <c r="E3" s="186"/>
      <c r="L3" s="85"/>
    </row>
    <row r="4" spans="1:12" ht="15">
      <c r="A4" s="186" t="s">
        <v>184</v>
      </c>
      <c r="B4" s="186"/>
      <c r="C4" s="186"/>
      <c r="D4" s="186"/>
      <c r="E4" s="186"/>
      <c r="L4" s="85"/>
    </row>
    <row r="5" spans="1:5" ht="15">
      <c r="A5" s="186" t="s">
        <v>145</v>
      </c>
      <c r="B5" s="186"/>
      <c r="C5" s="186"/>
      <c r="D5" s="186"/>
      <c r="E5" s="186"/>
    </row>
    <row r="8" ht="15.75" thickBot="1"/>
    <row r="9" spans="1:14" ht="15.75" thickBot="1">
      <c r="A9" s="86" t="s">
        <v>146</v>
      </c>
      <c r="B9" s="85" t="s">
        <v>185</v>
      </c>
      <c r="C9" s="87"/>
      <c r="D9" s="87"/>
      <c r="E9" s="108"/>
      <c r="F9" s="88">
        <f>'Estimated Rev Req - bs'!F30</f>
        <v>3853888.9947250532</v>
      </c>
      <c r="G9" s="87"/>
      <c r="H9" s="87"/>
      <c r="I9" s="89"/>
      <c r="J9" s="87"/>
      <c r="K9" s="87"/>
      <c r="L9" s="85"/>
      <c r="M9" s="85"/>
      <c r="N9" s="85"/>
    </row>
    <row r="10" spans="1:14" ht="15">
      <c r="A10" s="86"/>
      <c r="B10" s="85" t="s">
        <v>48</v>
      </c>
      <c r="C10" s="90">
        <f>'Cons Dep Rate'!D2</f>
        <v>0.08738745172175022</v>
      </c>
      <c r="D10" s="91">
        <f>F$9*C10</f>
        <v>336781.53846752009</v>
      </c>
      <c r="E10" s="92"/>
      <c r="F10" s="85"/>
      <c r="G10" s="87"/>
      <c r="H10" s="87"/>
      <c r="I10" s="89"/>
      <c r="J10" s="87"/>
      <c r="K10" s="87"/>
      <c r="L10" s="85"/>
      <c r="M10" s="85"/>
      <c r="N10" s="85"/>
    </row>
    <row r="11" spans="1:14" ht="15">
      <c r="A11" s="86"/>
      <c r="B11" s="85" t="s">
        <v>49</v>
      </c>
      <c r="C11" s="90">
        <f>'Cons Dep Rate'!D3</f>
        <v>0.13143658889593543</v>
      </c>
      <c r="D11" s="91">
        <f t="shared" si="0" ref="D11:D16">F$9*C11</f>
        <v>506542.02345024666</v>
      </c>
      <c r="E11" s="92"/>
      <c r="F11" s="85"/>
      <c r="G11" s="87"/>
      <c r="H11" s="87"/>
      <c r="I11" s="89"/>
      <c r="J11" s="87"/>
      <c r="K11" s="87"/>
      <c r="L11" s="85"/>
      <c r="M11" s="85"/>
      <c r="N11" s="85"/>
    </row>
    <row r="12" spans="1:14" ht="15">
      <c r="A12" s="86"/>
      <c r="B12" s="85" t="s">
        <v>50</v>
      </c>
      <c r="C12" s="90">
        <f>'Cons Dep Rate'!D4</f>
        <v>0.26687060101674964</v>
      </c>
      <c r="D12" s="91">
        <f t="shared" si="0"/>
        <v>1028489.672274112</v>
      </c>
      <c r="E12" s="92"/>
      <c r="F12" s="85"/>
      <c r="G12" s="87"/>
      <c r="H12" s="87"/>
      <c r="I12" s="89"/>
      <c r="J12" s="87"/>
      <c r="K12" s="87"/>
      <c r="L12" s="85"/>
      <c r="M12" s="85"/>
      <c r="N12" s="85"/>
    </row>
    <row r="13" spans="1:14" ht="15">
      <c r="A13" s="86"/>
      <c r="B13" s="85" t="s">
        <v>51</v>
      </c>
      <c r="C13" s="90">
        <f>'Cons Dep Rate'!D5</f>
        <v>0.21175145885771704</v>
      </c>
      <c r="D13" s="91">
        <f t="shared" si="0"/>
        <v>816066.61690873059</v>
      </c>
      <c r="E13" s="92"/>
      <c r="F13" s="85"/>
      <c r="G13" s="87"/>
      <c r="H13" s="87"/>
      <c r="I13" s="89"/>
      <c r="J13" s="87"/>
      <c r="K13" s="87"/>
      <c r="L13" s="85"/>
      <c r="M13" s="85"/>
      <c r="N13" s="85"/>
    </row>
    <row r="14" spans="1:14" ht="15">
      <c r="A14" s="86"/>
      <c r="B14" s="85" t="s">
        <v>52</v>
      </c>
      <c r="C14" s="90">
        <f>'Cons Dep Rate'!D6</f>
        <v>0.075787480911102226</v>
      </c>
      <c r="D14" s="91">
        <f t="shared" si="0"/>
        <v>292076.53862123191</v>
      </c>
      <c r="E14" s="92"/>
      <c r="F14" s="85"/>
      <c r="G14" s="87"/>
      <c r="H14" s="87"/>
      <c r="I14" s="89"/>
      <c r="J14" s="87"/>
      <c r="K14" s="87"/>
      <c r="L14" s="85"/>
      <c r="M14" s="85"/>
      <c r="N14" s="85"/>
    </row>
    <row r="15" spans="1:14" ht="15">
      <c r="A15" s="86"/>
      <c r="B15" s="85" t="s">
        <v>53</v>
      </c>
      <c r="C15" s="90">
        <f>'Cons Dep Rate'!D7</f>
        <v>0.097585928179103568</v>
      </c>
      <c r="D15" s="91">
        <f t="shared" si="0"/>
        <v>376085.33464947669</v>
      </c>
      <c r="E15" s="92"/>
      <c r="F15" s="85"/>
      <c r="G15" s="87"/>
      <c r="H15" s="87"/>
      <c r="I15" s="89"/>
      <c r="J15" s="87"/>
      <c r="K15" s="87"/>
      <c r="L15" s="85"/>
      <c r="M15" s="85"/>
      <c r="N15" s="85"/>
    </row>
    <row r="16" spans="1:14" ht="15">
      <c r="A16" s="86"/>
      <c r="B16" s="85" t="s">
        <v>54</v>
      </c>
      <c r="C16" s="90">
        <f>'Cons Dep Rate'!D8</f>
        <v>0.12918049041764196</v>
      </c>
      <c r="D16" s="91">
        <f t="shared" si="0"/>
        <v>497847.27035373554</v>
      </c>
      <c r="E16" s="92"/>
      <c r="F16" s="85"/>
      <c r="G16" s="87"/>
      <c r="H16" s="87"/>
      <c r="I16" s="89"/>
      <c r="J16" s="87"/>
      <c r="K16" s="87"/>
      <c r="L16" s="85"/>
      <c r="M16" s="85"/>
      <c r="N16" s="85"/>
    </row>
    <row r="17" spans="1:14" ht="15.75" thickBot="1">
      <c r="A17" s="85"/>
      <c r="B17" s="85" t="s">
        <v>148</v>
      </c>
      <c r="C17" s="85"/>
      <c r="D17" s="93">
        <f>SUM(D10:D16)</f>
        <v>3853888.9947250532</v>
      </c>
      <c r="E17" s="85"/>
      <c r="F17" s="85"/>
      <c r="G17" s="87"/>
      <c r="H17" s="87"/>
      <c r="I17" s="89"/>
      <c r="J17" s="87"/>
      <c r="K17" s="87"/>
      <c r="L17" s="85"/>
      <c r="M17" s="85"/>
      <c r="N17" s="85"/>
    </row>
    <row r="18" spans="1:14" ht="15.75" thickTop="1">
      <c r="A18" s="86"/>
      <c r="B18" s="85"/>
      <c r="C18" s="87"/>
      <c r="D18" s="91"/>
      <c r="E18" s="92"/>
      <c r="F18" s="85"/>
      <c r="G18" s="87"/>
      <c r="H18" s="87"/>
      <c r="I18" s="87"/>
      <c r="J18" s="87"/>
      <c r="K18" s="87"/>
      <c r="L18" s="85"/>
      <c r="M18" s="85"/>
      <c r="N18" s="85"/>
    </row>
    <row r="19" spans="1:14" ht="15" hidden="1">
      <c r="A19" s="86" t="s">
        <v>149</v>
      </c>
      <c r="B19" s="85" t="s">
        <v>150</v>
      </c>
      <c r="C19" s="87"/>
      <c r="D19" s="91"/>
      <c r="E19" s="88"/>
      <c r="F19" s="85"/>
      <c r="G19" s="87"/>
      <c r="H19" s="87"/>
      <c r="I19" s="87"/>
      <c r="J19" s="87"/>
      <c r="K19" s="87"/>
      <c r="L19" s="85"/>
      <c r="M19" s="85"/>
      <c r="N19" s="85"/>
    </row>
    <row r="20" spans="1:14" ht="15">
      <c r="A20" s="86" t="s">
        <v>149</v>
      </c>
      <c r="B20" s="85" t="s">
        <v>186</v>
      </c>
      <c r="C20" s="87"/>
      <c r="D20" s="91"/>
      <c r="E20" s="88"/>
      <c r="F20" s="88">
        <v>0</v>
      </c>
      <c r="G20" s="87"/>
      <c r="H20" s="87"/>
      <c r="I20" s="87" t="s">
        <v>89</v>
      </c>
      <c r="J20" s="87"/>
      <c r="K20" s="87"/>
      <c r="L20" s="85"/>
      <c r="M20" s="85"/>
      <c r="N20" s="85"/>
    </row>
    <row r="21" spans="1:14" ht="15">
      <c r="A21" s="86"/>
      <c r="B21" s="85"/>
      <c r="C21" s="87"/>
      <c r="D21" s="91"/>
      <c r="E21" s="92"/>
      <c r="F21" s="85"/>
      <c r="G21" s="87"/>
      <c r="H21" s="87"/>
      <c r="I21" s="87"/>
      <c r="J21" s="87"/>
      <c r="K21" s="87"/>
      <c r="L21" s="85"/>
      <c r="M21" s="85"/>
      <c r="N21" s="85"/>
    </row>
    <row r="22" spans="1:14" ht="15">
      <c r="A22" s="86" t="s">
        <v>152</v>
      </c>
      <c r="B22" s="85" t="s">
        <v>187</v>
      </c>
      <c r="C22" s="87"/>
      <c r="D22" s="91"/>
      <c r="F22" s="88">
        <f>F9+F20</f>
        <v>3853888.9947250532</v>
      </c>
      <c r="G22" s="87"/>
      <c r="H22" s="87"/>
      <c r="I22" s="87"/>
      <c r="J22" s="87"/>
      <c r="K22" s="87"/>
      <c r="L22" s="85"/>
      <c r="M22" s="85"/>
      <c r="N22" s="85"/>
    </row>
    <row r="23" spans="1:14" ht="15">
      <c r="A23" s="86"/>
      <c r="B23" s="85" t="s">
        <v>48</v>
      </c>
      <c r="C23" s="90">
        <f>C10</f>
        <v>0.08738745172175022</v>
      </c>
      <c r="D23" s="91">
        <f>F$22*C23</f>
        <v>336781.53846752009</v>
      </c>
      <c r="E23" s="92"/>
      <c r="F23" s="85"/>
      <c r="G23" s="87"/>
      <c r="H23" s="87"/>
      <c r="I23" s="87"/>
      <c r="J23" s="87"/>
      <c r="K23" s="87"/>
      <c r="L23" s="85"/>
      <c r="M23" s="85"/>
      <c r="N23" s="85"/>
    </row>
    <row r="24" spans="1:14" ht="15">
      <c r="A24" s="86"/>
      <c r="B24" s="85" t="s">
        <v>49</v>
      </c>
      <c r="C24" s="90">
        <f t="shared" si="1" ref="C24:C29">C11</f>
        <v>0.13143658889593543</v>
      </c>
      <c r="D24" s="91">
        <f t="shared" si="2" ref="D24:D29">F$22*C24</f>
        <v>506542.02345024666</v>
      </c>
      <c r="E24" s="92"/>
      <c r="F24" s="85"/>
      <c r="G24" s="87"/>
      <c r="H24" s="87"/>
      <c r="I24" s="87"/>
      <c r="J24" s="87"/>
      <c r="K24" s="87"/>
      <c r="L24" s="85"/>
      <c r="M24" s="85"/>
      <c r="N24" s="85"/>
    </row>
    <row r="25" spans="1:14" ht="15">
      <c r="A25" s="86"/>
      <c r="B25" s="85" t="s">
        <v>50</v>
      </c>
      <c r="C25" s="90">
        <f t="shared" si="1"/>
        <v>0.26687060101674964</v>
      </c>
      <c r="D25" s="91">
        <f t="shared" si="2"/>
        <v>1028489.672274112</v>
      </c>
      <c r="E25" s="92"/>
      <c r="F25" s="85"/>
      <c r="G25" s="87"/>
      <c r="H25" s="87"/>
      <c r="I25" s="87"/>
      <c r="J25" s="87"/>
      <c r="K25" s="87"/>
      <c r="L25" s="85"/>
      <c r="M25" s="85"/>
      <c r="N25" s="85"/>
    </row>
    <row r="26" spans="1:14" ht="15">
      <c r="A26" s="86"/>
      <c r="B26" s="85" t="s">
        <v>51</v>
      </c>
      <c r="C26" s="90">
        <f t="shared" si="1"/>
        <v>0.21175145885771704</v>
      </c>
      <c r="D26" s="91">
        <f t="shared" si="2"/>
        <v>816066.61690873059</v>
      </c>
      <c r="E26" s="92"/>
      <c r="F26" s="85"/>
      <c r="G26" s="87"/>
      <c r="H26" s="87"/>
      <c r="I26" s="87"/>
      <c r="J26" s="87"/>
      <c r="K26" s="87"/>
      <c r="L26" s="85"/>
      <c r="M26" s="85"/>
      <c r="N26" s="85"/>
    </row>
    <row r="27" spans="1:14" ht="15">
      <c r="A27" s="86"/>
      <c r="B27" s="85" t="s">
        <v>52</v>
      </c>
      <c r="C27" s="90">
        <f t="shared" si="1"/>
        <v>0.075787480911102226</v>
      </c>
      <c r="D27" s="91">
        <f t="shared" si="2"/>
        <v>292076.53862123191</v>
      </c>
      <c r="E27" s="92"/>
      <c r="F27" s="85"/>
      <c r="G27" s="87"/>
      <c r="H27" s="87"/>
      <c r="I27" s="87"/>
      <c r="J27" s="87"/>
      <c r="K27" s="87"/>
      <c r="L27" s="85"/>
      <c r="M27" s="85"/>
      <c r="N27" s="85"/>
    </row>
    <row r="28" spans="1:14" ht="15">
      <c r="A28" s="86"/>
      <c r="B28" s="85" t="s">
        <v>53</v>
      </c>
      <c r="C28" s="90">
        <f t="shared" si="1"/>
        <v>0.097585928179103568</v>
      </c>
      <c r="D28" s="91">
        <f t="shared" si="2"/>
        <v>376085.33464947669</v>
      </c>
      <c r="E28" s="92"/>
      <c r="F28" s="85"/>
      <c r="G28" s="87"/>
      <c r="H28" s="87"/>
      <c r="I28" s="87"/>
      <c r="J28" s="87"/>
      <c r="K28" s="87"/>
      <c r="L28" s="85"/>
      <c r="M28" s="85"/>
      <c r="N28" s="85"/>
    </row>
    <row r="29" spans="1:14" ht="15">
      <c r="A29" s="86"/>
      <c r="B29" s="85" t="s">
        <v>54</v>
      </c>
      <c r="C29" s="90">
        <f t="shared" si="1"/>
        <v>0.12918049041764196</v>
      </c>
      <c r="D29" s="91">
        <f t="shared" si="2"/>
        <v>497847.27035373554</v>
      </c>
      <c r="E29" s="92"/>
      <c r="F29" s="85"/>
      <c r="G29" s="87"/>
      <c r="H29" s="87"/>
      <c r="I29" s="87"/>
      <c r="J29" s="87"/>
      <c r="K29" s="87"/>
      <c r="L29" s="85"/>
      <c r="M29" s="85"/>
      <c r="N29" s="85"/>
    </row>
    <row r="30" spans="1:14" ht="15.75" thickBot="1">
      <c r="A30" s="86"/>
      <c r="B30" s="85" t="s">
        <v>148</v>
      </c>
      <c r="C30" s="87"/>
      <c r="D30" s="93">
        <f>SUM(D23:D29)</f>
        <v>3853888.9947250532</v>
      </c>
      <c r="E30" s="92"/>
      <c r="F30" s="85"/>
      <c r="G30" s="87"/>
      <c r="H30" s="87"/>
      <c r="I30" s="87"/>
      <c r="J30" s="87"/>
      <c r="K30" s="87"/>
      <c r="L30" s="85"/>
      <c r="M30" s="85"/>
      <c r="N30" s="85"/>
    </row>
    <row r="31" spans="1:14" ht="15.75" thickTop="1">
      <c r="A31" s="85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5"/>
      <c r="M31" s="85"/>
      <c r="N31" s="85"/>
    </row>
    <row r="32" spans="1:14" ht="15">
      <c r="A32" s="85"/>
      <c r="B32" s="87"/>
      <c r="C32" s="87"/>
      <c r="D32" s="87"/>
      <c r="E32" s="87"/>
      <c r="F32" s="87"/>
      <c r="G32" s="94"/>
      <c r="H32" s="95"/>
      <c r="I32" s="87"/>
      <c r="J32" s="87"/>
      <c r="K32" s="87"/>
      <c r="L32" s="85"/>
      <c r="M32" s="85"/>
      <c r="N32" s="85"/>
    </row>
    <row r="33" spans="1:13" ht="15">
      <c r="A33" s="85"/>
      <c r="B33" s="87"/>
      <c r="C33" s="87"/>
      <c r="D33" s="87"/>
      <c r="E33" s="87"/>
      <c r="F33" s="94"/>
      <c r="G33" s="87"/>
      <c r="H33" s="94" t="s">
        <v>154</v>
      </c>
      <c r="I33" s="87"/>
      <c r="J33" s="96" t="s">
        <v>155</v>
      </c>
      <c r="K33" s="96" t="s">
        <v>156</v>
      </c>
      <c r="L33" s="96"/>
      <c r="M33" s="96" t="s">
        <v>157</v>
      </c>
    </row>
    <row r="34" spans="1:14" ht="15">
      <c r="A34" s="85"/>
      <c r="B34" s="94" t="s">
        <v>158</v>
      </c>
      <c r="C34" s="86" t="s">
        <v>188</v>
      </c>
      <c r="D34" s="94" t="s">
        <v>160</v>
      </c>
      <c r="E34" s="94" t="s">
        <v>161</v>
      </c>
      <c r="F34" s="94"/>
      <c r="G34" s="94"/>
      <c r="H34" s="94" t="s">
        <v>162</v>
      </c>
      <c r="I34" s="94" t="s">
        <v>163</v>
      </c>
      <c r="J34" s="96" t="s">
        <v>164</v>
      </c>
      <c r="K34" s="96" t="s">
        <v>165</v>
      </c>
      <c r="L34" s="96" t="s">
        <v>165</v>
      </c>
      <c r="M34" s="96" t="s">
        <v>166</v>
      </c>
      <c r="N34" s="85" t="s">
        <v>167</v>
      </c>
    </row>
    <row r="35" spans="1:14" ht="15">
      <c r="A35" s="85"/>
      <c r="B35" s="97" t="s">
        <v>168</v>
      </c>
      <c r="C35" s="97" t="s">
        <v>113</v>
      </c>
      <c r="D35" s="97" t="s">
        <v>169</v>
      </c>
      <c r="E35" s="97" t="s">
        <v>169</v>
      </c>
      <c r="F35" s="97" t="s">
        <v>170</v>
      </c>
      <c r="G35" s="97" t="s">
        <v>170</v>
      </c>
      <c r="H35" s="97" t="s">
        <v>113</v>
      </c>
      <c r="I35" s="97" t="s">
        <v>171</v>
      </c>
      <c r="J35" s="98" t="s">
        <v>172</v>
      </c>
      <c r="K35" s="98" t="s">
        <v>113</v>
      </c>
      <c r="L35" s="98" t="s">
        <v>173</v>
      </c>
      <c r="M35" s="99" t="s">
        <v>174</v>
      </c>
      <c r="N35" s="143" t="s">
        <v>175</v>
      </c>
    </row>
    <row r="36" spans="1:13" ht="15">
      <c r="A36" s="85"/>
      <c r="B36" s="87"/>
      <c r="C36" s="87"/>
      <c r="D36" s="87"/>
      <c r="E36" s="87"/>
      <c r="F36" s="87"/>
      <c r="G36" s="87"/>
      <c r="H36" s="87"/>
      <c r="I36" s="87"/>
      <c r="J36" s="87"/>
      <c r="K36" s="85"/>
      <c r="L36" s="85"/>
      <c r="M36" s="85"/>
    </row>
    <row r="37" spans="1:14" ht="15">
      <c r="A37" s="85"/>
      <c r="B37" s="87" t="s">
        <v>83</v>
      </c>
      <c r="C37" s="95">
        <f>'Budgeted Volumes and Margins '!J3</f>
        <v>317614866</v>
      </c>
      <c r="D37" s="100">
        <v>0.54224562856741398</v>
      </c>
      <c r="E37" s="100">
        <v>0</v>
      </c>
      <c r="F37" s="92">
        <f>D37*$F$55</f>
        <v>2089754.4603737257</v>
      </c>
      <c r="G37" s="92">
        <f>D37*$F$55</f>
        <v>2089754.4603737257</v>
      </c>
      <c r="H37" s="101">
        <f>G37/C37</f>
        <v>0.0065795234545908366</v>
      </c>
      <c r="I37" s="102">
        <v>1.0007200000000001</v>
      </c>
      <c r="J37" s="101">
        <f>H37*I37</f>
        <v>0.0065842607114781427</v>
      </c>
      <c r="K37" s="95">
        <f>'Annual usage per customer'!F23</f>
        <v>12000</v>
      </c>
      <c r="L37" s="103">
        <f>J37*K37</f>
        <v>79.011128537737719</v>
      </c>
      <c r="M37" s="164">
        <f>L37/12</f>
        <v>6.5842607114781435</v>
      </c>
      <c r="N37" s="128"/>
    </row>
    <row r="38" spans="1:13" ht="15">
      <c r="A38" s="85"/>
      <c r="B38" s="87"/>
      <c r="C38" s="95"/>
      <c r="D38" s="100"/>
      <c r="E38" s="100"/>
      <c r="F38" s="92"/>
      <c r="G38" s="92"/>
      <c r="H38" s="87"/>
      <c r="I38" s="87"/>
      <c r="J38" s="87"/>
      <c r="K38" s="85"/>
      <c r="L38" s="85"/>
      <c r="M38" s="85"/>
    </row>
    <row r="39" spans="1:14" ht="15">
      <c r="A39" s="85"/>
      <c r="B39" s="87" t="s">
        <v>176</v>
      </c>
      <c r="C39" s="95">
        <f>'Budgeted Volumes and Margins '!J5</f>
        <v>54986910</v>
      </c>
      <c r="D39" s="100">
        <v>0.10919312586305209</v>
      </c>
      <c r="E39" s="100">
        <v>0</v>
      </c>
      <c r="F39" s="92">
        <f>D39*$F$55</f>
        <v>420818.18606324401</v>
      </c>
      <c r="G39" s="92">
        <f>D39*$F$55</f>
        <v>420818.18606324401</v>
      </c>
      <c r="H39" s="101">
        <f>G39/C39</f>
        <v>0.0076530611751641255</v>
      </c>
      <c r="I39" s="102">
        <v>1.0007200000000001</v>
      </c>
      <c r="J39" s="101">
        <f>H39*I39</f>
        <v>0.0076585713792102442</v>
      </c>
      <c r="K39" s="95">
        <f>'Annual usage per customer'!F25</f>
        <v>15000</v>
      </c>
      <c r="L39" s="103">
        <f>J39*K39</f>
        <v>114.87857068815366</v>
      </c>
      <c r="M39" s="103">
        <f>L39/12</f>
        <v>9.5732142240128049</v>
      </c>
      <c r="N39" s="165">
        <v>0.055</v>
      </c>
    </row>
    <row r="40" spans="1:13" ht="15">
      <c r="A40" s="85"/>
      <c r="B40" s="89"/>
      <c r="C40" s="95"/>
      <c r="D40" s="100"/>
      <c r="E40" s="100"/>
      <c r="F40" s="92"/>
      <c r="G40" s="92"/>
      <c r="H40" s="102"/>
      <c r="I40" s="102"/>
      <c r="J40" s="102"/>
      <c r="K40" s="85"/>
      <c r="L40" s="85"/>
      <c r="M40" s="85"/>
    </row>
    <row r="41" spans="1:14" ht="15">
      <c r="A41" s="85"/>
      <c r="B41" s="89" t="s">
        <v>177</v>
      </c>
      <c r="C41" s="95">
        <f>'Budgeted Volumes and Margins '!J7</f>
        <v>174850970</v>
      </c>
      <c r="D41" s="100">
        <v>0.15718206808731616</v>
      </c>
      <c r="E41" s="100">
        <v>0</v>
      </c>
      <c r="F41" s="92">
        <f>D41*$F$55</f>
        <v>605762.24236983177</v>
      </c>
      <c r="G41" s="92">
        <f>D41*$F$55</f>
        <v>605762.24236983177</v>
      </c>
      <c r="H41" s="101">
        <f>G41/C41</f>
        <v>0.003464448852470374</v>
      </c>
      <c r="I41" s="102">
        <v>1.0007200000000001</v>
      </c>
      <c r="J41" s="101">
        <f>H41*I41</f>
        <v>0.0034669432556441527</v>
      </c>
      <c r="K41" s="95">
        <f>'Annual usage per customer'!F27</f>
        <v>263000</v>
      </c>
      <c r="L41" s="103">
        <f>J41*K41</f>
        <v>911.8060762344121</v>
      </c>
      <c r="M41" s="103">
        <f>L41/12</f>
        <v>75.983839686201009</v>
      </c>
      <c r="N41" s="165">
        <v>0.022800000000000001</v>
      </c>
    </row>
    <row r="42" spans="1:14" ht="15">
      <c r="A42" s="85"/>
      <c r="B42" s="89"/>
      <c r="C42" s="95"/>
      <c r="D42" s="100"/>
      <c r="E42" s="100"/>
      <c r="F42" s="92"/>
      <c r="G42" s="92"/>
      <c r="H42" s="87"/>
      <c r="I42" s="87"/>
      <c r="J42" s="87"/>
      <c r="K42" s="85"/>
      <c r="L42" s="85"/>
      <c r="M42" s="85"/>
      <c r="N42" s="144"/>
    </row>
    <row r="43" spans="1:14" ht="15">
      <c r="A43" s="85"/>
      <c r="B43" s="104" t="s">
        <v>178</v>
      </c>
      <c r="C43" s="95">
        <f>'Budgeted Volumes and Margins '!J9</f>
        <v>83449155</v>
      </c>
      <c r="D43" s="100">
        <v>0.086131387968694142</v>
      </c>
      <c r="E43" s="100">
        <v>0</v>
      </c>
      <c r="F43" s="92">
        <f>D43*$F$55</f>
        <v>331940.80819294421</v>
      </c>
      <c r="G43" s="92">
        <f>D43*$F$55</f>
        <v>331940.80819294421</v>
      </c>
      <c r="H43" s="101">
        <f>G43/C43</f>
        <v>0.0039777611671795148</v>
      </c>
      <c r="I43" s="102">
        <v>1.0007200000000001</v>
      </c>
      <c r="J43" s="101">
        <f>H43*I43</f>
        <v>0.0039806251552198845</v>
      </c>
      <c r="K43" s="95">
        <f>'Annual usage per customer'!F29</f>
        <v>2980000</v>
      </c>
      <c r="L43" s="103">
        <f>J43*K43</f>
        <v>11862.262962555256</v>
      </c>
      <c r="M43" s="103">
        <f>L43/12</f>
        <v>988.52191354627132</v>
      </c>
      <c r="N43" s="165">
        <v>0.033599999999999998</v>
      </c>
    </row>
    <row r="44" spans="1:14" ht="15">
      <c r="A44" s="85"/>
      <c r="B44" s="89"/>
      <c r="C44" s="95"/>
      <c r="D44" s="100"/>
      <c r="E44" s="100"/>
      <c r="F44" s="92"/>
      <c r="G44" s="92"/>
      <c r="H44" s="87"/>
      <c r="I44" s="87"/>
      <c r="J44" s="87"/>
      <c r="K44" s="85"/>
      <c r="L44" s="85"/>
      <c r="M44" s="85"/>
      <c r="N44" s="144"/>
    </row>
    <row r="45" spans="1:14" ht="15">
      <c r="A45" s="85"/>
      <c r="B45" s="89" t="s">
        <v>179</v>
      </c>
      <c r="C45" s="95">
        <f>'Budgeted Volumes and Margins '!J11</f>
        <v>24071875</v>
      </c>
      <c r="D45" s="100">
        <v>0.028581612338253102</v>
      </c>
      <c r="E45" s="100">
        <v>0</v>
      </c>
      <c r="F45" s="92">
        <f>D45*$F$55</f>
        <v>110150.36124189143</v>
      </c>
      <c r="G45" s="92">
        <f>D45*$F$55</f>
        <v>110150.36124189143</v>
      </c>
      <c r="H45" s="101">
        <f>G45/C45</f>
        <v>0.004575894534260062</v>
      </c>
      <c r="I45" s="102">
        <v>1.0007200000000001</v>
      </c>
      <c r="J45" s="101">
        <f>H45*I45</f>
        <v>0.0045791891783247291</v>
      </c>
      <c r="K45" s="95">
        <f>'Annual usage per customer'!F31</f>
        <v>12036000</v>
      </c>
      <c r="L45" s="103">
        <f>J45*K45</f>
        <v>55115.120950316443</v>
      </c>
      <c r="M45" s="103">
        <f>L45/12</f>
        <v>4592.9267458597033</v>
      </c>
      <c r="N45" s="165">
        <v>0.021999999999999999</v>
      </c>
    </row>
    <row r="46" spans="1:13" ht="15">
      <c r="A46" s="85"/>
      <c r="B46" s="89"/>
      <c r="C46" s="95"/>
      <c r="D46" s="100"/>
      <c r="E46" s="100"/>
      <c r="F46" s="92"/>
      <c r="G46" s="92"/>
      <c r="H46" s="87"/>
      <c r="I46" s="87"/>
      <c r="J46" s="87"/>
      <c r="K46" s="85"/>
      <c r="L46" s="85"/>
      <c r="M46" s="85"/>
    </row>
    <row r="47" spans="1:13" ht="15">
      <c r="A47" s="85"/>
      <c r="B47" s="87" t="s">
        <v>180</v>
      </c>
      <c r="C47" s="95">
        <f>'Budgeted Volumes and Margins '!J13</f>
        <v>7533313</v>
      </c>
      <c r="D47" s="100">
        <v>0.076666177175270536</v>
      </c>
      <c r="E47" s="100">
        <v>0</v>
      </c>
      <c r="F47" s="92">
        <f>D47*$F$55</f>
        <v>295462.93648341618</v>
      </c>
      <c r="G47" s="92">
        <f>D47*$F$55</f>
        <v>295462.93648341618</v>
      </c>
      <c r="H47" s="101">
        <f>G47/C47</f>
        <v>0.03922084964256977</v>
      </c>
      <c r="I47" s="102">
        <v>1.0007200000000001</v>
      </c>
      <c r="J47" s="101">
        <f>H47*I47</f>
        <v>0.039249088654312425</v>
      </c>
      <c r="K47" s="95">
        <f>'Annual usage per customer'!F33</f>
        <v>3000</v>
      </c>
      <c r="L47" s="103">
        <f>J47*K47</f>
        <v>117.74726596293728</v>
      </c>
      <c r="M47" s="103">
        <f>L47/12</f>
        <v>9.8122721635781058</v>
      </c>
    </row>
    <row r="48" spans="1:13" ht="15">
      <c r="A48" s="85"/>
      <c r="B48" s="87"/>
      <c r="C48" s="95"/>
      <c r="D48" s="100"/>
      <c r="E48" s="100"/>
      <c r="F48" s="92"/>
      <c r="G48" s="92"/>
      <c r="H48" s="87"/>
      <c r="I48" s="87"/>
      <c r="J48" s="87"/>
      <c r="K48" s="85"/>
      <c r="L48" s="85"/>
      <c r="M48" s="103"/>
    </row>
    <row r="49" spans="1:14" ht="15">
      <c r="A49" s="85"/>
      <c r="B49" s="87"/>
      <c r="C49" s="95"/>
      <c r="D49" s="100"/>
      <c r="E49" s="100"/>
      <c r="F49" s="92"/>
      <c r="G49" s="92"/>
      <c r="H49" s="92"/>
      <c r="I49" s="102"/>
      <c r="J49" s="102"/>
      <c r="K49" s="102"/>
      <c r="L49" s="85"/>
      <c r="M49" s="85"/>
      <c r="N49" s="85"/>
    </row>
    <row r="50" spans="1:14" ht="15">
      <c r="A50" s="85"/>
      <c r="B50" s="87"/>
      <c r="C50" s="95"/>
      <c r="D50" s="100"/>
      <c r="E50" s="100"/>
      <c r="F50" s="92"/>
      <c r="G50" s="92"/>
      <c r="H50" s="92"/>
      <c r="I50" s="87"/>
      <c r="J50" s="87"/>
      <c r="K50" s="87"/>
      <c r="L50" s="85"/>
      <c r="M50" s="85"/>
      <c r="N50" s="85"/>
    </row>
    <row r="51" spans="1:14" ht="15">
      <c r="A51" s="85"/>
      <c r="B51" s="87"/>
      <c r="C51" s="95"/>
      <c r="D51" s="100"/>
      <c r="E51" s="100"/>
      <c r="F51" s="92"/>
      <c r="G51" s="92"/>
      <c r="H51" s="92"/>
      <c r="I51" s="102"/>
      <c r="J51" s="102"/>
      <c r="K51" s="102"/>
      <c r="L51" s="85"/>
      <c r="M51" s="85"/>
      <c r="N51" s="85"/>
    </row>
    <row r="52" spans="1:14" ht="15">
      <c r="A52" s="85"/>
      <c r="B52" s="87"/>
      <c r="C52" s="87"/>
      <c r="D52" s="100"/>
      <c r="E52" s="100"/>
      <c r="F52" s="92"/>
      <c r="G52" s="92"/>
      <c r="H52" s="92"/>
      <c r="I52" s="87"/>
      <c r="J52" s="87"/>
      <c r="K52" s="87"/>
      <c r="L52" s="85"/>
      <c r="M52" s="85"/>
      <c r="N52" s="85"/>
    </row>
    <row r="53" spans="1:14" ht="15">
      <c r="A53" s="85"/>
      <c r="B53" s="87"/>
      <c r="C53" s="95"/>
      <c r="D53" s="100"/>
      <c r="E53" s="100"/>
      <c r="F53" s="92"/>
      <c r="G53" s="92"/>
      <c r="H53" s="92"/>
      <c r="I53" s="102"/>
      <c r="J53" s="102"/>
      <c r="K53" s="102"/>
      <c r="L53" s="85"/>
      <c r="M53" s="85"/>
      <c r="N53" s="85"/>
    </row>
    <row r="54" spans="1:14" ht="15">
      <c r="A54" s="85"/>
      <c r="B54" s="87"/>
      <c r="C54" s="87"/>
      <c r="D54" s="100"/>
      <c r="E54" s="100"/>
      <c r="F54" s="92"/>
      <c r="G54" s="92"/>
      <c r="H54" s="92"/>
      <c r="I54" s="87"/>
      <c r="J54" s="87"/>
      <c r="K54" s="87"/>
      <c r="L54" s="85"/>
      <c r="M54" s="85"/>
      <c r="N54" s="85"/>
    </row>
    <row r="55" spans="1:14" ht="15.75" thickBot="1">
      <c r="A55" s="85"/>
      <c r="B55" s="94" t="s">
        <v>181</v>
      </c>
      <c r="C55" s="105">
        <f>SUM(C37:C48)</f>
        <v>662507089</v>
      </c>
      <c r="D55" s="106">
        <f>SUM(D37:D48)</f>
        <v>1</v>
      </c>
      <c r="E55" s="106">
        <f>SUM(E37:E48)</f>
        <v>0</v>
      </c>
      <c r="F55" s="105">
        <f>D30</f>
        <v>3853888.9947250532</v>
      </c>
      <c r="G55" s="105">
        <f>D23</f>
        <v>336781.53846752009</v>
      </c>
      <c r="H55" s="92"/>
      <c r="I55" s="87"/>
      <c r="J55" s="87"/>
      <c r="K55" s="87"/>
      <c r="L55" s="85"/>
      <c r="M55" s="85"/>
      <c r="N55" s="85"/>
    </row>
    <row r="56" spans="1:14" ht="15.75" thickTop="1">
      <c r="A56" s="85"/>
      <c r="B56" s="87"/>
      <c r="C56" s="87"/>
      <c r="D56" s="87"/>
      <c r="E56" s="87"/>
      <c r="F56" s="87"/>
      <c r="G56" s="87"/>
      <c r="H56" s="92"/>
      <c r="I56" s="87"/>
      <c r="J56" s="87"/>
      <c r="K56" s="107" t="s">
        <v>182</v>
      </c>
      <c r="L56" s="85"/>
      <c r="M56" s="85"/>
      <c r="N56" s="85"/>
    </row>
    <row r="57" spans="1:14" ht="1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1:14" ht="1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landscape" scale="64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N58"/>
  <sheetViews>
    <sheetView zoomScale="150" zoomScaleNormal="150" workbookViewId="0" topLeftCell="F26">
      <selection pane="topLeft" activeCell="N40" sqref="N40"/>
    </sheetView>
  </sheetViews>
  <sheetFormatPr defaultColWidth="9.14428571428571" defaultRowHeight="15"/>
  <cols>
    <col min="1" max="1" width="3.28571428571429" style="84" customWidth="1"/>
    <col min="2" max="2" width="48.5714285714286" style="84" customWidth="1"/>
    <col min="3" max="3" width="14.4285714285714" style="84" customWidth="1"/>
    <col min="4" max="4" width="14.1428571428571" style="84" customWidth="1"/>
    <col min="5" max="5" width="15.8571428571429" style="84" hidden="1" customWidth="1"/>
    <col min="6" max="6" width="11.2857142857143" style="84" customWidth="1"/>
    <col min="7" max="7" width="11.8571428571429" style="84" hidden="1" customWidth="1"/>
    <col min="8" max="8" width="12.7142857142857" style="84" customWidth="1"/>
    <col min="9" max="9" width="10.8571428571429" style="84" customWidth="1"/>
    <col min="10" max="10" width="10.5714285714286" style="84" customWidth="1"/>
    <col min="11" max="11" width="11.8571428571429" style="84" bestFit="1" customWidth="1"/>
    <col min="12" max="12" width="15.4285714285714" style="84" bestFit="1" customWidth="1"/>
    <col min="13" max="13" width="11.7142857142857" style="84" customWidth="1"/>
    <col min="14" max="14" width="10.8571428571429" style="84" customWidth="1"/>
    <col min="15" max="16384" width="9.14285714285714" style="84"/>
  </cols>
  <sheetData>
    <row r="1" spans="1:12" ht="15" customHeight="1">
      <c r="A1" s="185" t="s">
        <v>67</v>
      </c>
      <c r="B1" s="185"/>
      <c r="C1" s="185"/>
      <c r="D1" s="185"/>
      <c r="E1" s="185"/>
      <c r="L1" s="85"/>
    </row>
    <row r="2" spans="1:12" ht="15">
      <c r="A2" s="186" t="s">
        <v>141</v>
      </c>
      <c r="B2" s="186"/>
      <c r="C2" s="186"/>
      <c r="D2" s="186"/>
      <c r="E2" s="186"/>
      <c r="L2" s="85" t="s">
        <v>142</v>
      </c>
    </row>
    <row r="3" spans="1:12" ht="15">
      <c r="A3" s="186" t="s">
        <v>143</v>
      </c>
      <c r="B3" s="186"/>
      <c r="C3" s="186"/>
      <c r="D3" s="186"/>
      <c r="E3" s="186"/>
      <c r="L3" s="85"/>
    </row>
    <row r="4" spans="1:12" ht="15">
      <c r="A4" s="186" t="s">
        <v>189</v>
      </c>
      <c r="B4" s="186"/>
      <c r="C4" s="186"/>
      <c r="D4" s="186"/>
      <c r="E4" s="186"/>
      <c r="L4" s="85"/>
    </row>
    <row r="5" spans="1:5" ht="15">
      <c r="A5" s="186" t="s">
        <v>145</v>
      </c>
      <c r="B5" s="186"/>
      <c r="C5" s="186"/>
      <c r="D5" s="186"/>
      <c r="E5" s="186"/>
    </row>
    <row r="8" ht="15.75" thickBot="1"/>
    <row r="9" spans="1:14" ht="15.75" thickBot="1">
      <c r="A9" s="86" t="s">
        <v>146</v>
      </c>
      <c r="B9" s="85" t="s">
        <v>190</v>
      </c>
      <c r="C9" s="87"/>
      <c r="D9" s="87"/>
      <c r="E9" s="108"/>
      <c r="F9" s="88">
        <f>'Estimated Rev Req - bs'!G30</f>
        <v>8961867.5983312614</v>
      </c>
      <c r="G9" s="87"/>
      <c r="H9" s="87"/>
      <c r="I9" s="89"/>
      <c r="J9" s="87"/>
      <c r="K9" s="87"/>
      <c r="L9" s="85"/>
      <c r="M9" s="85"/>
      <c r="N9" s="85"/>
    </row>
    <row r="10" spans="1:14" ht="15">
      <c r="A10" s="86"/>
      <c r="B10" s="85" t="s">
        <v>48</v>
      </c>
      <c r="C10" s="90">
        <f>'Cons Dep Rate'!D2</f>
        <v>0.08738745172175022</v>
      </c>
      <c r="D10" s="91">
        <f>F$9*C10</f>
        <v>783154.77208589076</v>
      </c>
      <c r="E10" s="92"/>
      <c r="F10" s="85"/>
      <c r="G10" s="87"/>
      <c r="H10" s="87"/>
      <c r="I10" s="89"/>
      <c r="J10" s="87"/>
      <c r="K10" s="87"/>
      <c r="L10" s="85"/>
      <c r="M10" s="85"/>
      <c r="N10" s="85"/>
    </row>
    <row r="11" spans="1:14" ht="15">
      <c r="A11" s="86"/>
      <c r="B11" s="85" t="s">
        <v>49</v>
      </c>
      <c r="C11" s="90">
        <f>'Cons Dep Rate'!D3</f>
        <v>0.13143658889593543</v>
      </c>
      <c r="D11" s="91">
        <f t="shared" si="0" ref="D11:D16">F$9*C11</f>
        <v>1177917.3072616702</v>
      </c>
      <c r="E11" s="92"/>
      <c r="F11" s="85"/>
      <c r="G11" s="87"/>
      <c r="H11" s="87"/>
      <c r="I11" s="89"/>
      <c r="J11" s="87"/>
      <c r="K11" s="87"/>
      <c r="L11" s="85"/>
      <c r="M11" s="85"/>
      <c r="N11" s="85"/>
    </row>
    <row r="12" spans="1:14" ht="15">
      <c r="A12" s="86"/>
      <c r="B12" s="85" t="s">
        <v>50</v>
      </c>
      <c r="C12" s="90">
        <f>'Cons Dep Rate'!D4</f>
        <v>0.26687060101674964</v>
      </c>
      <c r="D12" s="91">
        <f t="shared" si="0"/>
        <v>2391658.9921991983</v>
      </c>
      <c r="E12" s="92"/>
      <c r="F12" s="85"/>
      <c r="G12" s="87"/>
      <c r="H12" s="87"/>
      <c r="I12" s="89"/>
      <c r="J12" s="87"/>
      <c r="K12" s="87"/>
      <c r="L12" s="85"/>
      <c r="M12" s="85"/>
      <c r="N12" s="85"/>
    </row>
    <row r="13" spans="1:14" ht="15">
      <c r="A13" s="86"/>
      <c r="B13" s="85" t="s">
        <v>51</v>
      </c>
      <c r="C13" s="90">
        <f>'Cons Dep Rate'!D5</f>
        <v>0.21175145885771704</v>
      </c>
      <c r="D13" s="91">
        <f t="shared" si="0"/>
        <v>1897688.5380363495</v>
      </c>
      <c r="E13" s="92"/>
      <c r="F13" s="85"/>
      <c r="G13" s="87"/>
      <c r="H13" s="87"/>
      <c r="I13" s="89"/>
      <c r="J13" s="87"/>
      <c r="K13" s="87"/>
      <c r="L13" s="85"/>
      <c r="M13" s="85"/>
      <c r="N13" s="85"/>
    </row>
    <row r="14" spans="1:14" ht="15">
      <c r="A14" s="86"/>
      <c r="B14" s="85" t="s">
        <v>52</v>
      </c>
      <c r="C14" s="90">
        <f>'Cons Dep Rate'!D6</f>
        <v>0.075787480911102226</v>
      </c>
      <c r="D14" s="91">
        <f t="shared" si="0"/>
        <v>679197.36953635607</v>
      </c>
      <c r="E14" s="92"/>
      <c r="F14" s="85"/>
      <c r="G14" s="87"/>
      <c r="H14" s="87"/>
      <c r="I14" s="89"/>
      <c r="J14" s="87"/>
      <c r="K14" s="87"/>
      <c r="L14" s="85"/>
      <c r="M14" s="85"/>
      <c r="N14" s="85"/>
    </row>
    <row r="15" spans="1:14" ht="15">
      <c r="A15" s="86"/>
      <c r="B15" s="85" t="s">
        <v>53</v>
      </c>
      <c r="C15" s="90">
        <f>'Cons Dep Rate'!D7</f>
        <v>0.097585928179103568</v>
      </c>
      <c r="D15" s="91">
        <f t="shared" si="0"/>
        <v>874552.16780138982</v>
      </c>
      <c r="E15" s="92"/>
      <c r="F15" s="85"/>
      <c r="G15" s="87"/>
      <c r="H15" s="87"/>
      <c r="I15" s="89"/>
      <c r="J15" s="87"/>
      <c r="K15" s="87"/>
      <c r="L15" s="85"/>
      <c r="M15" s="85"/>
      <c r="N15" s="85"/>
    </row>
    <row r="16" spans="1:14" ht="15">
      <c r="A16" s="86"/>
      <c r="B16" s="85" t="s">
        <v>54</v>
      </c>
      <c r="C16" s="90">
        <f>'Cons Dep Rate'!D8</f>
        <v>0.12918049041764196</v>
      </c>
      <c r="D16" s="91">
        <f t="shared" si="0"/>
        <v>1157698.4514104074</v>
      </c>
      <c r="E16" s="92"/>
      <c r="F16" s="85"/>
      <c r="G16" s="87"/>
      <c r="H16" s="87"/>
      <c r="I16" s="89"/>
      <c r="J16" s="87"/>
      <c r="K16" s="87"/>
      <c r="L16" s="85"/>
      <c r="M16" s="85"/>
      <c r="N16" s="85"/>
    </row>
    <row r="17" spans="1:14" ht="15.75" thickBot="1">
      <c r="A17" s="85"/>
      <c r="B17" s="85" t="s">
        <v>148</v>
      </c>
      <c r="C17" s="85"/>
      <c r="D17" s="93">
        <f>SUM(D10:D16)</f>
        <v>8961867.5983312614</v>
      </c>
      <c r="E17" s="85"/>
      <c r="F17" s="85"/>
      <c r="G17" s="87"/>
      <c r="H17" s="87"/>
      <c r="I17" s="89"/>
      <c r="J17" s="87"/>
      <c r="K17" s="87"/>
      <c r="L17" s="85"/>
      <c r="M17" s="85"/>
      <c r="N17" s="85"/>
    </row>
    <row r="18" spans="1:14" ht="15.75" thickTop="1">
      <c r="A18" s="86"/>
      <c r="B18" s="85"/>
      <c r="C18" s="87"/>
      <c r="D18" s="91"/>
      <c r="E18" s="92"/>
      <c r="F18" s="85"/>
      <c r="G18" s="87"/>
      <c r="H18" s="87"/>
      <c r="I18" s="87"/>
      <c r="J18" s="87"/>
      <c r="K18" s="87"/>
      <c r="L18" s="85"/>
      <c r="M18" s="85"/>
      <c r="N18" s="85"/>
    </row>
    <row r="19" spans="1:14" ht="15" hidden="1">
      <c r="A19" s="86" t="s">
        <v>149</v>
      </c>
      <c r="B19" s="85" t="s">
        <v>150</v>
      </c>
      <c r="C19" s="87"/>
      <c r="D19" s="91"/>
      <c r="E19" s="88"/>
      <c r="F19" s="85"/>
      <c r="G19" s="87"/>
      <c r="H19" s="87"/>
      <c r="I19" s="87"/>
      <c r="J19" s="87"/>
      <c r="K19" s="87"/>
      <c r="L19" s="85"/>
      <c r="M19" s="85"/>
      <c r="N19" s="85"/>
    </row>
    <row r="20" spans="1:14" ht="15">
      <c r="A20" s="86" t="s">
        <v>149</v>
      </c>
      <c r="B20" s="85" t="s">
        <v>191</v>
      </c>
      <c r="C20" s="87"/>
      <c r="D20" s="91"/>
      <c r="E20" s="88"/>
      <c r="F20" s="88">
        <v>0</v>
      </c>
      <c r="G20" s="87"/>
      <c r="H20" s="87"/>
      <c r="I20" s="87" t="s">
        <v>89</v>
      </c>
      <c r="J20" s="87"/>
      <c r="K20" s="87"/>
      <c r="L20" s="85"/>
      <c r="M20" s="85"/>
      <c r="N20" s="85"/>
    </row>
    <row r="21" spans="1:14" ht="15">
      <c r="A21" s="86"/>
      <c r="B21" s="85"/>
      <c r="C21" s="87"/>
      <c r="D21" s="91"/>
      <c r="E21" s="92"/>
      <c r="F21" s="85"/>
      <c r="G21" s="87"/>
      <c r="H21" s="87"/>
      <c r="I21" s="87"/>
      <c r="J21" s="87"/>
      <c r="K21" s="87"/>
      <c r="L21" s="85"/>
      <c r="M21" s="85"/>
      <c r="N21" s="85"/>
    </row>
    <row r="22" spans="1:14" ht="15">
      <c r="A22" s="86" t="s">
        <v>152</v>
      </c>
      <c r="B22" s="85" t="s">
        <v>192</v>
      </c>
      <c r="C22" s="87"/>
      <c r="D22" s="91"/>
      <c r="F22" s="88">
        <f>F9+F20</f>
        <v>8961867.5983312614</v>
      </c>
      <c r="G22" s="87"/>
      <c r="H22" s="87"/>
      <c r="I22" s="87"/>
      <c r="J22" s="87"/>
      <c r="K22" s="87"/>
      <c r="L22" s="85"/>
      <c r="M22" s="85"/>
      <c r="N22" s="85"/>
    </row>
    <row r="23" spans="1:14" ht="15">
      <c r="A23" s="86"/>
      <c r="B23" s="85" t="s">
        <v>48</v>
      </c>
      <c r="C23" s="90">
        <f>C10</f>
        <v>0.08738745172175022</v>
      </c>
      <c r="D23" s="91">
        <f>F$22*C23</f>
        <v>783154.77208589076</v>
      </c>
      <c r="E23" s="92"/>
      <c r="F23" s="85"/>
      <c r="G23" s="87"/>
      <c r="H23" s="87"/>
      <c r="I23" s="87"/>
      <c r="J23" s="87"/>
      <c r="K23" s="87"/>
      <c r="L23" s="85"/>
      <c r="M23" s="85"/>
      <c r="N23" s="85"/>
    </row>
    <row r="24" spans="1:14" ht="15">
      <c r="A24" s="86"/>
      <c r="B24" s="85" t="s">
        <v>49</v>
      </c>
      <c r="C24" s="90">
        <f t="shared" si="1" ref="C24:C29">C11</f>
        <v>0.13143658889593543</v>
      </c>
      <c r="D24" s="91">
        <f t="shared" si="2" ref="D24:D29">F$22*C24</f>
        <v>1177917.3072616702</v>
      </c>
      <c r="E24" s="92"/>
      <c r="F24" s="85"/>
      <c r="G24" s="87"/>
      <c r="H24" s="87"/>
      <c r="I24" s="87"/>
      <c r="J24" s="87"/>
      <c r="K24" s="87"/>
      <c r="L24" s="85"/>
      <c r="M24" s="85"/>
      <c r="N24" s="85"/>
    </row>
    <row r="25" spans="1:14" ht="15">
      <c r="A25" s="86"/>
      <c r="B25" s="85" t="s">
        <v>50</v>
      </c>
      <c r="C25" s="90">
        <f t="shared" si="1"/>
        <v>0.26687060101674964</v>
      </c>
      <c r="D25" s="91">
        <f t="shared" si="2"/>
        <v>2391658.9921991983</v>
      </c>
      <c r="E25" s="92"/>
      <c r="F25" s="85"/>
      <c r="G25" s="87"/>
      <c r="H25" s="87"/>
      <c r="I25" s="87"/>
      <c r="J25" s="87"/>
      <c r="K25" s="87"/>
      <c r="L25" s="85"/>
      <c r="M25" s="85"/>
      <c r="N25" s="85"/>
    </row>
    <row r="26" spans="1:14" ht="15">
      <c r="A26" s="86"/>
      <c r="B26" s="85" t="s">
        <v>51</v>
      </c>
      <c r="C26" s="90">
        <f t="shared" si="1"/>
        <v>0.21175145885771704</v>
      </c>
      <c r="D26" s="91">
        <f t="shared" si="2"/>
        <v>1897688.5380363495</v>
      </c>
      <c r="E26" s="92"/>
      <c r="F26" s="85"/>
      <c r="G26" s="87"/>
      <c r="H26" s="87"/>
      <c r="I26" s="87"/>
      <c r="J26" s="87"/>
      <c r="K26" s="87"/>
      <c r="L26" s="85"/>
      <c r="M26" s="85"/>
      <c r="N26" s="85"/>
    </row>
    <row r="27" spans="1:14" ht="15">
      <c r="A27" s="86"/>
      <c r="B27" s="85" t="s">
        <v>52</v>
      </c>
      <c r="C27" s="90">
        <f t="shared" si="1"/>
        <v>0.075787480911102226</v>
      </c>
      <c r="D27" s="91">
        <f t="shared" si="2"/>
        <v>679197.36953635607</v>
      </c>
      <c r="E27" s="92"/>
      <c r="F27" s="85"/>
      <c r="G27" s="87"/>
      <c r="H27" s="87"/>
      <c r="I27" s="87"/>
      <c r="J27" s="87"/>
      <c r="K27" s="87"/>
      <c r="L27" s="85"/>
      <c r="M27" s="85"/>
      <c r="N27" s="85"/>
    </row>
    <row r="28" spans="1:14" ht="15">
      <c r="A28" s="86"/>
      <c r="B28" s="85" t="s">
        <v>53</v>
      </c>
      <c r="C28" s="90">
        <f t="shared" si="1"/>
        <v>0.097585928179103568</v>
      </c>
      <c r="D28" s="91">
        <f t="shared" si="2"/>
        <v>874552.16780138982</v>
      </c>
      <c r="E28" s="92"/>
      <c r="F28" s="85"/>
      <c r="G28" s="87"/>
      <c r="H28" s="87"/>
      <c r="I28" s="87"/>
      <c r="J28" s="87"/>
      <c r="K28" s="87"/>
      <c r="L28" s="85"/>
      <c r="M28" s="85"/>
      <c r="N28" s="85"/>
    </row>
    <row r="29" spans="1:14" ht="15">
      <c r="A29" s="86"/>
      <c r="B29" s="85" t="s">
        <v>54</v>
      </c>
      <c r="C29" s="90">
        <f t="shared" si="1"/>
        <v>0.12918049041764196</v>
      </c>
      <c r="D29" s="91">
        <f t="shared" si="2"/>
        <v>1157698.4514104074</v>
      </c>
      <c r="E29" s="92"/>
      <c r="F29" s="85"/>
      <c r="G29" s="87"/>
      <c r="H29" s="87"/>
      <c r="I29" s="87"/>
      <c r="J29" s="87"/>
      <c r="K29" s="87"/>
      <c r="L29" s="85"/>
      <c r="M29" s="85"/>
      <c r="N29" s="85"/>
    </row>
    <row r="30" spans="1:14" ht="15.75" thickBot="1">
      <c r="A30" s="86"/>
      <c r="B30" s="85" t="s">
        <v>148</v>
      </c>
      <c r="C30" s="87"/>
      <c r="D30" s="93">
        <f>SUM(D23:D29)</f>
        <v>8961867.5983312614</v>
      </c>
      <c r="E30" s="92"/>
      <c r="F30" s="85"/>
      <c r="G30" s="87"/>
      <c r="H30" s="87"/>
      <c r="I30" s="87"/>
      <c r="J30" s="87"/>
      <c r="K30" s="87"/>
      <c r="L30" s="85"/>
      <c r="M30" s="85"/>
      <c r="N30" s="85"/>
    </row>
    <row r="31" spans="1:14" ht="15.75" thickTop="1">
      <c r="A31" s="85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5"/>
      <c r="M31" s="85"/>
      <c r="N31" s="85"/>
    </row>
    <row r="32" spans="1:14" ht="15">
      <c r="A32" s="85"/>
      <c r="B32" s="87"/>
      <c r="C32" s="87"/>
      <c r="D32" s="87"/>
      <c r="E32" s="87"/>
      <c r="F32" s="87"/>
      <c r="G32" s="94"/>
      <c r="H32" s="95"/>
      <c r="I32" s="87"/>
      <c r="J32" s="87"/>
      <c r="K32" s="87"/>
      <c r="L32" s="85"/>
      <c r="M32" s="85"/>
      <c r="N32" s="85"/>
    </row>
    <row r="33" spans="1:13" ht="15">
      <c r="A33" s="85"/>
      <c r="B33" s="87"/>
      <c r="C33" s="87"/>
      <c r="D33" s="87"/>
      <c r="E33" s="87"/>
      <c r="F33" s="94"/>
      <c r="G33" s="87"/>
      <c r="H33" s="94" t="s">
        <v>154</v>
      </c>
      <c r="I33" s="87"/>
      <c r="J33" s="96" t="s">
        <v>155</v>
      </c>
      <c r="K33" s="96" t="s">
        <v>156</v>
      </c>
      <c r="L33" s="96"/>
      <c r="M33" s="96" t="s">
        <v>157</v>
      </c>
    </row>
    <row r="34" spans="1:14" ht="15">
      <c r="A34" s="85"/>
      <c r="B34" s="94" t="s">
        <v>158</v>
      </c>
      <c r="C34" s="86" t="s">
        <v>193</v>
      </c>
      <c r="D34" s="94" t="s">
        <v>160</v>
      </c>
      <c r="E34" s="94" t="s">
        <v>161</v>
      </c>
      <c r="F34" s="94"/>
      <c r="G34" s="94"/>
      <c r="H34" s="94" t="s">
        <v>162</v>
      </c>
      <c r="I34" s="94" t="s">
        <v>163</v>
      </c>
      <c r="J34" s="96" t="s">
        <v>164</v>
      </c>
      <c r="K34" s="96" t="s">
        <v>165</v>
      </c>
      <c r="L34" s="96" t="s">
        <v>165</v>
      </c>
      <c r="M34" s="96" t="s">
        <v>166</v>
      </c>
      <c r="N34" s="85" t="s">
        <v>167</v>
      </c>
    </row>
    <row r="35" spans="1:14" ht="15">
      <c r="A35" s="85"/>
      <c r="B35" s="97" t="s">
        <v>168</v>
      </c>
      <c r="C35" s="97" t="s">
        <v>113</v>
      </c>
      <c r="D35" s="97" t="s">
        <v>169</v>
      </c>
      <c r="E35" s="97" t="s">
        <v>169</v>
      </c>
      <c r="F35" s="97" t="s">
        <v>170</v>
      </c>
      <c r="G35" s="97" t="s">
        <v>170</v>
      </c>
      <c r="H35" s="97" t="s">
        <v>113</v>
      </c>
      <c r="I35" s="97" t="s">
        <v>171</v>
      </c>
      <c r="J35" s="98" t="s">
        <v>172</v>
      </c>
      <c r="K35" s="98" t="s">
        <v>113</v>
      </c>
      <c r="L35" s="98" t="s">
        <v>173</v>
      </c>
      <c r="M35" s="99" t="s">
        <v>174</v>
      </c>
      <c r="N35" s="143" t="s">
        <v>175</v>
      </c>
    </row>
    <row r="36" spans="1:13" ht="15">
      <c r="A36" s="85"/>
      <c r="B36" s="87"/>
      <c r="C36" s="87"/>
      <c r="D36" s="87"/>
      <c r="E36" s="87"/>
      <c r="F36" s="87"/>
      <c r="G36" s="87"/>
      <c r="H36" s="87"/>
      <c r="I36" s="87"/>
      <c r="J36" s="87"/>
      <c r="K36" s="85"/>
      <c r="L36" s="85"/>
      <c r="M36" s="85"/>
    </row>
    <row r="37" spans="1:14" ht="15">
      <c r="A37" s="85"/>
      <c r="B37" s="87" t="s">
        <v>83</v>
      </c>
      <c r="C37" s="95">
        <f>'Budgeted Volumes and Margins '!N3</f>
        <v>319828842</v>
      </c>
      <c r="D37" s="100">
        <v>0.54224562856741398</v>
      </c>
      <c r="E37" s="100">
        <v>0</v>
      </c>
      <c r="F37" s="92">
        <f>D37*$F$55</f>
        <v>4859533.5289950753</v>
      </c>
      <c r="G37" s="92">
        <f>D37*$F$55</f>
        <v>4859533.5289950753</v>
      </c>
      <c r="H37" s="101">
        <f>G37/C37</f>
        <v>0.01519416916437785</v>
      </c>
      <c r="I37" s="102">
        <v>1.0007200000000001</v>
      </c>
      <c r="J37" s="101">
        <f>H37*I37</f>
        <v>0.015205108966176203</v>
      </c>
      <c r="K37" s="95">
        <f>'Annual usage per customer'!G23</f>
        <v>12000</v>
      </c>
      <c r="L37" s="103">
        <f>J37*K37</f>
        <v>182.46130759411443</v>
      </c>
      <c r="M37" s="164">
        <f>L37/12</f>
        <v>15.205108966176203</v>
      </c>
      <c r="N37" s="128"/>
    </row>
    <row r="38" spans="1:13" ht="15">
      <c r="A38" s="85"/>
      <c r="B38" s="87"/>
      <c r="C38" s="95"/>
      <c r="D38" s="100"/>
      <c r="E38" s="100"/>
      <c r="F38" s="92"/>
      <c r="G38" s="92"/>
      <c r="H38" s="87"/>
      <c r="I38" s="87"/>
      <c r="J38" s="87"/>
      <c r="K38" s="95"/>
      <c r="L38" s="85"/>
      <c r="M38" s="85"/>
    </row>
    <row r="39" spans="1:14" ht="15">
      <c r="A39" s="85"/>
      <c r="B39" s="87" t="s">
        <v>176</v>
      </c>
      <c r="C39" s="95">
        <f>'Budgeted Volumes and Margins '!N5</f>
        <v>55251714</v>
      </c>
      <c r="D39" s="100">
        <v>0.10919312586305209</v>
      </c>
      <c r="E39" s="100">
        <v>0</v>
      </c>
      <c r="F39" s="92">
        <f>D39*$F$55</f>
        <v>978574.33663259377</v>
      </c>
      <c r="G39" s="92">
        <f>D39*$F$55</f>
        <v>978574.33663259377</v>
      </c>
      <c r="H39" s="101">
        <f>G39/C39</f>
        <v>0.017711203251225723</v>
      </c>
      <c r="I39" s="102">
        <v>1.0007200000000001</v>
      </c>
      <c r="J39" s="101">
        <f>H39*I39</f>
        <v>0.017723955317566605</v>
      </c>
      <c r="K39" s="95">
        <f>'Annual usage per customer'!G25</f>
        <v>15000</v>
      </c>
      <c r="L39" s="103">
        <f>J39*K39</f>
        <v>265.85932976349909</v>
      </c>
      <c r="M39" s="103">
        <f>L39/12</f>
        <v>22.154944146958258</v>
      </c>
      <c r="N39" s="165">
        <v>0.12720000000000001</v>
      </c>
    </row>
    <row r="40" spans="1:13" ht="15">
      <c r="A40" s="85"/>
      <c r="B40" s="89"/>
      <c r="C40" s="95"/>
      <c r="D40" s="100"/>
      <c r="E40" s="100"/>
      <c r="F40" s="92"/>
      <c r="G40" s="92"/>
      <c r="H40" s="102"/>
      <c r="I40" s="102"/>
      <c r="J40" s="102"/>
      <c r="K40" s="95"/>
      <c r="L40" s="85"/>
      <c r="M40" s="85"/>
    </row>
    <row r="41" spans="1:14" ht="15">
      <c r="A41" s="85"/>
      <c r="B41" s="89" t="s">
        <v>177</v>
      </c>
      <c r="C41" s="95">
        <f>'Budgeted Volumes and Margins '!N7</f>
        <v>177179534</v>
      </c>
      <c r="D41" s="100">
        <v>0.15718206808731616</v>
      </c>
      <c r="E41" s="100">
        <v>0</v>
      </c>
      <c r="F41" s="92">
        <f>D41*$F$55</f>
        <v>1408644.8830304169</v>
      </c>
      <c r="G41" s="92">
        <f>D41*$F$55</f>
        <v>1408644.8830304169</v>
      </c>
      <c r="H41" s="101">
        <f>G41/C41</f>
        <v>0.007950381464658424</v>
      </c>
      <c r="I41" s="102">
        <v>1.0007200000000001</v>
      </c>
      <c r="J41" s="101">
        <f>H41*I41</f>
        <v>0.0079561057393129787</v>
      </c>
      <c r="K41" s="95">
        <f>'Annual usage per customer'!G27</f>
        <v>266000</v>
      </c>
      <c r="L41" s="103">
        <f>J41*K41</f>
        <v>2116.3241266572522</v>
      </c>
      <c r="M41" s="103">
        <f>L41/12</f>
        <v>176.36034388810435</v>
      </c>
      <c r="N41" s="165">
        <v>0.052299999999999999</v>
      </c>
    </row>
    <row r="42" spans="1:14" ht="15">
      <c r="A42" s="85"/>
      <c r="B42" s="89"/>
      <c r="C42" s="95"/>
      <c r="D42" s="100"/>
      <c r="E42" s="100"/>
      <c r="F42" s="92"/>
      <c r="G42" s="92"/>
      <c r="H42" s="87"/>
      <c r="I42" s="87"/>
      <c r="J42" s="87"/>
      <c r="K42" s="95"/>
      <c r="L42" s="85"/>
      <c r="M42" s="85"/>
      <c r="N42" s="144"/>
    </row>
    <row r="43" spans="1:14" ht="15">
      <c r="A43" s="85"/>
      <c r="B43" s="104" t="s">
        <v>178</v>
      </c>
      <c r="C43" s="95">
        <f>'Budgeted Volumes and Margins '!N9</f>
        <v>83210828</v>
      </c>
      <c r="D43" s="100">
        <v>0.086131387968694142</v>
      </c>
      <c r="E43" s="100">
        <v>0</v>
      </c>
      <c r="F43" s="92">
        <f>D43*$F$55</f>
        <v>771898.09503593913</v>
      </c>
      <c r="G43" s="92">
        <f>D43*$F$55</f>
        <v>771898.09503593913</v>
      </c>
      <c r="H43" s="101">
        <f>G43/C43</f>
        <v>0.0092764140627940774</v>
      </c>
      <c r="I43" s="102">
        <v>1.0007200000000001</v>
      </c>
      <c r="J43" s="101">
        <f>H43*I43</f>
        <v>0.0092830930809192896</v>
      </c>
      <c r="K43" s="95">
        <f>'Annual usage per customer'!G29</f>
        <v>2972000</v>
      </c>
      <c r="L43" s="103">
        <f>J43*K43</f>
        <v>27589.352636492127</v>
      </c>
      <c r="M43" s="103">
        <f>L43/12</f>
        <v>2299.1127197076771</v>
      </c>
      <c r="N43" s="165">
        <v>0.078200000000000006</v>
      </c>
    </row>
    <row r="44" spans="1:14" ht="15">
      <c r="A44" s="85"/>
      <c r="B44" s="89"/>
      <c r="C44" s="95"/>
      <c r="D44" s="100"/>
      <c r="E44" s="100"/>
      <c r="F44" s="92"/>
      <c r="G44" s="92"/>
      <c r="H44" s="87"/>
      <c r="I44" s="87"/>
      <c r="J44" s="87"/>
      <c r="K44" s="95"/>
      <c r="L44" s="85"/>
      <c r="M44" s="85"/>
      <c r="N44" s="144"/>
    </row>
    <row r="45" spans="1:14" ht="15">
      <c r="A45" s="85"/>
      <c r="B45" s="89" t="s">
        <v>179</v>
      </c>
      <c r="C45" s="95">
        <f>'Budgeted Volumes and Margins '!N11</f>
        <v>24284063</v>
      </c>
      <c r="D45" s="100">
        <v>0.028581612338253102</v>
      </c>
      <c r="E45" s="100">
        <v>0</v>
      </c>
      <c r="F45" s="92">
        <f>D45*$F$55</f>
        <v>256144.62552225549</v>
      </c>
      <c r="G45" s="92">
        <f>D45*$F$55</f>
        <v>256144.62552225549</v>
      </c>
      <c r="H45" s="101">
        <f>G45/C45</f>
        <v>0.010547848830826023</v>
      </c>
      <c r="I45" s="102">
        <v>1.0007200000000001</v>
      </c>
      <c r="J45" s="101">
        <f>H45*I45</f>
        <v>0.010555443281984218</v>
      </c>
      <c r="K45" s="95">
        <f>'Annual usage per customer'!G31</f>
        <v>12142000</v>
      </c>
      <c r="L45" s="103">
        <f>J45*K45</f>
        <v>128164.19232985238</v>
      </c>
      <c r="M45" s="103">
        <f>L45/12</f>
        <v>10680.349360821032</v>
      </c>
      <c r="N45" s="165">
        <v>0.050599999999999999</v>
      </c>
    </row>
    <row r="46" spans="1:13" ht="15">
      <c r="A46" s="85"/>
      <c r="B46" s="89"/>
      <c r="C46" s="95"/>
      <c r="D46" s="100"/>
      <c r="E46" s="100"/>
      <c r="F46" s="92"/>
      <c r="G46" s="92"/>
      <c r="H46" s="87"/>
      <c r="I46" s="87"/>
      <c r="J46" s="87"/>
      <c r="K46" s="95"/>
      <c r="L46" s="85"/>
      <c r="M46" s="85"/>
    </row>
    <row r="47" spans="1:13" ht="15">
      <c r="A47" s="85"/>
      <c r="B47" s="87" t="s">
        <v>180</v>
      </c>
      <c r="C47" s="95">
        <f>'Budgeted Volumes and Margins '!N13</f>
        <v>7545203</v>
      </c>
      <c r="D47" s="100">
        <v>0.076666177175270536</v>
      </c>
      <c r="E47" s="100">
        <v>0</v>
      </c>
      <c r="F47" s="92">
        <f>D47*$F$55</f>
        <v>687072.12911498069</v>
      </c>
      <c r="G47" s="92">
        <f>D47*$F$55</f>
        <v>687072.12911498069</v>
      </c>
      <c r="H47" s="101">
        <f>G47/C47</f>
        <v>0.091060787776681515</v>
      </c>
      <c r="I47" s="102">
        <v>1.0007200000000001</v>
      </c>
      <c r="J47" s="101">
        <f>H47*I47</f>
        <v>0.091126351543880726</v>
      </c>
      <c r="K47" s="95">
        <f>'Annual usage per customer'!G33</f>
        <v>3000</v>
      </c>
      <c r="L47" s="103">
        <f>J47*K47</f>
        <v>273.37905463164219</v>
      </c>
      <c r="M47" s="103">
        <f>L47/12</f>
        <v>22.781587885970183</v>
      </c>
    </row>
    <row r="48" spans="1:13" ht="15">
      <c r="A48" s="85"/>
      <c r="B48" s="87"/>
      <c r="C48" s="95"/>
      <c r="D48" s="100"/>
      <c r="E48" s="100"/>
      <c r="F48" s="92"/>
      <c r="G48" s="92"/>
      <c r="H48" s="87"/>
      <c r="I48" s="87"/>
      <c r="J48" s="87"/>
      <c r="K48" s="85"/>
      <c r="L48" s="85"/>
      <c r="M48" s="103"/>
    </row>
    <row r="49" spans="1:14" ht="15">
      <c r="A49" s="85"/>
      <c r="B49" s="87"/>
      <c r="C49" s="95"/>
      <c r="D49" s="100"/>
      <c r="E49" s="100"/>
      <c r="F49" s="92"/>
      <c r="G49" s="92"/>
      <c r="H49" s="92"/>
      <c r="I49" s="102"/>
      <c r="J49" s="102"/>
      <c r="K49" s="102"/>
      <c r="L49" s="85"/>
      <c r="M49" s="85"/>
      <c r="N49" s="85"/>
    </row>
    <row r="50" spans="1:14" ht="15">
      <c r="A50" s="85"/>
      <c r="B50" s="87"/>
      <c r="C50" s="95"/>
      <c r="D50" s="100"/>
      <c r="E50" s="100"/>
      <c r="F50" s="92"/>
      <c r="G50" s="92"/>
      <c r="H50" s="92"/>
      <c r="I50" s="87"/>
      <c r="J50" s="87"/>
      <c r="K50" s="87"/>
      <c r="L50" s="85"/>
      <c r="M50" s="85"/>
      <c r="N50" s="85"/>
    </row>
    <row r="51" spans="1:14" ht="15">
      <c r="A51" s="85"/>
      <c r="B51" s="87"/>
      <c r="C51" s="95"/>
      <c r="D51" s="100"/>
      <c r="E51" s="100"/>
      <c r="F51" s="92"/>
      <c r="G51" s="92"/>
      <c r="H51" s="92"/>
      <c r="I51" s="102"/>
      <c r="J51" s="102"/>
      <c r="K51" s="102"/>
      <c r="L51" s="85"/>
      <c r="M51" s="85"/>
      <c r="N51" s="85"/>
    </row>
    <row r="52" spans="1:14" ht="15">
      <c r="A52" s="85"/>
      <c r="B52" s="87"/>
      <c r="C52" s="87"/>
      <c r="D52" s="100"/>
      <c r="E52" s="100"/>
      <c r="F52" s="92"/>
      <c r="G52" s="92"/>
      <c r="H52" s="92"/>
      <c r="I52" s="87"/>
      <c r="J52" s="87"/>
      <c r="K52" s="87"/>
      <c r="L52" s="85"/>
      <c r="M52" s="85"/>
      <c r="N52" s="85"/>
    </row>
    <row r="53" spans="1:14" ht="15">
      <c r="A53" s="85"/>
      <c r="B53" s="87"/>
      <c r="C53" s="95"/>
      <c r="D53" s="100"/>
      <c r="E53" s="100"/>
      <c r="F53" s="92"/>
      <c r="G53" s="92"/>
      <c r="H53" s="92"/>
      <c r="I53" s="102"/>
      <c r="J53" s="102"/>
      <c r="K53" s="102"/>
      <c r="L53" s="85"/>
      <c r="M53" s="85"/>
      <c r="N53" s="85"/>
    </row>
    <row r="54" spans="1:14" ht="15">
      <c r="A54" s="85"/>
      <c r="B54" s="87"/>
      <c r="C54" s="87"/>
      <c r="D54" s="100"/>
      <c r="E54" s="100"/>
      <c r="F54" s="92"/>
      <c r="G54" s="92"/>
      <c r="H54" s="92"/>
      <c r="I54" s="87"/>
      <c r="J54" s="87"/>
      <c r="K54" s="87"/>
      <c r="L54" s="85"/>
      <c r="M54" s="85"/>
      <c r="N54" s="85"/>
    </row>
    <row r="55" spans="1:14" ht="15.75" thickBot="1">
      <c r="A55" s="85"/>
      <c r="B55" s="94" t="s">
        <v>181</v>
      </c>
      <c r="C55" s="105">
        <f>SUM(C37:C48)</f>
        <v>667300184</v>
      </c>
      <c r="D55" s="106">
        <f>SUM(D37:D48)</f>
        <v>1</v>
      </c>
      <c r="E55" s="106">
        <f>SUM(E37:E48)</f>
        <v>0</v>
      </c>
      <c r="F55" s="105">
        <f>D30</f>
        <v>8961867.5983312614</v>
      </c>
      <c r="G55" s="105">
        <f>D23</f>
        <v>783154.77208589076</v>
      </c>
      <c r="H55" s="92"/>
      <c r="I55" s="87"/>
      <c r="J55" s="87"/>
      <c r="K55" s="87"/>
      <c r="L55" s="85"/>
      <c r="M55" s="85"/>
      <c r="N55" s="85"/>
    </row>
    <row r="56" spans="1:14" ht="15.75" thickTop="1">
      <c r="A56" s="85"/>
      <c r="B56" s="87"/>
      <c r="C56" s="87"/>
      <c r="D56" s="87"/>
      <c r="E56" s="87"/>
      <c r="F56" s="87"/>
      <c r="G56" s="87"/>
      <c r="H56" s="92"/>
      <c r="I56" s="87"/>
      <c r="J56" s="87"/>
      <c r="K56" s="107" t="s">
        <v>182</v>
      </c>
      <c r="L56" s="85"/>
      <c r="M56" s="85"/>
      <c r="N56" s="85"/>
    </row>
    <row r="57" spans="1:14" ht="1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1:14" ht="1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landscape" scale="6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P60"/>
  <sheetViews>
    <sheetView zoomScale="150" zoomScaleNormal="150" workbookViewId="0" topLeftCell="H30">
      <selection pane="topLeft" activeCell="P42" sqref="P42"/>
    </sheetView>
  </sheetViews>
  <sheetFormatPr defaultColWidth="9.14428571428571" defaultRowHeight="15"/>
  <cols>
    <col min="1" max="1" width="3.28571428571429" style="84" customWidth="1"/>
    <col min="2" max="2" width="48.5714285714286" style="84" customWidth="1"/>
    <col min="3" max="3" width="14.4285714285714" style="84" customWidth="1"/>
    <col min="4" max="4" width="14.1428571428571" style="84" customWidth="1"/>
    <col min="5" max="5" width="15.8571428571429" style="84" hidden="1" customWidth="1"/>
    <col min="6" max="6" width="12.5714285714286" style="84" bestFit="1" customWidth="1"/>
    <col min="7" max="7" width="11.8571428571429" style="84" hidden="1" customWidth="1"/>
    <col min="8" max="8" width="12.7142857142857" style="84" customWidth="1"/>
    <col min="9" max="9" width="10.8571428571429" style="84" customWidth="1"/>
    <col min="10" max="10" width="10.5714285714286" style="84" customWidth="1"/>
    <col min="11" max="11" width="11.8571428571429" style="84" bestFit="1" customWidth="1"/>
    <col min="12" max="12" width="14.4285714285714" style="84" customWidth="1"/>
    <col min="13" max="13" width="12" style="84" customWidth="1"/>
    <col min="14" max="15" width="14" style="84" bestFit="1" customWidth="1"/>
    <col min="16" max="16" width="11" style="84" customWidth="1"/>
    <col min="17" max="16384" width="9.14285714285714" style="84"/>
  </cols>
  <sheetData>
    <row r="1" spans="1:12" ht="15" customHeight="1">
      <c r="A1" s="185" t="s">
        <v>67</v>
      </c>
      <c r="B1" s="185"/>
      <c r="C1" s="185"/>
      <c r="D1" s="185"/>
      <c r="E1" s="185"/>
      <c r="L1" s="85"/>
    </row>
    <row r="2" spans="1:12" ht="15">
      <c r="A2" s="186" t="s">
        <v>141</v>
      </c>
      <c r="B2" s="186"/>
      <c r="C2" s="186"/>
      <c r="D2" s="186"/>
      <c r="E2" s="186"/>
      <c r="L2" s="85" t="s">
        <v>142</v>
      </c>
    </row>
    <row r="3" spans="1:12" ht="15">
      <c r="A3" s="186" t="s">
        <v>143</v>
      </c>
      <c r="B3" s="186"/>
      <c r="C3" s="186"/>
      <c r="D3" s="186"/>
      <c r="E3" s="186"/>
      <c r="L3" s="85"/>
    </row>
    <row r="4" spans="1:12" ht="15">
      <c r="A4" s="186" t="s">
        <v>194</v>
      </c>
      <c r="B4" s="186"/>
      <c r="C4" s="186"/>
      <c r="D4" s="186"/>
      <c r="E4" s="186"/>
      <c r="L4" s="85"/>
    </row>
    <row r="5" spans="1:5" ht="15">
      <c r="A5" s="186" t="s">
        <v>145</v>
      </c>
      <c r="B5" s="186"/>
      <c r="C5" s="186"/>
      <c r="D5" s="186"/>
      <c r="E5" s="186"/>
    </row>
    <row r="8" ht="15.75" thickBot="1"/>
    <row r="9" spans="1:15" ht="15.75" thickBot="1">
      <c r="A9" s="86" t="s">
        <v>146</v>
      </c>
      <c r="B9" s="85" t="s">
        <v>195</v>
      </c>
      <c r="C9" s="87"/>
      <c r="D9" s="87"/>
      <c r="E9" s="108"/>
      <c r="F9" s="88">
        <f>'Estimated Rev Req - bs'!H30</f>
        <v>15411326.795922559</v>
      </c>
      <c r="G9" s="87"/>
      <c r="H9" s="87"/>
      <c r="I9" s="89"/>
      <c r="J9" s="87"/>
      <c r="K9" s="87"/>
      <c r="L9" s="85"/>
      <c r="M9" s="85"/>
      <c r="N9" s="85"/>
      <c r="O9" s="85"/>
    </row>
    <row r="10" spans="1:15" ht="15">
      <c r="A10" s="86"/>
      <c r="B10" s="85" t="s">
        <v>48</v>
      </c>
      <c r="C10" s="90">
        <f>'Cons Dep Rate'!D2</f>
        <v>0.08738745172175022</v>
      </c>
      <c r="D10" s="91">
        <f>F$9*C10</f>
        <v>1346756.5763467981</v>
      </c>
      <c r="E10" s="92"/>
      <c r="F10" s="85"/>
      <c r="G10" s="87"/>
      <c r="H10" s="87"/>
      <c r="I10" s="89"/>
      <c r="J10" s="87"/>
      <c r="K10" s="87"/>
      <c r="L10" s="85"/>
      <c r="M10" s="85"/>
      <c r="N10" s="85"/>
      <c r="O10" s="85"/>
    </row>
    <row r="11" spans="1:15" ht="15">
      <c r="A11" s="86"/>
      <c r="B11" s="85" t="s">
        <v>49</v>
      </c>
      <c r="C11" s="90">
        <f>'Cons Dep Rate'!D3</f>
        <v>0.13143658889593543</v>
      </c>
      <c r="D11" s="91">
        <f t="shared" si="0" ref="D11:D16">F$9*C11</f>
        <v>2025612.224416587</v>
      </c>
      <c r="E11" s="92"/>
      <c r="F11" s="85"/>
      <c r="G11" s="87"/>
      <c r="H11" s="87"/>
      <c r="I11" s="89"/>
      <c r="J11" s="87"/>
      <c r="K11" s="87"/>
      <c r="L11" s="85"/>
      <c r="M11" s="85"/>
      <c r="N11" s="85"/>
      <c r="O11" s="85"/>
    </row>
    <row r="12" spans="1:15" ht="15">
      <c r="A12" s="86"/>
      <c r="B12" s="85" t="s">
        <v>50</v>
      </c>
      <c r="C12" s="90">
        <f>'Cons Dep Rate'!D4</f>
        <v>0.26687060101674964</v>
      </c>
      <c r="D12" s="91">
        <f t="shared" si="0"/>
        <v>4112830.0444933916</v>
      </c>
      <c r="E12" s="92"/>
      <c r="F12" s="85"/>
      <c r="G12" s="87"/>
      <c r="H12" s="87"/>
      <c r="I12" s="89"/>
      <c r="J12" s="87"/>
      <c r="K12" s="87"/>
      <c r="L12" s="85"/>
      <c r="M12" s="85"/>
      <c r="N12" s="85"/>
      <c r="O12" s="85"/>
    </row>
    <row r="13" spans="1:15" ht="15">
      <c r="A13" s="86"/>
      <c r="B13" s="85" t="s">
        <v>51</v>
      </c>
      <c r="C13" s="90">
        <f>'Cons Dep Rate'!D5</f>
        <v>0.21175145885771704</v>
      </c>
      <c r="D13" s="91">
        <f t="shared" si="0"/>
        <v>3263370.9319696277</v>
      </c>
      <c r="E13" s="92"/>
      <c r="F13" s="85"/>
      <c r="G13" s="87"/>
      <c r="H13" s="87"/>
      <c r="I13" s="89"/>
      <c r="J13" s="87"/>
      <c r="K13" s="87"/>
      <c r="L13" s="85"/>
      <c r="M13" s="85"/>
      <c r="N13" s="85"/>
      <c r="O13" s="85"/>
    </row>
    <row r="14" spans="1:15" ht="15">
      <c r="A14" s="86"/>
      <c r="B14" s="85" t="s">
        <v>52</v>
      </c>
      <c r="C14" s="90">
        <f>'Cons Dep Rate'!D6</f>
        <v>0.075787480911102226</v>
      </c>
      <c r="D14" s="91">
        <f t="shared" si="0"/>
        <v>1167985.6353607392</v>
      </c>
      <c r="E14" s="92"/>
      <c r="F14" s="85"/>
      <c r="G14" s="87"/>
      <c r="H14" s="87"/>
      <c r="I14" s="89"/>
      <c r="J14" s="87"/>
      <c r="K14" s="87"/>
      <c r="L14" s="85"/>
      <c r="M14" s="85"/>
      <c r="N14" s="85"/>
      <c r="O14" s="85"/>
    </row>
    <row r="15" spans="1:15" ht="15">
      <c r="A15" s="86"/>
      <c r="B15" s="85" t="s">
        <v>53</v>
      </c>
      <c r="C15" s="90">
        <f>'Cons Dep Rate'!D7</f>
        <v>0.097585928179103568</v>
      </c>
      <c r="D15" s="91">
        <f t="shared" si="0"/>
        <v>1503928.6298515932</v>
      </c>
      <c r="E15" s="92"/>
      <c r="F15" s="85"/>
      <c r="G15" s="87"/>
      <c r="H15" s="87"/>
      <c r="I15" s="89"/>
      <c r="J15" s="87"/>
      <c r="K15" s="87"/>
      <c r="L15" s="85"/>
      <c r="M15" s="85"/>
      <c r="N15" s="85"/>
      <c r="O15" s="85"/>
    </row>
    <row r="16" spans="1:15" ht="15">
      <c r="A16" s="86"/>
      <c r="B16" s="85" t="s">
        <v>54</v>
      </c>
      <c r="C16" s="90">
        <f>'Cons Dep Rate'!D8</f>
        <v>0.12918049041764196</v>
      </c>
      <c r="D16" s="91">
        <f t="shared" si="0"/>
        <v>1990842.7534838228</v>
      </c>
      <c r="E16" s="92"/>
      <c r="F16" s="85"/>
      <c r="G16" s="87"/>
      <c r="H16" s="87"/>
      <c r="I16" s="89"/>
      <c r="J16" s="87"/>
      <c r="K16" s="87"/>
      <c r="L16" s="85"/>
      <c r="M16" s="85"/>
      <c r="N16" s="85"/>
      <c r="O16" s="85"/>
    </row>
    <row r="17" spans="1:15" ht="15.75" thickBot="1">
      <c r="A17" s="85"/>
      <c r="B17" s="85" t="s">
        <v>148</v>
      </c>
      <c r="C17" s="85"/>
      <c r="D17" s="93">
        <f>SUM(D10:D16)</f>
        <v>15411326.795922559</v>
      </c>
      <c r="E17" s="85"/>
      <c r="F17" s="85"/>
      <c r="G17" s="87"/>
      <c r="H17" s="87"/>
      <c r="I17" s="89"/>
      <c r="J17" s="87"/>
      <c r="K17" s="87"/>
      <c r="L17" s="85"/>
      <c r="M17" s="85"/>
      <c r="N17" s="85"/>
      <c r="O17" s="85"/>
    </row>
    <row r="18" spans="1:15" ht="15.75" thickTop="1">
      <c r="A18" s="86"/>
      <c r="B18" s="85"/>
      <c r="C18" s="87"/>
      <c r="D18" s="91"/>
      <c r="E18" s="92"/>
      <c r="F18" s="85"/>
      <c r="G18" s="87"/>
      <c r="H18" s="87"/>
      <c r="I18" s="87"/>
      <c r="J18" s="87"/>
      <c r="K18" s="87"/>
      <c r="L18" s="85"/>
      <c r="M18" s="85"/>
      <c r="N18" s="85"/>
      <c r="O18" s="85"/>
    </row>
    <row r="19" spans="1:15" ht="15" hidden="1">
      <c r="A19" s="86" t="s">
        <v>149</v>
      </c>
      <c r="B19" s="85" t="s">
        <v>150</v>
      </c>
      <c r="C19" s="87"/>
      <c r="D19" s="91"/>
      <c r="E19" s="88"/>
      <c r="F19" s="85"/>
      <c r="G19" s="87"/>
      <c r="H19" s="87"/>
      <c r="I19" s="87"/>
      <c r="J19" s="87"/>
      <c r="K19" s="87"/>
      <c r="L19" s="85"/>
      <c r="M19" s="85"/>
      <c r="N19" s="85"/>
      <c r="O19" s="85"/>
    </row>
    <row r="20" spans="1:15" ht="15">
      <c r="A20" s="86" t="s">
        <v>196</v>
      </c>
      <c r="B20" s="85" t="s">
        <v>197</v>
      </c>
      <c r="C20" s="87"/>
      <c r="D20" s="91"/>
      <c r="E20" s="88"/>
      <c r="F20" s="88"/>
      <c r="G20" s="87"/>
      <c r="H20" s="87"/>
      <c r="I20" s="87"/>
      <c r="J20" s="87"/>
      <c r="K20" s="87"/>
      <c r="L20" s="85"/>
      <c r="M20" s="85"/>
      <c r="N20" s="85"/>
      <c r="O20" s="85"/>
    </row>
    <row r="21" spans="1:15" ht="15">
      <c r="A21" s="86"/>
      <c r="B21" s="85"/>
      <c r="C21" s="87"/>
      <c r="D21" s="91"/>
      <c r="E21" s="88"/>
      <c r="F21" s="85"/>
      <c r="G21" s="87"/>
      <c r="H21" s="87"/>
      <c r="I21" s="87"/>
      <c r="J21" s="87"/>
      <c r="K21" s="87"/>
      <c r="L21" s="85"/>
      <c r="M21" s="85"/>
      <c r="N21" s="85"/>
      <c r="O21" s="85"/>
    </row>
    <row r="22" spans="1:15" ht="15">
      <c r="A22" s="86" t="s">
        <v>149</v>
      </c>
      <c r="B22" s="85" t="s">
        <v>198</v>
      </c>
      <c r="C22" s="87"/>
      <c r="D22" s="91"/>
      <c r="E22" s="88"/>
      <c r="F22" s="88">
        <v>0</v>
      </c>
      <c r="G22" s="87"/>
      <c r="H22" s="87"/>
      <c r="I22" s="87" t="s">
        <v>89</v>
      </c>
      <c r="J22" s="87"/>
      <c r="K22" s="87"/>
      <c r="L22" s="85"/>
      <c r="M22" s="85"/>
      <c r="N22" s="85"/>
      <c r="O22" s="85"/>
    </row>
    <row r="23" spans="1:15" ht="15">
      <c r="A23" s="86"/>
      <c r="B23" s="85"/>
      <c r="C23" s="87"/>
      <c r="D23" s="91"/>
      <c r="E23" s="92"/>
      <c r="F23" s="85"/>
      <c r="G23" s="87"/>
      <c r="H23" s="87"/>
      <c r="I23" s="87"/>
      <c r="J23" s="87"/>
      <c r="K23" s="87"/>
      <c r="L23" s="85"/>
      <c r="M23" s="85"/>
      <c r="N23" s="85"/>
      <c r="O23" s="85"/>
    </row>
    <row r="24" spans="1:15" ht="15">
      <c r="A24" s="86" t="s">
        <v>152</v>
      </c>
      <c r="B24" s="85" t="s">
        <v>199</v>
      </c>
      <c r="C24" s="87"/>
      <c r="D24" s="91"/>
      <c r="F24" s="88">
        <f>F9+F22+F20</f>
        <v>15411326.795922559</v>
      </c>
      <c r="G24" s="87"/>
      <c r="H24" s="87"/>
      <c r="I24" s="87"/>
      <c r="J24" s="87"/>
      <c r="K24" s="87"/>
      <c r="L24" s="85"/>
      <c r="M24" s="85"/>
      <c r="N24" s="85"/>
      <c r="O24" s="85"/>
    </row>
    <row r="25" spans="1:15" ht="15">
      <c r="A25" s="86"/>
      <c r="B25" s="85" t="s">
        <v>48</v>
      </c>
      <c r="C25" s="90">
        <f t="shared" si="1" ref="C25:C31">C10</f>
        <v>0.08738745172175022</v>
      </c>
      <c r="D25" s="91">
        <f>F$24*C25</f>
        <v>1346756.5763467981</v>
      </c>
      <c r="E25" s="92"/>
      <c r="F25" s="85"/>
      <c r="G25" s="87"/>
      <c r="H25" s="87"/>
      <c r="I25" s="87"/>
      <c r="J25" s="87"/>
      <c r="K25" s="87"/>
      <c r="L25" s="85"/>
      <c r="M25" s="85"/>
      <c r="N25" s="85"/>
      <c r="O25" s="85"/>
    </row>
    <row r="26" spans="1:15" ht="15">
      <c r="A26" s="86"/>
      <c r="B26" s="85" t="s">
        <v>49</v>
      </c>
      <c r="C26" s="90">
        <f t="shared" si="1"/>
        <v>0.13143658889593543</v>
      </c>
      <c r="D26" s="91">
        <f t="shared" si="2" ref="D26:D31">F$24*C26</f>
        <v>2025612.224416587</v>
      </c>
      <c r="E26" s="92"/>
      <c r="F26" s="85"/>
      <c r="G26" s="87"/>
      <c r="H26" s="87"/>
      <c r="I26" s="87"/>
      <c r="J26" s="87"/>
      <c r="K26" s="87"/>
      <c r="L26" s="85"/>
      <c r="M26" s="85"/>
      <c r="N26" s="85"/>
      <c r="O26" s="85"/>
    </row>
    <row r="27" spans="1:15" ht="15">
      <c r="A27" s="86"/>
      <c r="B27" s="85" t="s">
        <v>50</v>
      </c>
      <c r="C27" s="90">
        <f t="shared" si="1"/>
        <v>0.26687060101674964</v>
      </c>
      <c r="D27" s="91">
        <f t="shared" si="2"/>
        <v>4112830.0444933916</v>
      </c>
      <c r="E27" s="92"/>
      <c r="F27" s="85"/>
      <c r="G27" s="87"/>
      <c r="H27" s="87"/>
      <c r="I27" s="87"/>
      <c r="J27" s="87"/>
      <c r="K27" s="87"/>
      <c r="L27" s="85"/>
      <c r="M27" s="85"/>
      <c r="N27" s="85"/>
      <c r="O27" s="85"/>
    </row>
    <row r="28" spans="1:15" ht="15">
      <c r="A28" s="86"/>
      <c r="B28" s="85" t="s">
        <v>51</v>
      </c>
      <c r="C28" s="90">
        <f t="shared" si="1"/>
        <v>0.21175145885771704</v>
      </c>
      <c r="D28" s="91">
        <f t="shared" si="2"/>
        <v>3263370.9319696277</v>
      </c>
      <c r="E28" s="92"/>
      <c r="F28" s="85"/>
      <c r="G28" s="87"/>
      <c r="H28" s="87"/>
      <c r="I28" s="87"/>
      <c r="J28" s="87"/>
      <c r="K28" s="87"/>
      <c r="L28" s="85"/>
      <c r="M28" s="85"/>
      <c r="N28" s="85"/>
      <c r="O28" s="85"/>
    </row>
    <row r="29" spans="1:15" ht="15">
      <c r="A29" s="86"/>
      <c r="B29" s="85" t="s">
        <v>52</v>
      </c>
      <c r="C29" s="90">
        <f t="shared" si="1"/>
        <v>0.075787480911102226</v>
      </c>
      <c r="D29" s="91">
        <f t="shared" si="2"/>
        <v>1167985.6353607392</v>
      </c>
      <c r="E29" s="92"/>
      <c r="F29" s="85"/>
      <c r="G29" s="87"/>
      <c r="H29" s="87"/>
      <c r="I29" s="87"/>
      <c r="J29" s="87"/>
      <c r="K29" s="87"/>
      <c r="L29" s="85"/>
      <c r="M29" s="85"/>
      <c r="N29" s="85"/>
      <c r="O29" s="85"/>
    </row>
    <row r="30" spans="1:15" ht="15">
      <c r="A30" s="86"/>
      <c r="B30" s="85" t="s">
        <v>53</v>
      </c>
      <c r="C30" s="90">
        <f t="shared" si="1"/>
        <v>0.097585928179103568</v>
      </c>
      <c r="D30" s="91">
        <f t="shared" si="2"/>
        <v>1503928.6298515932</v>
      </c>
      <c r="E30" s="92"/>
      <c r="F30" s="85"/>
      <c r="G30" s="87"/>
      <c r="H30" s="87"/>
      <c r="I30" s="87"/>
      <c r="J30" s="87"/>
      <c r="K30" s="87"/>
      <c r="L30" s="85"/>
      <c r="M30" s="85"/>
      <c r="N30" s="85"/>
      <c r="O30" s="85"/>
    </row>
    <row r="31" spans="1:15" ht="15">
      <c r="A31" s="86"/>
      <c r="B31" s="85" t="s">
        <v>54</v>
      </c>
      <c r="C31" s="90">
        <f t="shared" si="1"/>
        <v>0.12918049041764196</v>
      </c>
      <c r="D31" s="91">
        <f t="shared" si="2"/>
        <v>1990842.7534838228</v>
      </c>
      <c r="E31" s="92"/>
      <c r="F31" s="85"/>
      <c r="G31" s="87"/>
      <c r="H31" s="87"/>
      <c r="I31" s="87"/>
      <c r="J31" s="87"/>
      <c r="K31" s="87"/>
      <c r="L31" s="85"/>
      <c r="M31" s="85"/>
      <c r="N31" s="85"/>
      <c r="O31" s="85"/>
    </row>
    <row r="32" spans="1:15" ht="15.75" thickBot="1">
      <c r="A32" s="86"/>
      <c r="B32" s="85" t="s">
        <v>148</v>
      </c>
      <c r="C32" s="87"/>
      <c r="D32" s="93">
        <f>SUM(D25:D31)</f>
        <v>15411326.795922559</v>
      </c>
      <c r="E32" s="92"/>
      <c r="F32" s="85"/>
      <c r="G32" s="87"/>
      <c r="H32" s="87"/>
      <c r="I32" s="87"/>
      <c r="J32" s="87"/>
      <c r="K32" s="87"/>
      <c r="L32" s="85"/>
      <c r="M32" s="85"/>
      <c r="N32" s="85"/>
      <c r="O32" s="85"/>
    </row>
    <row r="33" spans="1:15" ht="15.75" thickTop="1">
      <c r="A33" s="85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5"/>
      <c r="M33" s="85"/>
      <c r="N33" s="85"/>
      <c r="O33" s="85"/>
    </row>
    <row r="34" spans="1:15" ht="15">
      <c r="A34" s="85"/>
      <c r="B34" s="87"/>
      <c r="C34" s="87"/>
      <c r="D34" s="87"/>
      <c r="E34" s="87"/>
      <c r="F34" s="87"/>
      <c r="G34" s="94"/>
      <c r="H34" s="95"/>
      <c r="I34" s="87"/>
      <c r="J34" s="87"/>
      <c r="K34" s="87"/>
      <c r="L34" s="85"/>
      <c r="M34" s="85"/>
      <c r="N34" s="85"/>
      <c r="O34" s="85"/>
    </row>
    <row r="35" spans="1:15" ht="15">
      <c r="A35" s="85"/>
      <c r="B35" s="87"/>
      <c r="C35" s="87"/>
      <c r="D35" s="87"/>
      <c r="E35" s="87"/>
      <c r="F35" s="94"/>
      <c r="G35" s="87"/>
      <c r="H35" s="94" t="s">
        <v>154</v>
      </c>
      <c r="I35" s="87"/>
      <c r="J35" s="96" t="s">
        <v>155</v>
      </c>
      <c r="K35" s="96" t="s">
        <v>156</v>
      </c>
      <c r="L35" s="96"/>
      <c r="M35" s="96" t="s">
        <v>157</v>
      </c>
      <c r="N35" s="96" t="s">
        <v>200</v>
      </c>
      <c r="O35" s="96" t="s">
        <v>201</v>
      </c>
    </row>
    <row r="36" spans="1:16" ht="15">
      <c r="A36" s="85"/>
      <c r="B36" s="94" t="s">
        <v>158</v>
      </c>
      <c r="C36" s="86" t="s">
        <v>202</v>
      </c>
      <c r="D36" s="94" t="s">
        <v>160</v>
      </c>
      <c r="E36" s="94" t="s">
        <v>161</v>
      </c>
      <c r="F36" s="94"/>
      <c r="G36" s="94"/>
      <c r="H36" s="94" t="s">
        <v>162</v>
      </c>
      <c r="I36" s="94" t="s">
        <v>163</v>
      </c>
      <c r="J36" s="96" t="s">
        <v>164</v>
      </c>
      <c r="K36" s="96" t="s">
        <v>165</v>
      </c>
      <c r="L36" s="96" t="s">
        <v>165</v>
      </c>
      <c r="M36" s="96" t="s">
        <v>166</v>
      </c>
      <c r="N36" s="96" t="s">
        <v>203</v>
      </c>
      <c r="O36" s="96" t="s">
        <v>166</v>
      </c>
      <c r="P36" s="85" t="s">
        <v>167</v>
      </c>
    </row>
    <row r="37" spans="1:16" ht="15">
      <c r="A37" s="85"/>
      <c r="B37" s="97" t="s">
        <v>168</v>
      </c>
      <c r="C37" s="97" t="s">
        <v>113</v>
      </c>
      <c r="D37" s="97" t="s">
        <v>169</v>
      </c>
      <c r="E37" s="97" t="s">
        <v>169</v>
      </c>
      <c r="F37" s="97" t="s">
        <v>170</v>
      </c>
      <c r="G37" s="97" t="s">
        <v>170</v>
      </c>
      <c r="H37" s="97" t="s">
        <v>113</v>
      </c>
      <c r="I37" s="97" t="s">
        <v>171</v>
      </c>
      <c r="J37" s="98" t="s">
        <v>172</v>
      </c>
      <c r="K37" s="98" t="s">
        <v>113</v>
      </c>
      <c r="L37" s="98" t="s">
        <v>173</v>
      </c>
      <c r="M37" s="99" t="s">
        <v>174</v>
      </c>
      <c r="N37" s="99" t="s">
        <v>204</v>
      </c>
      <c r="O37" s="99" t="s">
        <v>174</v>
      </c>
      <c r="P37" s="143" t="s">
        <v>175</v>
      </c>
    </row>
    <row r="38" spans="1:15" ht="15">
      <c r="A38" s="85"/>
      <c r="B38" s="87"/>
      <c r="C38" s="87"/>
      <c r="D38" s="87"/>
      <c r="E38" s="87"/>
      <c r="F38" s="87"/>
      <c r="G38" s="87"/>
      <c r="H38" s="87"/>
      <c r="I38" s="87"/>
      <c r="J38" s="87"/>
      <c r="K38" s="85"/>
      <c r="L38" s="85"/>
      <c r="M38" s="85"/>
      <c r="N38" s="85"/>
      <c r="O38" s="85"/>
    </row>
    <row r="39" spans="1:16" ht="15">
      <c r="A39" s="85"/>
      <c r="B39" s="87" t="s">
        <v>83</v>
      </c>
      <c r="C39" s="95">
        <f>'Budgeted Volumes and Margins '!R3</f>
        <v>319678019</v>
      </c>
      <c r="D39" s="100">
        <v>0.54224562856741398</v>
      </c>
      <c r="E39" s="100">
        <v>0</v>
      </c>
      <c r="F39" s="92">
        <f>D39*$F$57</f>
        <v>8356724.5855128579</v>
      </c>
      <c r="G39" s="92">
        <f>D39*$F$57</f>
        <v>8356724.5855128579</v>
      </c>
      <c r="H39" s="101">
        <f>G39/C39</f>
        <v>0.026141067226498477</v>
      </c>
      <c r="I39" s="102">
        <v>1.0007200000000001</v>
      </c>
      <c r="J39" s="101">
        <f>H39*I39</f>
        <v>0.026159888794901557</v>
      </c>
      <c r="K39" s="95">
        <f>'Annual usage per customer'!H23</f>
        <v>12000</v>
      </c>
      <c r="L39" s="103">
        <f>J39*K39</f>
        <v>313.91866553881869</v>
      </c>
      <c r="M39" s="103">
        <f>L39/12</f>
        <v>26.159888794901558</v>
      </c>
      <c r="N39" s="103">
        <f>0.0128*K39/12</f>
        <v>12.799999999999999</v>
      </c>
      <c r="O39" s="164">
        <f>M39-N39</f>
        <v>13.359888794901559</v>
      </c>
      <c r="P39" s="128"/>
    </row>
    <row r="40" spans="1:15" ht="15">
      <c r="A40" s="85"/>
      <c r="B40" s="87"/>
      <c r="C40" s="95"/>
      <c r="D40" s="100"/>
      <c r="E40" s="100"/>
      <c r="F40" s="92"/>
      <c r="G40" s="92"/>
      <c r="H40" s="87"/>
      <c r="I40" s="87"/>
      <c r="J40" s="87"/>
      <c r="K40" s="85"/>
      <c r="L40" s="85"/>
      <c r="M40" s="85"/>
      <c r="N40" s="85"/>
      <c r="O40" s="85"/>
    </row>
    <row r="41" spans="1:16" ht="15">
      <c r="A41" s="85"/>
      <c r="B41" s="87" t="s">
        <v>176</v>
      </c>
      <c r="C41" s="95">
        <f>'Budgeted Volumes and Margins '!R5</f>
        <v>55227992</v>
      </c>
      <c r="D41" s="100">
        <v>0.10919312586305209</v>
      </c>
      <c r="E41" s="100">
        <v>0</v>
      </c>
      <c r="F41" s="92">
        <f>D41*$F$57</f>
        <v>1682810.9465437992</v>
      </c>
      <c r="G41" s="92">
        <f>D41*$F$57</f>
        <v>1682810.9465437992</v>
      </c>
      <c r="H41" s="101">
        <f>G41/C41</f>
        <v>0.030470254043344528</v>
      </c>
      <c r="I41" s="102">
        <v>1.0007200000000001</v>
      </c>
      <c r="J41" s="101">
        <f>H41*I41</f>
        <v>0.030492192626255736</v>
      </c>
      <c r="K41" s="95">
        <f>'Annual usage per customer'!H25</f>
        <v>15000</v>
      </c>
      <c r="L41" s="103">
        <f>J41*K41</f>
        <v>457.38288939383602</v>
      </c>
      <c r="M41" s="103">
        <f>L41/12</f>
        <v>38.115240782819669</v>
      </c>
      <c r="N41" s="103">
        <f>0.0128*K41/12</f>
        <v>16</v>
      </c>
      <c r="O41" s="103">
        <f>M41-N41</f>
        <v>22.115240782819669</v>
      </c>
      <c r="P41" s="165">
        <v>0.127</v>
      </c>
    </row>
    <row r="42" spans="1:15" ht="15">
      <c r="A42" s="85"/>
      <c r="B42" s="89"/>
      <c r="C42" s="95"/>
      <c r="D42" s="100"/>
      <c r="E42" s="100"/>
      <c r="F42" s="92"/>
      <c r="G42" s="92"/>
      <c r="H42" s="102"/>
      <c r="I42" s="102"/>
      <c r="J42" s="102"/>
      <c r="K42" s="85"/>
      <c r="L42" s="85"/>
      <c r="M42" s="85"/>
      <c r="N42" s="85"/>
      <c r="O42" s="85"/>
    </row>
    <row r="43" spans="1:16" ht="15">
      <c r="A43" s="85"/>
      <c r="B43" s="89" t="s">
        <v>177</v>
      </c>
      <c r="C43" s="95">
        <f>'Budgeted Volumes and Margins '!R7</f>
        <v>177207167</v>
      </c>
      <c r="D43" s="100">
        <v>0.15718206808731616</v>
      </c>
      <c r="E43" s="100">
        <v>0</v>
      </c>
      <c r="F43" s="92">
        <f>D43*$F$57</f>
        <v>2422384.2177525796</v>
      </c>
      <c r="G43" s="92">
        <f>D43*$F$57</f>
        <v>2422384.2177525796</v>
      </c>
      <c r="H43" s="101">
        <f>G43/C43</f>
        <v>0.01366978694350765</v>
      </c>
      <c r="I43" s="102">
        <v>1.0007200000000001</v>
      </c>
      <c r="J43" s="101">
        <f>H43*I43</f>
        <v>0.013679629190106976</v>
      </c>
      <c r="K43" s="95">
        <f>'Annual usage per customer'!H27</f>
        <v>264000</v>
      </c>
      <c r="L43" s="103">
        <f>J43*K43</f>
        <v>3611.4221061882417</v>
      </c>
      <c r="M43" s="103">
        <f>L43/12</f>
        <v>300.95184218235346</v>
      </c>
      <c r="N43" s="103">
        <f>0.0128*K43/12</f>
        <v>281.60000000000002</v>
      </c>
      <c r="O43" s="103">
        <f>M43-N43</f>
        <v>19.351842182353437</v>
      </c>
      <c r="P43" s="165">
        <v>0.0057999999999999996</v>
      </c>
    </row>
    <row r="44" spans="1:16" ht="15">
      <c r="A44" s="85"/>
      <c r="B44" s="89"/>
      <c r="C44" s="95"/>
      <c r="D44" s="100"/>
      <c r="E44" s="100"/>
      <c r="F44" s="92"/>
      <c r="G44" s="92"/>
      <c r="H44" s="87"/>
      <c r="I44" s="87"/>
      <c r="J44" s="87"/>
      <c r="K44" s="85"/>
      <c r="L44" s="85"/>
      <c r="M44" s="85"/>
      <c r="N44" s="85"/>
      <c r="O44" s="85"/>
      <c r="P44" s="144"/>
    </row>
    <row r="45" spans="1:16" ht="15">
      <c r="A45" s="85"/>
      <c r="B45" s="104" t="s">
        <v>178</v>
      </c>
      <c r="C45" s="95">
        <f>'Budgeted Volumes and Margins '!R9</f>
        <v>83215933</v>
      </c>
      <c r="D45" s="100">
        <v>0.086131387968694142</v>
      </c>
      <c r="E45" s="100">
        <v>0</v>
      </c>
      <c r="F45" s="92">
        <f>D45*$F$57</f>
        <v>1327398.9673719378</v>
      </c>
      <c r="G45" s="92">
        <f>D45*$F$57</f>
        <v>1327398.9673719378</v>
      </c>
      <c r="H45" s="101">
        <f>G45/C45</f>
        <v>0.015951259807084513</v>
      </c>
      <c r="I45" s="102">
        <v>1.0007200000000001</v>
      </c>
      <c r="J45" s="101">
        <f>H45*I45</f>
        <v>0.015962744714145615</v>
      </c>
      <c r="K45" s="95">
        <f>'Annual usage per customer'!H29</f>
        <v>2870000</v>
      </c>
      <c r="L45" s="103">
        <f>J45*K45</f>
        <v>45813.077329597916</v>
      </c>
      <c r="M45" s="103">
        <f>L45/12</f>
        <v>3817.7564441331597</v>
      </c>
      <c r="N45" s="103">
        <f>0.0128*K45/12</f>
        <v>3061.3333333333335</v>
      </c>
      <c r="O45" s="103">
        <f>M45-N45</f>
        <v>756.42311079982619</v>
      </c>
      <c r="P45" s="165">
        <v>0.026599999999999999</v>
      </c>
    </row>
    <row r="46" spans="1:16" ht="15">
      <c r="A46" s="85"/>
      <c r="B46" s="89"/>
      <c r="C46" s="95"/>
      <c r="D46" s="100"/>
      <c r="E46" s="100"/>
      <c r="F46" s="92"/>
      <c r="G46" s="92"/>
      <c r="H46" s="87"/>
      <c r="I46" s="87"/>
      <c r="J46" s="87"/>
      <c r="K46" s="85"/>
      <c r="L46" s="85"/>
      <c r="M46" s="85"/>
      <c r="N46" s="85"/>
      <c r="O46" s="85"/>
      <c r="P46" s="144"/>
    </row>
    <row r="47" spans="1:16" ht="15">
      <c r="A47" s="85"/>
      <c r="B47" s="89" t="s">
        <v>179</v>
      </c>
      <c r="C47" s="95">
        <f>'Budgeted Volumes and Margins '!R11</f>
        <v>24177969</v>
      </c>
      <c r="D47" s="100">
        <v>0.028581612338253102</v>
      </c>
      <c r="E47" s="100">
        <v>0</v>
      </c>
      <c r="F47" s="92">
        <f>D47*$F$57</f>
        <v>440480.56809919083</v>
      </c>
      <c r="G47" s="92">
        <f>D47*$F$57</f>
        <v>440480.56809919083</v>
      </c>
      <c r="H47" s="101">
        <f>G47/C47</f>
        <v>0.018218261761324569</v>
      </c>
      <c r="I47" s="102">
        <v>1.0007200000000001</v>
      </c>
      <c r="J47" s="101">
        <f>H47*I47</f>
        <v>0.018231378909792723</v>
      </c>
      <c r="K47" s="95">
        <f>'Annual usage per customer'!H31</f>
        <v>12089000</v>
      </c>
      <c r="L47" s="103">
        <f>J47*K47</f>
        <v>220399.13964048424</v>
      </c>
      <c r="M47" s="103">
        <f>L47/12</f>
        <v>18366.594970040354</v>
      </c>
      <c r="N47" s="103">
        <f>0.0128*K47/12</f>
        <v>12894.933333333334</v>
      </c>
      <c r="O47" s="103">
        <f>M47-N47</f>
        <v>5471.6616367070201</v>
      </c>
      <c r="P47" s="165">
        <v>0.025999999999999999</v>
      </c>
    </row>
    <row r="48" spans="1:15" ht="15">
      <c r="A48" s="85"/>
      <c r="B48" s="89"/>
      <c r="C48" s="95"/>
      <c r="D48" s="100"/>
      <c r="E48" s="100"/>
      <c r="F48" s="92"/>
      <c r="G48" s="92"/>
      <c r="H48" s="87"/>
      <c r="I48" s="87"/>
      <c r="J48" s="87"/>
      <c r="K48" s="85"/>
      <c r="L48" s="85"/>
      <c r="M48" s="85"/>
      <c r="N48" s="85"/>
      <c r="O48" s="85"/>
    </row>
    <row r="49" spans="1:15" ht="15">
      <c r="A49" s="85"/>
      <c r="B49" s="87" t="s">
        <v>180</v>
      </c>
      <c r="C49" s="95">
        <f>'Budgeted Volumes and Margins '!R13</f>
        <v>7547646</v>
      </c>
      <c r="D49" s="100">
        <v>0.076666177175270536</v>
      </c>
      <c r="E49" s="100">
        <v>0</v>
      </c>
      <c r="F49" s="92">
        <f>D49*$F$57</f>
        <v>1181527.5106421933</v>
      </c>
      <c r="G49" s="92">
        <f>D49*$F$57</f>
        <v>1181527.5106421933</v>
      </c>
      <c r="H49" s="101">
        <f>G49/C49</f>
        <v>0.15654251810991046</v>
      </c>
      <c r="I49" s="102">
        <v>1.0007200000000001</v>
      </c>
      <c r="J49" s="101">
        <f>H49*I49</f>
        <v>0.1566552287229496</v>
      </c>
      <c r="K49" s="95">
        <f>'Annual usage per customer'!H33</f>
        <v>3000</v>
      </c>
      <c r="L49" s="103">
        <f>J49*K49</f>
        <v>469.96568616884878</v>
      </c>
      <c r="M49" s="103">
        <f>L49/12</f>
        <v>39.1638071807374</v>
      </c>
      <c r="N49" s="103">
        <f>0.0128*K49/12</f>
        <v>3.1999999999999997</v>
      </c>
      <c r="O49" s="103">
        <f>M49-N49</f>
        <v>35.963807180737398</v>
      </c>
    </row>
    <row r="50" spans="1:15" ht="15">
      <c r="A50" s="85"/>
      <c r="B50" s="87"/>
      <c r="C50" s="95"/>
      <c r="D50" s="100"/>
      <c r="E50" s="100"/>
      <c r="F50" s="92"/>
      <c r="G50" s="92"/>
      <c r="H50" s="87"/>
      <c r="I50" s="87"/>
      <c r="J50" s="87"/>
      <c r="K50" s="85"/>
      <c r="L50" s="85"/>
      <c r="M50" s="103"/>
      <c r="N50" s="103"/>
      <c r="O50" s="103"/>
    </row>
    <row r="51" spans="1:15" ht="15">
      <c r="A51" s="85"/>
      <c r="B51" s="87"/>
      <c r="C51" s="95"/>
      <c r="D51" s="100"/>
      <c r="E51" s="100"/>
      <c r="F51" s="92"/>
      <c r="G51" s="92"/>
      <c r="H51" s="92"/>
      <c r="I51" s="102"/>
      <c r="J51" s="102"/>
      <c r="K51" s="102"/>
      <c r="L51" s="85"/>
      <c r="M51" s="85"/>
      <c r="N51" s="85"/>
      <c r="O51" s="85"/>
    </row>
    <row r="52" spans="1:15" ht="15">
      <c r="A52" s="85"/>
      <c r="B52" s="87"/>
      <c r="C52" s="95"/>
      <c r="D52" s="100"/>
      <c r="E52" s="100"/>
      <c r="F52" s="92"/>
      <c r="G52" s="92"/>
      <c r="H52" s="92"/>
      <c r="I52" s="87"/>
      <c r="J52" s="87"/>
      <c r="K52" s="87"/>
      <c r="L52" s="85"/>
      <c r="M52" s="85"/>
      <c r="N52" s="85"/>
      <c r="O52" s="85"/>
    </row>
    <row r="53" spans="1:15" ht="15">
      <c r="A53" s="85"/>
      <c r="B53" s="87"/>
      <c r="C53" s="95"/>
      <c r="D53" s="100"/>
      <c r="E53" s="100"/>
      <c r="F53" s="92"/>
      <c r="G53" s="92"/>
      <c r="H53" s="92"/>
      <c r="I53" s="102"/>
      <c r="J53" s="102"/>
      <c r="K53" s="102"/>
      <c r="L53" s="85"/>
      <c r="M53" s="85"/>
      <c r="N53" s="85"/>
      <c r="O53" s="85"/>
    </row>
    <row r="54" spans="1:15" ht="15">
      <c r="A54" s="85"/>
      <c r="B54" s="87"/>
      <c r="C54" s="87"/>
      <c r="D54" s="100"/>
      <c r="E54" s="100"/>
      <c r="F54" s="92"/>
      <c r="G54" s="92"/>
      <c r="H54" s="92"/>
      <c r="I54" s="87"/>
      <c r="J54" s="87"/>
      <c r="K54" s="87"/>
      <c r="L54" s="85"/>
      <c r="M54" s="85"/>
      <c r="N54" s="85"/>
      <c r="O54" s="85"/>
    </row>
    <row r="55" spans="1:15" ht="15">
      <c r="A55" s="85"/>
      <c r="B55" s="87"/>
      <c r="C55" s="95"/>
      <c r="D55" s="100"/>
      <c r="E55" s="100"/>
      <c r="F55" s="92"/>
      <c r="G55" s="92"/>
      <c r="H55" s="92"/>
      <c r="I55" s="102"/>
      <c r="J55" s="102"/>
      <c r="K55" s="102"/>
      <c r="L55" s="85"/>
      <c r="M55" s="85"/>
      <c r="N55" s="85"/>
      <c r="O55" s="85"/>
    </row>
    <row r="56" spans="1:15" ht="15">
      <c r="A56" s="85"/>
      <c r="B56" s="87"/>
      <c r="C56" s="87"/>
      <c r="D56" s="100"/>
      <c r="E56" s="100"/>
      <c r="F56" s="92"/>
      <c r="G56" s="92"/>
      <c r="H56" s="92"/>
      <c r="I56" s="87"/>
      <c r="J56" s="87"/>
      <c r="K56" s="87"/>
      <c r="L56" s="85"/>
      <c r="M56" s="85"/>
      <c r="N56" s="85"/>
      <c r="O56" s="85"/>
    </row>
    <row r="57" spans="1:15" ht="15.75" thickBot="1">
      <c r="A57" s="85"/>
      <c r="B57" s="94" t="s">
        <v>181</v>
      </c>
      <c r="C57" s="105">
        <f>SUM(C39:C50)</f>
        <v>667054726</v>
      </c>
      <c r="D57" s="106">
        <f>SUM(D39:D50)</f>
        <v>1</v>
      </c>
      <c r="E57" s="106">
        <f>SUM(E39:E50)</f>
        <v>0</v>
      </c>
      <c r="F57" s="105">
        <f>D32</f>
        <v>15411326.795922559</v>
      </c>
      <c r="G57" s="105">
        <f>D25</f>
        <v>1346756.5763467981</v>
      </c>
      <c r="H57" s="92"/>
      <c r="I57" s="87"/>
      <c r="J57" s="87"/>
      <c r="K57" s="87"/>
      <c r="L57" s="85"/>
      <c r="M57" s="85"/>
      <c r="N57" s="85"/>
      <c r="O57" s="85"/>
    </row>
    <row r="58" spans="1:15" ht="15.75" thickTop="1">
      <c r="A58" s="85"/>
      <c r="B58" s="87"/>
      <c r="C58" s="87"/>
      <c r="D58" s="87"/>
      <c r="E58" s="87"/>
      <c r="F58" s="87"/>
      <c r="G58" s="87"/>
      <c r="H58" s="92"/>
      <c r="I58" s="87"/>
      <c r="J58" s="87"/>
      <c r="K58" s="107" t="s">
        <v>182</v>
      </c>
      <c r="L58" s="85"/>
      <c r="M58" s="85"/>
      <c r="N58" s="85"/>
      <c r="O58" s="85"/>
    </row>
    <row r="59" spans="1:15" ht="15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</row>
    <row r="60" spans="1:15" ht="1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horizontalDpi="1200" verticalDpi="120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T41"/>
  <sheetViews>
    <sheetView workbookViewId="0" topLeftCell="A1">
      <selection pane="topLeft" activeCell="C33" sqref="C33"/>
    </sheetView>
  </sheetViews>
  <sheetFormatPr defaultRowHeight="15"/>
  <cols>
    <col min="2" max="2" width="24" bestFit="1" customWidth="1"/>
    <col min="3" max="3" width="16" bestFit="1" customWidth="1"/>
    <col min="4" max="4" width="12.2857142857143" bestFit="1" customWidth="1"/>
    <col min="6" max="6" width="24" bestFit="1" customWidth="1"/>
    <col min="7" max="7" width="16" bestFit="1" customWidth="1"/>
    <col min="8" max="8" width="12.2857142857143" bestFit="1" customWidth="1"/>
    <col min="10" max="10" width="24" bestFit="1" customWidth="1"/>
    <col min="11" max="11" width="16" bestFit="1" customWidth="1"/>
    <col min="12" max="12" width="12.2857142857143" bestFit="1" customWidth="1"/>
    <col min="14" max="14" width="24" bestFit="1" customWidth="1"/>
    <col min="15" max="15" width="16" bestFit="1" customWidth="1"/>
    <col min="16" max="16" width="12.2857142857143" bestFit="1" customWidth="1"/>
    <col min="18" max="18" width="24" bestFit="1" customWidth="1"/>
    <col min="19" max="19" width="16" bestFit="1" customWidth="1"/>
    <col min="20" max="20" width="12.2857142857143" bestFit="1" customWidth="1"/>
  </cols>
  <sheetData>
    <row r="4" spans="2:20" ht="18.75" thickBot="1">
      <c r="B4" s="182" t="s">
        <v>123</v>
      </c>
      <c r="C4" s="183"/>
      <c r="D4" s="184"/>
      <c r="F4" s="182" t="s">
        <v>124</v>
      </c>
      <c r="G4" s="183"/>
      <c r="H4" s="184"/>
      <c r="J4" s="182" t="s">
        <v>125</v>
      </c>
      <c r="K4" s="183"/>
      <c r="L4" s="184"/>
      <c r="N4" s="182" t="s">
        <v>126</v>
      </c>
      <c r="O4" s="183"/>
      <c r="P4" s="184"/>
      <c r="R4" s="182" t="s">
        <v>127</v>
      </c>
      <c r="S4" s="183"/>
      <c r="T4" s="184"/>
    </row>
    <row r="5" spans="2:20" ht="15.75">
      <c r="B5" s="52" t="s">
        <v>128</v>
      </c>
      <c r="C5" s="53"/>
      <c r="D5" s="54" t="s">
        <v>129</v>
      </c>
      <c r="F5" s="52" t="s">
        <v>128</v>
      </c>
      <c r="G5" s="53"/>
      <c r="H5" s="54" t="s">
        <v>129</v>
      </c>
      <c r="J5" s="52" t="s">
        <v>128</v>
      </c>
      <c r="K5" s="53"/>
      <c r="L5" s="54" t="s">
        <v>129</v>
      </c>
      <c r="N5" s="52" t="s">
        <v>128</v>
      </c>
      <c r="O5" s="53"/>
      <c r="P5" s="54" t="s">
        <v>129</v>
      </c>
      <c r="R5" s="52" t="s">
        <v>128</v>
      </c>
      <c r="S5" s="53"/>
      <c r="T5" s="54" t="s">
        <v>129</v>
      </c>
    </row>
    <row r="6" spans="2:20" ht="15.75">
      <c r="B6" s="55" t="s">
        <v>129</v>
      </c>
      <c r="C6" s="56" t="s">
        <v>130</v>
      </c>
      <c r="D6" s="57">
        <v>1000</v>
      </c>
      <c r="F6" s="55" t="s">
        <v>129</v>
      </c>
      <c r="G6" s="56" t="s">
        <v>130</v>
      </c>
      <c r="H6" s="57">
        <v>1000</v>
      </c>
      <c r="J6" s="55" t="s">
        <v>129</v>
      </c>
      <c r="K6" s="56" t="s">
        <v>130</v>
      </c>
      <c r="L6" s="57">
        <v>1000</v>
      </c>
      <c r="N6" s="55" t="s">
        <v>129</v>
      </c>
      <c r="O6" s="56" t="s">
        <v>130</v>
      </c>
      <c r="P6" s="57">
        <v>1000</v>
      </c>
      <c r="R6" s="55" t="s">
        <v>129</v>
      </c>
      <c r="S6" s="56" t="s">
        <v>130</v>
      </c>
      <c r="T6" s="57">
        <v>1000</v>
      </c>
    </row>
    <row r="7" spans="2:20" ht="15.75">
      <c r="B7" s="55" t="s">
        <v>129</v>
      </c>
      <c r="C7" s="53" t="s">
        <v>44</v>
      </c>
      <c r="D7" s="58" t="s">
        <v>131</v>
      </c>
      <c r="F7" s="55" t="s">
        <v>129</v>
      </c>
      <c r="G7" s="53" t="s">
        <v>44</v>
      </c>
      <c r="H7" s="58" t="s">
        <v>131</v>
      </c>
      <c r="J7" s="55" t="s">
        <v>129</v>
      </c>
      <c r="K7" s="53" t="s">
        <v>44</v>
      </c>
      <c r="L7" s="58" t="s">
        <v>131</v>
      </c>
      <c r="N7" s="55" t="s">
        <v>129</v>
      </c>
      <c r="O7" s="53" t="s">
        <v>44</v>
      </c>
      <c r="P7" s="58" t="s">
        <v>131</v>
      </c>
      <c r="R7" s="55" t="s">
        <v>129</v>
      </c>
      <c r="S7" s="53" t="s">
        <v>44</v>
      </c>
      <c r="T7" s="58" t="s">
        <v>131</v>
      </c>
    </row>
    <row r="8" spans="2:20" ht="15.75">
      <c r="B8" s="55" t="s">
        <v>132</v>
      </c>
      <c r="C8" s="59">
        <v>16.949999999999999</v>
      </c>
      <c r="D8" s="60">
        <f>C8</f>
        <v>16.949999999999999</v>
      </c>
      <c r="F8" s="55" t="s">
        <v>132</v>
      </c>
      <c r="G8" s="59">
        <v>16.949999999999999</v>
      </c>
      <c r="H8" s="60">
        <f>G8</f>
        <v>16.949999999999999</v>
      </c>
      <c r="J8" s="55" t="s">
        <v>132</v>
      </c>
      <c r="K8" s="59">
        <v>16.949999999999999</v>
      </c>
      <c r="L8" s="60">
        <f>K8</f>
        <v>16.949999999999999</v>
      </c>
      <c r="N8" s="55" t="s">
        <v>132</v>
      </c>
      <c r="O8" s="59">
        <v>16.949999999999999</v>
      </c>
      <c r="P8" s="60">
        <f>O8</f>
        <v>16.949999999999999</v>
      </c>
      <c r="R8" s="55" t="s">
        <v>132</v>
      </c>
      <c r="S8" s="59">
        <v>16.949999999999999</v>
      </c>
      <c r="T8" s="60">
        <f>S8</f>
        <v>16.949999999999999</v>
      </c>
    </row>
    <row r="9" spans="2:20" ht="15.75">
      <c r="B9" s="55" t="s">
        <v>133</v>
      </c>
      <c r="C9" s="61">
        <v>0.023730000000000001</v>
      </c>
      <c r="D9" s="62">
        <f>D6*C9</f>
        <v>23.73</v>
      </c>
      <c r="F9" s="55" t="s">
        <v>133</v>
      </c>
      <c r="G9" s="61">
        <v>0.023730000000000001</v>
      </c>
      <c r="H9" s="62">
        <f>H6*G9</f>
        <v>23.73</v>
      </c>
      <c r="J9" s="55" t="s">
        <v>133</v>
      </c>
      <c r="K9" s="61">
        <v>0.023730000000000001</v>
      </c>
      <c r="L9" s="62">
        <f>L6*K9</f>
        <v>23.73</v>
      </c>
      <c r="N9" s="55" t="s">
        <v>133</v>
      </c>
      <c r="O9" s="61">
        <v>0.023730000000000001</v>
      </c>
      <c r="P9" s="62">
        <f>P6*O9</f>
        <v>23.73</v>
      </c>
      <c r="R9" s="55" t="s">
        <v>133</v>
      </c>
      <c r="S9" s="61">
        <v>0.023730000000000001</v>
      </c>
      <c r="T9" s="62">
        <f>T6*S9</f>
        <v>23.73</v>
      </c>
    </row>
    <row r="10" spans="2:20" ht="15.75">
      <c r="B10" s="55" t="s">
        <v>134</v>
      </c>
      <c r="C10" s="61">
        <v>0.069889999999999994</v>
      </c>
      <c r="D10" s="62">
        <f>D6*C10</f>
        <v>69.890000000000001</v>
      </c>
      <c r="F10" s="55" t="s">
        <v>134</v>
      </c>
      <c r="G10" s="61">
        <v>0.069889999999999994</v>
      </c>
      <c r="H10" s="62">
        <f>H6*G10</f>
        <v>69.890000000000001</v>
      </c>
      <c r="J10" s="55" t="s">
        <v>134</v>
      </c>
      <c r="K10" s="61">
        <v>0.069889999999999994</v>
      </c>
      <c r="L10" s="62">
        <f>L6*K10</f>
        <v>69.890000000000001</v>
      </c>
      <c r="N10" s="55" t="s">
        <v>134</v>
      </c>
      <c r="O10" s="61">
        <v>0.069889999999999994</v>
      </c>
      <c r="P10" s="62">
        <f>P6*O10</f>
        <v>69.890000000000001</v>
      </c>
      <c r="R10" s="55" t="s">
        <v>134</v>
      </c>
      <c r="S10" s="61">
        <v>0.069889999999999994</v>
      </c>
      <c r="T10" s="62">
        <f>T6*S10</f>
        <v>69.890000000000001</v>
      </c>
    </row>
    <row r="11" spans="2:20" ht="15.75">
      <c r="B11" s="55" t="s">
        <v>135</v>
      </c>
      <c r="C11" s="61">
        <v>0.00134</v>
      </c>
      <c r="D11" s="62">
        <f>D6*C11</f>
        <v>1.3400000000000001</v>
      </c>
      <c r="F11" s="55" t="s">
        <v>135</v>
      </c>
      <c r="G11" s="61">
        <v>0.00134</v>
      </c>
      <c r="H11" s="62">
        <f>H6*G11</f>
        <v>1.3400000000000001</v>
      </c>
      <c r="J11" s="55" t="s">
        <v>135</v>
      </c>
      <c r="K11" s="61">
        <v>0.00134</v>
      </c>
      <c r="L11" s="62">
        <f>L6*K11</f>
        <v>1.3400000000000001</v>
      </c>
      <c r="N11" s="55" t="s">
        <v>135</v>
      </c>
      <c r="O11" s="61">
        <v>0.00134</v>
      </c>
      <c r="P11" s="62">
        <f>P6*O11</f>
        <v>1.3400000000000001</v>
      </c>
      <c r="R11" s="55" t="s">
        <v>135</v>
      </c>
      <c r="S11" s="61">
        <v>0.00134</v>
      </c>
      <c r="T11" s="62">
        <f>T6*S11</f>
        <v>1.3400000000000001</v>
      </c>
    </row>
    <row r="12" spans="2:20" ht="15.75">
      <c r="B12" s="55" t="s">
        <v>136</v>
      </c>
      <c r="C12" s="61">
        <v>0.012800000000000001</v>
      </c>
      <c r="D12" s="62">
        <f>D$6*C12</f>
        <v>12.800000000000001</v>
      </c>
      <c r="F12" s="55" t="s">
        <v>136</v>
      </c>
      <c r="G12" s="61">
        <v>0.012800000000000001</v>
      </c>
      <c r="H12" s="62">
        <f>H$6*G12</f>
        <v>12.800000000000001</v>
      </c>
      <c r="J12" s="55" t="s">
        <v>136</v>
      </c>
      <c r="K12" s="61">
        <v>0.012800000000000001</v>
      </c>
      <c r="L12" s="62">
        <f>L$6*K12</f>
        <v>12.800000000000001</v>
      </c>
      <c r="N12" s="55" t="s">
        <v>136</v>
      </c>
      <c r="O12" s="61">
        <v>0.012800000000000001</v>
      </c>
      <c r="P12" s="62">
        <f>P$6*O12</f>
        <v>12.800000000000001</v>
      </c>
      <c r="R12" s="55" t="s">
        <v>136</v>
      </c>
      <c r="S12" s="61">
        <v>0.012800000000000001</v>
      </c>
      <c r="T12" s="62">
        <f>T$6*S12</f>
        <v>12.800000000000001</v>
      </c>
    </row>
    <row r="13" spans="2:20" ht="15.75">
      <c r="B13" s="55" t="s">
        <v>68</v>
      </c>
      <c r="C13" s="61">
        <f>0.0706-0.06989</f>
        <v>0.0007100000000000023</v>
      </c>
      <c r="D13" s="62">
        <f>D$6*C13</f>
        <v>0.7100000000000023</v>
      </c>
      <c r="F13" s="55" t="s">
        <v>68</v>
      </c>
      <c r="G13" s="61">
        <f>0.07166-0.06989</f>
        <v>0.0017700000000000077</v>
      </c>
      <c r="H13" s="62">
        <f>H$6*G13</f>
        <v>1.7700000000000076</v>
      </c>
      <c r="J13" s="55" t="s">
        <v>68</v>
      </c>
      <c r="K13" s="61">
        <f>0.07289-0.06989</f>
        <v>0.0030000000000000027</v>
      </c>
      <c r="L13" s="62">
        <f>L$6*K13</f>
        <v>3.0000000000000027</v>
      </c>
      <c r="N13" s="55" t="s">
        <v>68</v>
      </c>
      <c r="O13" s="61">
        <f>0.07337-0.06989</f>
        <v>0.0034800000000000109</v>
      </c>
      <c r="P13" s="62">
        <f>P$6*O13</f>
        <v>3.4800000000000111</v>
      </c>
      <c r="R13" s="55" t="s">
        <v>68</v>
      </c>
      <c r="S13" s="61">
        <f>0.07363-0.06989</f>
        <v>0.0037400000000000072</v>
      </c>
      <c r="T13" s="62">
        <f>T$6*S13</f>
        <v>3.7400000000000073</v>
      </c>
    </row>
    <row r="14" spans="2:20" ht="15.75">
      <c r="B14" s="55" t="s">
        <v>129</v>
      </c>
      <c r="C14" s="63"/>
      <c r="D14" s="58" t="s">
        <v>129</v>
      </c>
      <c r="F14" s="55" t="s">
        <v>129</v>
      </c>
      <c r="G14" s="63"/>
      <c r="H14" s="58" t="s">
        <v>129</v>
      </c>
      <c r="J14" s="55" t="s">
        <v>129</v>
      </c>
      <c r="K14" s="63"/>
      <c r="L14" s="58" t="s">
        <v>129</v>
      </c>
      <c r="N14" s="55" t="s">
        <v>129</v>
      </c>
      <c r="O14" s="63"/>
      <c r="P14" s="58" t="s">
        <v>129</v>
      </c>
      <c r="R14" s="55" t="s">
        <v>129</v>
      </c>
      <c r="S14" s="63"/>
      <c r="T14" s="58" t="s">
        <v>129</v>
      </c>
    </row>
    <row r="15" spans="2:20" ht="15.75">
      <c r="B15" s="55" t="s">
        <v>129</v>
      </c>
      <c r="C15" s="63"/>
      <c r="D15" s="58" t="s">
        <v>129</v>
      </c>
      <c r="F15" s="55" t="s">
        <v>129</v>
      </c>
      <c r="G15" s="63"/>
      <c r="H15" s="58" t="s">
        <v>129</v>
      </c>
      <c r="J15" s="55" t="s">
        <v>129</v>
      </c>
      <c r="K15" s="63"/>
      <c r="L15" s="58" t="s">
        <v>129</v>
      </c>
      <c r="N15" s="55" t="s">
        <v>129</v>
      </c>
      <c r="O15" s="63"/>
      <c r="P15" s="58" t="s">
        <v>129</v>
      </c>
      <c r="R15" s="55" t="s">
        <v>129</v>
      </c>
      <c r="S15" s="63"/>
      <c r="T15" s="58" t="s">
        <v>129</v>
      </c>
    </row>
    <row r="16" spans="2:20" ht="15.75">
      <c r="B16" s="55" t="s">
        <v>129</v>
      </c>
      <c r="C16" s="63"/>
      <c r="D16" s="58" t="s">
        <v>129</v>
      </c>
      <c r="F16" s="55" t="s">
        <v>129</v>
      </c>
      <c r="G16" s="63"/>
      <c r="H16" s="58" t="s">
        <v>129</v>
      </c>
      <c r="J16" s="55" t="s">
        <v>129</v>
      </c>
      <c r="K16" s="63"/>
      <c r="L16" s="58" t="s">
        <v>129</v>
      </c>
      <c r="N16" s="55" t="s">
        <v>129</v>
      </c>
      <c r="O16" s="63"/>
      <c r="P16" s="58" t="s">
        <v>129</v>
      </c>
      <c r="R16" s="55" t="s">
        <v>129</v>
      </c>
      <c r="S16" s="63"/>
      <c r="T16" s="58" t="s">
        <v>129</v>
      </c>
    </row>
    <row r="17" spans="2:20" ht="15.75">
      <c r="B17" s="55" t="s">
        <v>129</v>
      </c>
      <c r="C17" s="63"/>
      <c r="D17" s="58" t="s">
        <v>129</v>
      </c>
      <c r="F17" s="55" t="s">
        <v>129</v>
      </c>
      <c r="G17" s="63"/>
      <c r="H17" s="58" t="s">
        <v>129</v>
      </c>
      <c r="J17" s="55" t="s">
        <v>129</v>
      </c>
      <c r="K17" s="63"/>
      <c r="L17" s="58" t="s">
        <v>129</v>
      </c>
      <c r="N17" s="55" t="s">
        <v>129</v>
      </c>
      <c r="O17" s="63"/>
      <c r="P17" s="58" t="s">
        <v>129</v>
      </c>
      <c r="R17" s="55" t="s">
        <v>129</v>
      </c>
      <c r="S17" s="63"/>
      <c r="T17" s="58" t="s">
        <v>129</v>
      </c>
    </row>
    <row r="18" spans="2:20" ht="15.75">
      <c r="B18" s="52" t="s">
        <v>129</v>
      </c>
      <c r="C18" s="64" t="s">
        <v>129</v>
      </c>
      <c r="D18" s="65" t="s">
        <v>129</v>
      </c>
      <c r="F18" s="52" t="s">
        <v>129</v>
      </c>
      <c r="G18" s="64" t="s">
        <v>129</v>
      </c>
      <c r="H18" s="65" t="s">
        <v>129</v>
      </c>
      <c r="J18" s="52" t="s">
        <v>129</v>
      </c>
      <c r="K18" s="64" t="s">
        <v>129</v>
      </c>
      <c r="L18" s="65" t="s">
        <v>129</v>
      </c>
      <c r="N18" s="52" t="s">
        <v>129</v>
      </c>
      <c r="O18" s="64" t="s">
        <v>129</v>
      </c>
      <c r="P18" s="65" t="s">
        <v>129</v>
      </c>
      <c r="R18" s="52" t="s">
        <v>129</v>
      </c>
      <c r="S18" s="64" t="s">
        <v>129</v>
      </c>
      <c r="T18" s="65" t="s">
        <v>129</v>
      </c>
    </row>
    <row r="19" spans="2:20" ht="15.75">
      <c r="B19" s="53"/>
      <c r="C19" s="53" t="s">
        <v>137</v>
      </c>
      <c r="D19" s="66">
        <f>SUM(D8:D18)</f>
        <v>125.42</v>
      </c>
      <c r="F19" s="53"/>
      <c r="G19" s="53" t="s">
        <v>137</v>
      </c>
      <c r="H19" s="66">
        <f>SUM(H8:H18)</f>
        <v>126.48</v>
      </c>
      <c r="J19" s="53"/>
      <c r="K19" s="53" t="s">
        <v>137</v>
      </c>
      <c r="L19" s="66">
        <f>SUM(L8:L18)</f>
        <v>127.70999999999999</v>
      </c>
      <c r="N19" s="53"/>
      <c r="O19" s="53" t="s">
        <v>137</v>
      </c>
      <c r="P19" s="66">
        <f>SUM(P8:P18)</f>
        <v>128.19</v>
      </c>
      <c r="R19" s="53"/>
      <c r="S19" s="53" t="s">
        <v>137</v>
      </c>
      <c r="T19" s="66">
        <f>SUM(T8:T18)</f>
        <v>128.44999999999999</v>
      </c>
    </row>
    <row r="20" spans="2:20" ht="15.75">
      <c r="B20" s="67"/>
      <c r="C20" s="53" t="s">
        <v>138</v>
      </c>
      <c r="D20" s="66">
        <f>D19*12</f>
        <v>1505.04</v>
      </c>
      <c r="F20" s="67"/>
      <c r="G20" s="53" t="s">
        <v>138</v>
      </c>
      <c r="H20" s="66">
        <f>H19*12</f>
        <v>1517.76</v>
      </c>
      <c r="J20" s="67"/>
      <c r="K20" s="53" t="s">
        <v>138</v>
      </c>
      <c r="L20" s="66">
        <f>L19*12</f>
        <v>1532.52</v>
      </c>
      <c r="N20" s="67"/>
      <c r="O20" s="53" t="s">
        <v>138</v>
      </c>
      <c r="P20" s="66">
        <f>P19*12</f>
        <v>1538.28</v>
      </c>
      <c r="R20" s="67"/>
      <c r="S20" s="53" t="s">
        <v>138</v>
      </c>
      <c r="T20" s="66">
        <f>T19*12</f>
        <v>1541.3999999999999</v>
      </c>
    </row>
    <row r="21" spans="2:20" ht="15.75">
      <c r="B21" s="67"/>
      <c r="C21" s="68" t="s">
        <v>139</v>
      </c>
      <c r="D21" s="69">
        <f>D13/(D19-D13)</f>
        <v>0.0056932082431240668</v>
      </c>
      <c r="F21" s="67"/>
      <c r="G21" s="68" t="s">
        <v>139</v>
      </c>
      <c r="H21" s="69">
        <f>H13/(H19-H13)</f>
        <v>0.014192927592013533</v>
      </c>
      <c r="J21" s="67"/>
      <c r="K21" s="68" t="s">
        <v>139</v>
      </c>
      <c r="L21" s="69">
        <f>L13/(L19-L13)</f>
        <v>0.024055809477988958</v>
      </c>
      <c r="N21" s="67"/>
      <c r="O21" s="68" t="s">
        <v>139</v>
      </c>
      <c r="P21" s="69">
        <f>P13/(P19-P13)</f>
        <v>0.027904738994467257</v>
      </c>
      <c r="R21" s="67"/>
      <c r="S21" s="68" t="s">
        <v>139</v>
      </c>
      <c r="T21" s="69">
        <f>T13/(T19-T13)</f>
        <v>0.029989575815892934</v>
      </c>
    </row>
    <row r="22" spans="2:4" ht="15">
      <c r="B22" s="70"/>
      <c r="C22" s="70"/>
      <c r="D22" s="70"/>
    </row>
    <row r="23" spans="2:4" ht="15" thickBot="1">
      <c r="B23" s="70"/>
      <c r="C23" s="70"/>
      <c r="D23" s="70"/>
    </row>
    <row r="24" spans="2:20" ht="18.75" thickBot="1">
      <c r="B24" s="182" t="s">
        <v>123</v>
      </c>
      <c r="C24" s="183"/>
      <c r="D24" s="184"/>
      <c r="F24" s="182" t="s">
        <v>124</v>
      </c>
      <c r="G24" s="183"/>
      <c r="H24" s="184"/>
      <c r="J24" s="182" t="s">
        <v>125</v>
      </c>
      <c r="K24" s="183"/>
      <c r="L24" s="184"/>
      <c r="N24" s="182" t="s">
        <v>126</v>
      </c>
      <c r="O24" s="183"/>
      <c r="P24" s="184"/>
      <c r="R24" s="182" t="s">
        <v>127</v>
      </c>
      <c r="S24" s="183"/>
      <c r="T24" s="184"/>
    </row>
    <row r="25" spans="2:20" ht="15.75">
      <c r="B25" s="52" t="s">
        <v>140</v>
      </c>
      <c r="C25" s="53"/>
      <c r="D25" s="54" t="s">
        <v>129</v>
      </c>
      <c r="F25" s="52" t="s">
        <v>140</v>
      </c>
      <c r="G25" s="53"/>
      <c r="H25" s="54" t="s">
        <v>129</v>
      </c>
      <c r="J25" s="52" t="s">
        <v>140</v>
      </c>
      <c r="K25" s="53"/>
      <c r="L25" s="54" t="s">
        <v>129</v>
      </c>
      <c r="N25" s="52" t="s">
        <v>140</v>
      </c>
      <c r="O25" s="53"/>
      <c r="P25" s="54" t="s">
        <v>129</v>
      </c>
      <c r="R25" s="52" t="s">
        <v>140</v>
      </c>
      <c r="S25" s="53"/>
      <c r="T25" s="54" t="s">
        <v>129</v>
      </c>
    </row>
    <row r="26" spans="2:20" ht="15.75">
      <c r="B26" s="55" t="s">
        <v>129</v>
      </c>
      <c r="C26" s="56" t="s">
        <v>130</v>
      </c>
      <c r="D26" s="57">
        <v>2250</v>
      </c>
      <c r="F26" s="55" t="s">
        <v>129</v>
      </c>
      <c r="G26" s="56" t="s">
        <v>130</v>
      </c>
      <c r="H26" s="57">
        <v>2250</v>
      </c>
      <c r="J26" s="55" t="s">
        <v>129</v>
      </c>
      <c r="K26" s="56" t="s">
        <v>130</v>
      </c>
      <c r="L26" s="57">
        <v>2250</v>
      </c>
      <c r="N26" s="55" t="s">
        <v>129</v>
      </c>
      <c r="O26" s="56" t="s">
        <v>130</v>
      </c>
      <c r="P26" s="57">
        <v>2250</v>
      </c>
      <c r="R26" s="55" t="s">
        <v>129</v>
      </c>
      <c r="S26" s="56" t="s">
        <v>130</v>
      </c>
      <c r="T26" s="57">
        <v>2250</v>
      </c>
    </row>
    <row r="27" spans="2:20" ht="15.75">
      <c r="B27" s="55" t="s">
        <v>129</v>
      </c>
      <c r="C27" s="53" t="s">
        <v>44</v>
      </c>
      <c r="D27" s="58" t="s">
        <v>131</v>
      </c>
      <c r="F27" s="55" t="s">
        <v>129</v>
      </c>
      <c r="G27" s="53" t="s">
        <v>44</v>
      </c>
      <c r="H27" s="58" t="s">
        <v>131</v>
      </c>
      <c r="J27" s="55" t="s">
        <v>129</v>
      </c>
      <c r="K27" s="53" t="s">
        <v>44</v>
      </c>
      <c r="L27" s="58" t="s">
        <v>131</v>
      </c>
      <c r="N27" s="55" t="s">
        <v>129</v>
      </c>
      <c r="O27" s="53" t="s">
        <v>44</v>
      </c>
      <c r="P27" s="58" t="s">
        <v>131</v>
      </c>
      <c r="R27" s="55" t="s">
        <v>129</v>
      </c>
      <c r="S27" s="53" t="s">
        <v>44</v>
      </c>
      <c r="T27" s="58" t="s">
        <v>131</v>
      </c>
    </row>
    <row r="28" spans="2:20" ht="15.75">
      <c r="B28" s="55" t="s">
        <v>132</v>
      </c>
      <c r="C28" s="59">
        <v>27.850000000000001</v>
      </c>
      <c r="D28" s="60">
        <f>C28</f>
        <v>27.850000000000001</v>
      </c>
      <c r="F28" s="55" t="s">
        <v>132</v>
      </c>
      <c r="G28" s="59">
        <v>27.850000000000001</v>
      </c>
      <c r="H28" s="60">
        <f>G28</f>
        <v>27.850000000000001</v>
      </c>
      <c r="J28" s="55" t="s">
        <v>132</v>
      </c>
      <c r="K28" s="59">
        <v>27.850000000000001</v>
      </c>
      <c r="L28" s="60">
        <f>K28</f>
        <v>27.850000000000001</v>
      </c>
      <c r="N28" s="55" t="s">
        <v>132</v>
      </c>
      <c r="O28" s="59">
        <v>27.850000000000001</v>
      </c>
      <c r="P28" s="60">
        <f>O28</f>
        <v>27.850000000000001</v>
      </c>
      <c r="R28" s="55" t="s">
        <v>132</v>
      </c>
      <c r="S28" s="59">
        <v>27.850000000000001</v>
      </c>
      <c r="T28" s="60">
        <f>S28</f>
        <v>27.850000000000001</v>
      </c>
    </row>
    <row r="29" spans="2:20" ht="15.75">
      <c r="B29" s="55" t="s">
        <v>133</v>
      </c>
      <c r="C29" s="61">
        <v>0.02903</v>
      </c>
      <c r="D29" s="62">
        <f>D26*C29</f>
        <v>65.317499999999995</v>
      </c>
      <c r="F29" s="55" t="s">
        <v>133</v>
      </c>
      <c r="G29" s="61">
        <v>0.02903</v>
      </c>
      <c r="H29" s="62">
        <f>H26*G29</f>
        <v>65.317499999999995</v>
      </c>
      <c r="J29" s="55" t="s">
        <v>133</v>
      </c>
      <c r="K29" s="61">
        <v>0.02903</v>
      </c>
      <c r="L29" s="62">
        <f>L26*K29</f>
        <v>65.317499999999995</v>
      </c>
      <c r="N29" s="55" t="s">
        <v>133</v>
      </c>
      <c r="O29" s="61">
        <v>0.02903</v>
      </c>
      <c r="P29" s="62">
        <f>P26*O29</f>
        <v>65.317499999999995</v>
      </c>
      <c r="R29" s="55" t="s">
        <v>133</v>
      </c>
      <c r="S29" s="61">
        <v>0.02903</v>
      </c>
      <c r="T29" s="62">
        <f>T26*S29</f>
        <v>65.317499999999995</v>
      </c>
    </row>
    <row r="30" spans="2:20" ht="15.75">
      <c r="B30" s="55" t="s">
        <v>134</v>
      </c>
      <c r="C30" s="61">
        <v>0.073889999999999997</v>
      </c>
      <c r="D30" s="62">
        <f>D26*C30</f>
        <v>166.2525</v>
      </c>
      <c r="F30" s="55" t="s">
        <v>134</v>
      </c>
      <c r="G30" s="61">
        <v>0.073889999999999997</v>
      </c>
      <c r="H30" s="62">
        <f>H26*G30</f>
        <v>166.2525</v>
      </c>
      <c r="J30" s="55" t="s">
        <v>134</v>
      </c>
      <c r="K30" s="61">
        <v>0.073889999999999997</v>
      </c>
      <c r="L30" s="62">
        <f>L26*K30</f>
        <v>166.2525</v>
      </c>
      <c r="N30" s="55" t="s">
        <v>134</v>
      </c>
      <c r="O30" s="61">
        <v>0.073889999999999997</v>
      </c>
      <c r="P30" s="62">
        <f>P26*O30</f>
        <v>166.2525</v>
      </c>
      <c r="R30" s="55" t="s">
        <v>134</v>
      </c>
      <c r="S30" s="61">
        <v>0.073889999999999997</v>
      </c>
      <c r="T30" s="62">
        <f>T26*S30</f>
        <v>166.2525</v>
      </c>
    </row>
    <row r="31" spans="2:20" ht="15.75">
      <c r="B31" s="55" t="s">
        <v>135</v>
      </c>
      <c r="C31" s="61">
        <v>0.00134</v>
      </c>
      <c r="D31" s="62">
        <f>D26*C31</f>
        <v>3.0150000000000001</v>
      </c>
      <c r="F31" s="55" t="s">
        <v>135</v>
      </c>
      <c r="G31" s="61">
        <v>0.00134</v>
      </c>
      <c r="H31" s="62">
        <f>H26*G31</f>
        <v>3.0150000000000001</v>
      </c>
      <c r="J31" s="55" t="s">
        <v>135</v>
      </c>
      <c r="K31" s="61">
        <v>0.00134</v>
      </c>
      <c r="L31" s="62">
        <f>L26*K31</f>
        <v>3.0150000000000001</v>
      </c>
      <c r="N31" s="55" t="s">
        <v>135</v>
      </c>
      <c r="O31" s="61">
        <v>0.00134</v>
      </c>
      <c r="P31" s="62">
        <f>P26*O31</f>
        <v>3.0150000000000001</v>
      </c>
      <c r="R31" s="55" t="s">
        <v>135</v>
      </c>
      <c r="S31" s="61">
        <v>0.00134</v>
      </c>
      <c r="T31" s="62">
        <f>T26*S31</f>
        <v>3.0150000000000001</v>
      </c>
    </row>
    <row r="32" spans="2:20" ht="15.75">
      <c r="B32" s="55" t="s">
        <v>136</v>
      </c>
      <c r="C32" s="61">
        <v>0.012800000000000001</v>
      </c>
      <c r="D32" s="62">
        <f>D26*C32</f>
        <v>28.800000000000001</v>
      </c>
      <c r="F32" s="55" t="s">
        <v>136</v>
      </c>
      <c r="G32" s="61">
        <v>0.012800000000000001</v>
      </c>
      <c r="H32" s="62">
        <f>H26*G32</f>
        <v>28.800000000000001</v>
      </c>
      <c r="J32" s="55" t="s">
        <v>136</v>
      </c>
      <c r="K32" s="61">
        <v>0.012800000000000001</v>
      </c>
      <c r="L32" s="62">
        <f>L26*K32</f>
        <v>28.800000000000001</v>
      </c>
      <c r="N32" s="55" t="s">
        <v>136</v>
      </c>
      <c r="O32" s="61">
        <v>0.012800000000000001</v>
      </c>
      <c r="P32" s="62">
        <f>P26*O32</f>
        <v>28.800000000000001</v>
      </c>
      <c r="R32" s="55" t="s">
        <v>136</v>
      </c>
      <c r="S32" s="61">
        <v>0.012800000000000001</v>
      </c>
      <c r="T32" s="62">
        <f>T26*S32</f>
        <v>28.800000000000001</v>
      </c>
    </row>
    <row r="33" spans="2:20" ht="15.75">
      <c r="B33" s="55" t="s">
        <v>68</v>
      </c>
      <c r="C33" s="61">
        <f>0.0746-0.07389</f>
        <v>0.0007100000000000023</v>
      </c>
      <c r="D33" s="62">
        <f>D26*C33</f>
        <v>1.5975000000000052</v>
      </c>
      <c r="F33" s="55" t="s">
        <v>68</v>
      </c>
      <c r="G33" s="61">
        <f>0.07566-0.07389</f>
        <v>0.0017700000000000077</v>
      </c>
      <c r="H33" s="62">
        <f>H26*G33</f>
        <v>3.9825000000000172</v>
      </c>
      <c r="J33" s="55" t="s">
        <v>68</v>
      </c>
      <c r="K33" s="61">
        <f>0.07689-0.07389</f>
        <v>0.0030000000000000027</v>
      </c>
      <c r="L33" s="62">
        <f>L26*K33</f>
        <v>6.7500000000000062</v>
      </c>
      <c r="N33" s="55" t="s">
        <v>68</v>
      </c>
      <c r="O33" s="61">
        <f>0.07737-0.07389</f>
        <v>0.003479999999999997</v>
      </c>
      <c r="P33" s="62">
        <f>P26*O33</f>
        <v>7.829999999999993</v>
      </c>
      <c r="R33" s="55" t="s">
        <v>68</v>
      </c>
      <c r="S33" s="61">
        <f>0.07763-0.07389</f>
        <v>0.0037400000000000072</v>
      </c>
      <c r="T33" s="62">
        <f>T26*S33</f>
        <v>8.4150000000000169</v>
      </c>
    </row>
    <row r="34" spans="2:20" ht="15.75">
      <c r="B34" s="55" t="s">
        <v>129</v>
      </c>
      <c r="C34" s="63"/>
      <c r="D34" s="58" t="s">
        <v>129</v>
      </c>
      <c r="F34" s="55" t="s">
        <v>129</v>
      </c>
      <c r="G34" s="63"/>
      <c r="H34" s="58" t="s">
        <v>129</v>
      </c>
      <c r="J34" s="55" t="s">
        <v>129</v>
      </c>
      <c r="K34" s="63"/>
      <c r="L34" s="58" t="s">
        <v>129</v>
      </c>
      <c r="N34" s="55" t="s">
        <v>129</v>
      </c>
      <c r="O34" s="63"/>
      <c r="P34" s="58" t="s">
        <v>129</v>
      </c>
      <c r="R34" s="55" t="s">
        <v>129</v>
      </c>
      <c r="S34" s="63"/>
      <c r="T34" s="58" t="s">
        <v>129</v>
      </c>
    </row>
    <row r="35" spans="2:20" ht="15.75">
      <c r="B35" s="55" t="s">
        <v>129</v>
      </c>
      <c r="C35" s="63"/>
      <c r="D35" s="58" t="s">
        <v>129</v>
      </c>
      <c r="F35" s="55" t="s">
        <v>129</v>
      </c>
      <c r="G35" s="63"/>
      <c r="H35" s="58" t="s">
        <v>129</v>
      </c>
      <c r="J35" s="55" t="s">
        <v>129</v>
      </c>
      <c r="K35" s="63"/>
      <c r="L35" s="58" t="s">
        <v>129</v>
      </c>
      <c r="N35" s="55" t="s">
        <v>129</v>
      </c>
      <c r="O35" s="63"/>
      <c r="P35" s="58" t="s">
        <v>129</v>
      </c>
      <c r="R35" s="55" t="s">
        <v>129</v>
      </c>
      <c r="S35" s="63"/>
      <c r="T35" s="58" t="s">
        <v>129</v>
      </c>
    </row>
    <row r="36" spans="2:20" ht="15.75">
      <c r="B36" s="55" t="s">
        <v>129</v>
      </c>
      <c r="C36" s="63"/>
      <c r="D36" s="58" t="s">
        <v>129</v>
      </c>
      <c r="F36" s="55" t="s">
        <v>129</v>
      </c>
      <c r="G36" s="63"/>
      <c r="H36" s="58" t="s">
        <v>129</v>
      </c>
      <c r="J36" s="55" t="s">
        <v>129</v>
      </c>
      <c r="K36" s="63"/>
      <c r="L36" s="58" t="s">
        <v>129</v>
      </c>
      <c r="N36" s="55" t="s">
        <v>129</v>
      </c>
      <c r="O36" s="63"/>
      <c r="P36" s="58" t="s">
        <v>129</v>
      </c>
      <c r="R36" s="55" t="s">
        <v>129</v>
      </c>
      <c r="S36" s="63"/>
      <c r="T36" s="58" t="s">
        <v>129</v>
      </c>
    </row>
    <row r="37" spans="2:20" ht="15.75">
      <c r="B37" s="55" t="s">
        <v>129</v>
      </c>
      <c r="C37" s="63"/>
      <c r="D37" s="58" t="s">
        <v>129</v>
      </c>
      <c r="F37" s="55" t="s">
        <v>129</v>
      </c>
      <c r="G37" s="63"/>
      <c r="H37" s="58" t="s">
        <v>129</v>
      </c>
      <c r="J37" s="55" t="s">
        <v>129</v>
      </c>
      <c r="K37" s="63"/>
      <c r="L37" s="58" t="s">
        <v>129</v>
      </c>
      <c r="N37" s="55" t="s">
        <v>129</v>
      </c>
      <c r="O37" s="63"/>
      <c r="P37" s="58" t="s">
        <v>129</v>
      </c>
      <c r="R37" s="55" t="s">
        <v>129</v>
      </c>
      <c r="S37" s="63"/>
      <c r="T37" s="58" t="s">
        <v>129</v>
      </c>
    </row>
    <row r="38" spans="2:20" ht="15.75">
      <c r="B38" s="52" t="s">
        <v>129</v>
      </c>
      <c r="C38" s="64" t="s">
        <v>129</v>
      </c>
      <c r="D38" s="65" t="s">
        <v>129</v>
      </c>
      <c r="F38" s="52" t="s">
        <v>129</v>
      </c>
      <c r="G38" s="64" t="s">
        <v>129</v>
      </c>
      <c r="H38" s="65" t="s">
        <v>129</v>
      </c>
      <c r="J38" s="52" t="s">
        <v>129</v>
      </c>
      <c r="K38" s="64" t="s">
        <v>129</v>
      </c>
      <c r="L38" s="65" t="s">
        <v>129</v>
      </c>
      <c r="N38" s="52" t="s">
        <v>129</v>
      </c>
      <c r="O38" s="64" t="s">
        <v>129</v>
      </c>
      <c r="P38" s="65" t="s">
        <v>129</v>
      </c>
      <c r="R38" s="52" t="s">
        <v>129</v>
      </c>
      <c r="S38" s="64" t="s">
        <v>129</v>
      </c>
      <c r="T38" s="65" t="s">
        <v>129</v>
      </c>
    </row>
    <row r="39" spans="2:20" ht="15.75">
      <c r="B39" s="53"/>
      <c r="C39" s="53" t="s">
        <v>137</v>
      </c>
      <c r="D39" s="66">
        <f>SUM(D28:D38)</f>
        <v>292.83249999999998</v>
      </c>
      <c r="F39" s="53"/>
      <c r="G39" s="53" t="s">
        <v>137</v>
      </c>
      <c r="H39" s="66">
        <f>SUM(H28:H38)</f>
        <v>295.21749999999997</v>
      </c>
      <c r="J39" s="53"/>
      <c r="K39" s="53" t="s">
        <v>137</v>
      </c>
      <c r="L39" s="66">
        <f>SUM(L28:L38)</f>
        <v>297.98499999999996</v>
      </c>
      <c r="N39" s="53"/>
      <c r="O39" s="53" t="s">
        <v>137</v>
      </c>
      <c r="P39" s="66">
        <f>SUM(P28:P38)</f>
        <v>299.06499999999994</v>
      </c>
      <c r="R39" s="53"/>
      <c r="S39" s="53" t="s">
        <v>137</v>
      </c>
      <c r="T39" s="66">
        <f>SUM(T28:T38)</f>
        <v>299.64999999999998</v>
      </c>
    </row>
    <row r="40" spans="2:20" ht="15.75">
      <c r="B40" s="67"/>
      <c r="C40" s="53" t="s">
        <v>138</v>
      </c>
      <c r="D40" s="66">
        <f>D39*12</f>
        <v>3513.9899999999998</v>
      </c>
      <c r="F40" s="67"/>
      <c r="G40" s="53" t="s">
        <v>138</v>
      </c>
      <c r="H40" s="66">
        <f>H39*12</f>
        <v>3542.6099999999997</v>
      </c>
      <c r="J40" s="67"/>
      <c r="K40" s="53" t="s">
        <v>138</v>
      </c>
      <c r="L40" s="66">
        <f>L39*12</f>
        <v>3575.8199999999997</v>
      </c>
      <c r="N40" s="67"/>
      <c r="O40" s="53" t="s">
        <v>138</v>
      </c>
      <c r="P40" s="66">
        <f>P39*12</f>
        <v>3588.7799999999993</v>
      </c>
      <c r="R40" s="67"/>
      <c r="S40" s="53" t="s">
        <v>138</v>
      </c>
      <c r="T40" s="66">
        <f>T39*12</f>
        <v>3595.7999999999997</v>
      </c>
    </row>
    <row r="41" spans="2:20" ht="15.75">
      <c r="B41" s="67"/>
      <c r="C41" s="68" t="s">
        <v>139</v>
      </c>
      <c r="D41" s="69">
        <f>D33/(D39-D33)</f>
        <v>0.0054852610434872372</v>
      </c>
      <c r="F41" s="67"/>
      <c r="G41" s="68" t="s">
        <v>139</v>
      </c>
      <c r="H41" s="69">
        <f>H33/(H39-H33)</f>
        <v>0.01367452400982031</v>
      </c>
      <c r="J41" s="67"/>
      <c r="K41" s="68" t="s">
        <v>139</v>
      </c>
      <c r="L41" s="69">
        <f>L33/(L39-L33)</f>
        <v>0.023177159338678411</v>
      </c>
      <c r="N41" s="67"/>
      <c r="O41" s="68" t="s">
        <v>139</v>
      </c>
      <c r="P41" s="69">
        <f>P33/(P39-P33)</f>
        <v>0.026885504832866908</v>
      </c>
      <c r="R41" s="67"/>
      <c r="S41" s="68" t="s">
        <v>139</v>
      </c>
      <c r="T41" s="69">
        <f>T33/(T39-T33)</f>
        <v>0.028894191975552451</v>
      </c>
    </row>
  </sheetData>
  <mergeCells count="10">
    <mergeCell ref="B4:D4"/>
    <mergeCell ref="F4:H4"/>
    <mergeCell ref="J4:L4"/>
    <mergeCell ref="N4:P4"/>
    <mergeCell ref="R4:T4"/>
    <mergeCell ref="B24:D24"/>
    <mergeCell ref="F24:H24"/>
    <mergeCell ref="J24:L24"/>
    <mergeCell ref="N24:P24"/>
    <mergeCell ref="R24:T2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30"/>
  <sheetViews>
    <sheetView zoomScale="150" zoomScaleNormal="150" workbookViewId="0" topLeftCell="A1">
      <pane xSplit="2" ySplit="7" topLeftCell="C8" activePane="bottomRight" state="frozen"/>
      <selection pane="topLeft" activeCell="A1" sqref="A1"/>
      <selection pane="bottomLeft" activeCell="A8" sqref="A8"/>
      <selection pane="topRight" activeCell="C1" sqref="C1"/>
      <selection pane="bottomRight" activeCell="B33" sqref="B33"/>
    </sheetView>
  </sheetViews>
  <sheetFormatPr defaultRowHeight="12.75"/>
  <cols>
    <col min="1" max="1" width="4.57142857142857" style="1" bestFit="1" customWidth="1"/>
    <col min="2" max="2" width="39.1428571428571" style="1" bestFit="1" customWidth="1"/>
    <col min="3" max="3" width="9.71428571428571" style="1" customWidth="1"/>
    <col min="4" max="7" width="10.8571428571429" style="1" bestFit="1" customWidth="1"/>
    <col min="8" max="8" width="11.8571428571429" style="1" customWidth="1"/>
    <col min="9" max="13" width="12" style="1" bestFit="1" customWidth="1"/>
    <col min="14" max="14" width="12.1428571428571" style="1" bestFit="1" customWidth="1"/>
    <col min="15" max="16384" width="9.14285714285714" style="1"/>
  </cols>
  <sheetData>
    <row r="1" spans="1:13" ht="12.75">
      <c r="A1" s="181" t="s">
        <v>18</v>
      </c>
      <c r="B1" s="181"/>
      <c r="C1" s="181"/>
      <c r="D1" s="181"/>
      <c r="E1" s="181"/>
      <c r="F1" s="181"/>
      <c r="G1" s="181"/>
      <c r="H1" s="181"/>
      <c r="I1" s="3"/>
      <c r="J1" s="3"/>
      <c r="K1" s="3"/>
      <c r="L1" s="3"/>
      <c r="M1" s="3"/>
    </row>
    <row r="2" spans="1:13" ht="12.75">
      <c r="A2" s="181" t="s">
        <v>19</v>
      </c>
      <c r="B2" s="181"/>
      <c r="C2" s="181"/>
      <c r="D2" s="181"/>
      <c r="E2" s="181"/>
      <c r="F2" s="181"/>
      <c r="G2" s="181"/>
      <c r="H2" s="181"/>
      <c r="I2" s="3"/>
      <c r="J2" s="3"/>
      <c r="K2" s="3"/>
      <c r="L2" s="3"/>
      <c r="M2" s="3"/>
    </row>
    <row r="3" spans="1:13" ht="12.75">
      <c r="A3" s="181" t="s">
        <v>20</v>
      </c>
      <c r="B3" s="181"/>
      <c r="C3" s="181"/>
      <c r="D3" s="181"/>
      <c r="E3" s="181"/>
      <c r="F3" s="181"/>
      <c r="G3" s="181"/>
      <c r="H3" s="181"/>
      <c r="I3" s="3"/>
      <c r="J3" s="3"/>
      <c r="K3" s="3"/>
      <c r="L3" s="3"/>
      <c r="M3" s="3"/>
    </row>
    <row r="4" spans="1:13" ht="12.75">
      <c r="A4" s="181" t="s">
        <v>21</v>
      </c>
      <c r="B4" s="181"/>
      <c r="C4" s="181"/>
      <c r="D4" s="181"/>
      <c r="E4" s="181"/>
      <c r="F4" s="181"/>
      <c r="G4" s="181"/>
      <c r="H4" s="181"/>
      <c r="I4" s="3"/>
      <c r="J4" s="3"/>
      <c r="K4" s="3"/>
      <c r="L4" s="3"/>
      <c r="M4" s="3"/>
    </row>
    <row r="5" spans="1:13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s="2" customFormat="1" ht="12.75">
      <c r="A6" s="5"/>
      <c r="B6" s="4"/>
      <c r="C6" s="4"/>
      <c r="N6" s="3" t="s">
        <v>22</v>
      </c>
    </row>
    <row r="7" spans="1:14" s="2" customFormat="1" ht="12.75">
      <c r="A7" s="2" t="s">
        <v>23</v>
      </c>
      <c r="C7" s="3" t="s">
        <v>24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  <c r="N7" s="3" t="s">
        <v>25</v>
      </c>
    </row>
    <row r="8" spans="1:14" ht="12.75">
      <c r="A8" s="7">
        <v>1</v>
      </c>
      <c r="B8" s="125" t="s">
        <v>26</v>
      </c>
      <c r="D8" s="39">
        <f>'Appendix A'!D36</f>
        <v>2313740.1355015649</v>
      </c>
      <c r="E8" s="39">
        <f>'Appendix A'!E36</f>
        <v>6700123.9571804609</v>
      </c>
      <c r="F8" s="39">
        <f>'Appendix A'!F36</f>
        <v>16863998.948097989</v>
      </c>
      <c r="G8" s="39">
        <f>'Appendix A'!G36</f>
        <v>54232395.497928552</v>
      </c>
      <c r="H8" s="39">
        <f>'Appendix A'!H36</f>
        <v>53198125.278610237</v>
      </c>
      <c r="I8" s="39">
        <f>'Appendix A'!I36</f>
        <v>19949099.496318609</v>
      </c>
      <c r="J8" s="39">
        <f>'Appendix A'!J36</f>
        <v>19614921.692802854</v>
      </c>
      <c r="K8" s="39">
        <f>'Appendix A'!K36</f>
        <v>19798576.559846126</v>
      </c>
      <c r="L8" s="39">
        <f>'Appendix A'!L36</f>
        <v>25250053.131488651</v>
      </c>
      <c r="M8" s="39">
        <f>'Appendix A'!M36</f>
        <v>25198363.542949021</v>
      </c>
      <c r="N8" s="38">
        <f>SUM(D8:M8)</f>
        <v>243119398.24072406</v>
      </c>
    </row>
    <row r="9" spans="1:14" ht="12.75">
      <c r="A9" s="7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2.75">
      <c r="A10" s="7">
        <v>2</v>
      </c>
      <c r="B10" s="1" t="s">
        <v>27</v>
      </c>
      <c r="D10" s="6">
        <v>1750000</v>
      </c>
      <c r="E10" s="6">
        <f>D11</f>
        <v>2238740.1355015649</v>
      </c>
      <c r="F10" s="6">
        <f t="shared" si="0" ref="F10:H10">E11</f>
        <v>8794668.0926820263</v>
      </c>
      <c r="G10" s="6">
        <f t="shared" si="0"/>
        <v>25214204.040780015</v>
      </c>
      <c r="H10" s="6">
        <f t="shared" si="0"/>
        <v>78096428.538708568</v>
      </c>
      <c r="I10" s="6">
        <f t="shared" si="1" ref="I10">H11</f>
        <v>128593316.8173188</v>
      </c>
      <c r="J10" s="6">
        <f t="shared" si="2" ref="J10">I11</f>
        <v>144967242.31363741</v>
      </c>
      <c r="K10" s="6">
        <f t="shared" si="3" ref="K10">J11</f>
        <v>160588839.00644025</v>
      </c>
      <c r="L10" s="6">
        <f t="shared" si="4" ref="L10">K11</f>
        <v>175988670.56628639</v>
      </c>
      <c r="M10" s="6">
        <f t="shared" si="5" ref="M10">L11</f>
        <v>196372322.69777504</v>
      </c>
      <c r="N10" s="6"/>
    </row>
    <row r="11" spans="1:14" ht="12.75">
      <c r="A11" s="7"/>
      <c r="B11" s="1" t="s">
        <v>28</v>
      </c>
      <c r="D11" s="37">
        <f>D8-D20</f>
        <v>2238740.1355015649</v>
      </c>
      <c r="E11" s="37">
        <f>E10+E8-E20</f>
        <v>8794668.0926820263</v>
      </c>
      <c r="F11" s="37">
        <f>F10+F8-F20</f>
        <v>25214204.040780015</v>
      </c>
      <c r="G11" s="37">
        <f>G10+G8-G20</f>
        <v>78096428.538708568</v>
      </c>
      <c r="H11" s="37">
        <f>H10+H8-H20</f>
        <v>128593316.8173188</v>
      </c>
      <c r="I11" s="37">
        <f t="shared" si="6" ref="I11:M11">I10+I8-I20</f>
        <v>144967242.31363741</v>
      </c>
      <c r="J11" s="37">
        <f t="shared" si="6"/>
        <v>160588839.00644025</v>
      </c>
      <c r="K11" s="37">
        <f t="shared" si="6"/>
        <v>175988670.56628639</v>
      </c>
      <c r="L11" s="37">
        <f t="shared" si="6"/>
        <v>196372322.69777504</v>
      </c>
      <c r="M11" s="37">
        <f t="shared" si="6"/>
        <v>216179035.24072406</v>
      </c>
      <c r="N11" s="6"/>
    </row>
    <row r="12" spans="1:14" ht="12.75">
      <c r="A12" s="7"/>
      <c r="B12" s="1" t="s">
        <v>29</v>
      </c>
      <c r="D12" s="6">
        <f>SUM(D10:D11)/2</f>
        <v>1994370.0677507825</v>
      </c>
      <c r="E12" s="6">
        <f>SUM(E10:E11)/2</f>
        <v>5516704.1140917959</v>
      </c>
      <c r="F12" s="6">
        <f>SUM(F10:F11)/2</f>
        <v>17004436.066731021</v>
      </c>
      <c r="G12" s="6">
        <f>SUM(G10:G11)/2</f>
        <v>51655316.289744288</v>
      </c>
      <c r="H12" s="6">
        <f>SUM(H10:H11)/2</f>
        <v>103344872.67801368</v>
      </c>
      <c r="I12" s="6">
        <f t="shared" si="7" ref="I12:M12">SUM(I10:I11)/2</f>
        <v>136780279.56547809</v>
      </c>
      <c r="J12" s="6">
        <f t="shared" si="7"/>
        <v>152778040.66003883</v>
      </c>
      <c r="K12" s="6">
        <f t="shared" si="7"/>
        <v>168288754.7863633</v>
      </c>
      <c r="L12" s="6">
        <f t="shared" si="7"/>
        <v>186180496.63203073</v>
      </c>
      <c r="M12" s="6">
        <f t="shared" si="7"/>
        <v>206275678.96924955</v>
      </c>
      <c r="N12" s="6"/>
    </row>
    <row r="13" spans="4:13" ht="12.75"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4" ht="12.75">
      <c r="A14" s="7">
        <v>3</v>
      </c>
      <c r="B14" s="1" t="s">
        <v>30</v>
      </c>
      <c r="D14" s="9"/>
    </row>
    <row r="15" spans="2:14" ht="12.75">
      <c r="B15" s="1" t="s">
        <v>31</v>
      </c>
      <c r="C15" s="40">
        <f>'FE Cost Rate Cal'!D8</f>
        <v>0.071900000000000006</v>
      </c>
      <c r="D15" s="6">
        <f>ROUND(D12*$C15,0)</f>
        <v>143395</v>
      </c>
      <c r="E15" s="6">
        <f t="shared" si="8" ref="E15:H15">ROUND(E12*$C15,0)</f>
        <v>396651</v>
      </c>
      <c r="F15" s="6">
        <f t="shared" si="8"/>
        <v>1222619</v>
      </c>
      <c r="G15" s="6">
        <f t="shared" si="8"/>
        <v>3714017</v>
      </c>
      <c r="H15" s="6">
        <f t="shared" si="8"/>
        <v>7430496</v>
      </c>
      <c r="I15" s="6">
        <f t="shared" si="9" ref="I15:M15">ROUND(I12*$C15,0)</f>
        <v>9834502</v>
      </c>
      <c r="J15" s="6">
        <f t="shared" si="9"/>
        <v>10984741</v>
      </c>
      <c r="K15" s="6">
        <f t="shared" si="9"/>
        <v>12099961</v>
      </c>
      <c r="L15" s="6">
        <f t="shared" si="9"/>
        <v>13386378</v>
      </c>
      <c r="M15" s="6">
        <f t="shared" si="9"/>
        <v>14831221</v>
      </c>
      <c r="N15" s="6">
        <f>SUM(D15:M15)</f>
        <v>74043981</v>
      </c>
    </row>
    <row r="16" spans="2:14" ht="12.75">
      <c r="B16" s="1" t="s">
        <v>32</v>
      </c>
      <c r="C16" s="40">
        <f>'FE Cost Rate Cal'!D15</f>
        <v>0.0076000000000000009</v>
      </c>
      <c r="D16" s="6">
        <f>ROUND(D12*$C16,0)</f>
        <v>15157</v>
      </c>
      <c r="E16" s="6">
        <f t="shared" si="10" ref="E16:H16">ROUND(E12*$C16,0)</f>
        <v>41927</v>
      </c>
      <c r="F16" s="6">
        <f t="shared" si="10"/>
        <v>129234</v>
      </c>
      <c r="G16" s="6">
        <f t="shared" si="10"/>
        <v>392580</v>
      </c>
      <c r="H16" s="6">
        <f t="shared" si="10"/>
        <v>785421</v>
      </c>
      <c r="I16" s="6">
        <f t="shared" si="11" ref="I16:M16">ROUND(I12*$C16,0)</f>
        <v>1039530</v>
      </c>
      <c r="J16" s="6">
        <f t="shared" si="11"/>
        <v>1161113</v>
      </c>
      <c r="K16" s="6">
        <f t="shared" si="11"/>
        <v>1278995</v>
      </c>
      <c r="L16" s="6">
        <f t="shared" si="11"/>
        <v>1414972</v>
      </c>
      <c r="M16" s="6">
        <f t="shared" si="11"/>
        <v>1567695</v>
      </c>
      <c r="N16" s="6">
        <f>SUM(D16:M16)</f>
        <v>7826624</v>
      </c>
    </row>
    <row r="17" spans="2:14" ht="12.75">
      <c r="B17" s="13" t="s">
        <v>33</v>
      </c>
      <c r="D17" s="14">
        <f>SUM(D15:D16)</f>
        <v>158552</v>
      </c>
      <c r="E17" s="14">
        <f t="shared" si="12" ref="E17:H17">SUM(E15:E16)</f>
        <v>438578</v>
      </c>
      <c r="F17" s="14">
        <f t="shared" si="12"/>
        <v>1351853</v>
      </c>
      <c r="G17" s="14">
        <f t="shared" si="12"/>
        <v>4106597</v>
      </c>
      <c r="H17" s="14">
        <f t="shared" si="12"/>
        <v>8215917</v>
      </c>
      <c r="I17" s="14">
        <f t="shared" si="13" ref="I17:M17">SUM(I15:I16)</f>
        <v>10874032</v>
      </c>
      <c r="J17" s="14">
        <f t="shared" si="13"/>
        <v>12145854</v>
      </c>
      <c r="K17" s="14">
        <f t="shared" si="13"/>
        <v>13378956</v>
      </c>
      <c r="L17" s="14">
        <f t="shared" si="13"/>
        <v>14801350</v>
      </c>
      <c r="M17" s="14">
        <f t="shared" si="13"/>
        <v>16398916</v>
      </c>
      <c r="N17" s="14">
        <f>SUM(N15:N16)</f>
        <v>81870605</v>
      </c>
    </row>
    <row r="18" spans="4:4" ht="12.75">
      <c r="D18" s="10"/>
    </row>
    <row r="19" spans="1:4" ht="12.75">
      <c r="A19" s="7">
        <v>4</v>
      </c>
      <c r="B19" s="1" t="s">
        <v>34</v>
      </c>
      <c r="D19" s="10"/>
    </row>
    <row r="20" spans="2:14" ht="12.75">
      <c r="B20" s="1" t="s">
        <v>35</v>
      </c>
      <c r="C20" s="41">
        <f>'Cons Dep Rate'!E9</f>
        <v>0.025800889582946986</v>
      </c>
      <c r="D20" s="6">
        <f>ROUND(((D8/2)+D10)*$C20,0)</f>
        <v>75000</v>
      </c>
      <c r="E20" s="6">
        <f t="shared" si="14" ref="E20:H20">ROUND(((E8/2)+E10)*$C20,0)</f>
        <v>144196</v>
      </c>
      <c r="F20" s="6">
        <f t="shared" si="14"/>
        <v>444463</v>
      </c>
      <c r="G20" s="6">
        <f t="shared" si="14"/>
        <v>1350171</v>
      </c>
      <c r="H20" s="6">
        <f t="shared" si="14"/>
        <v>2701237</v>
      </c>
      <c r="I20" s="6">
        <f t="shared" si="15" ref="I20:M20">ROUND(((I8/2)+I10)*$C20,0)</f>
        <v>3575174</v>
      </c>
      <c r="J20" s="6">
        <f t="shared" si="15"/>
        <v>3993325</v>
      </c>
      <c r="K20" s="6">
        <f t="shared" si="15"/>
        <v>4398745</v>
      </c>
      <c r="L20" s="6">
        <f t="shared" si="15"/>
        <v>4866401</v>
      </c>
      <c r="M20" s="6">
        <f t="shared" si="15"/>
        <v>5391651</v>
      </c>
      <c r="N20" s="6">
        <f>SUM(D20:M20)</f>
        <v>26940363</v>
      </c>
    </row>
    <row r="21" spans="2:14" ht="12.75">
      <c r="B21" s="1" t="s">
        <v>36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f t="shared" si="16" ref="N21:N23">SUM(D21:M21)</f>
        <v>0</v>
      </c>
    </row>
    <row r="22" spans="2:14" ht="12.75">
      <c r="B22" s="1" t="s">
        <v>37</v>
      </c>
      <c r="C22" s="41">
        <v>0.02</v>
      </c>
      <c r="D22" s="6">
        <f>ROUND(D10*$C22,0)</f>
        <v>35000</v>
      </c>
      <c r="E22" s="6">
        <f t="shared" si="17" ref="E22:H22">ROUND(E10*$C22,0)</f>
        <v>44775</v>
      </c>
      <c r="F22" s="6">
        <f t="shared" si="17"/>
        <v>175893</v>
      </c>
      <c r="G22" s="6">
        <f t="shared" si="17"/>
        <v>504284</v>
      </c>
      <c r="H22" s="6">
        <f t="shared" si="17"/>
        <v>1561929</v>
      </c>
      <c r="I22" s="6">
        <f t="shared" si="18" ref="I22:M22">ROUND(I10*$C22,0)</f>
        <v>2571866</v>
      </c>
      <c r="J22" s="6">
        <f t="shared" si="18"/>
        <v>2899345</v>
      </c>
      <c r="K22" s="6">
        <f t="shared" si="18"/>
        <v>3211777</v>
      </c>
      <c r="L22" s="6">
        <f t="shared" si="18"/>
        <v>3519773</v>
      </c>
      <c r="M22" s="6">
        <f t="shared" si="18"/>
        <v>3927446</v>
      </c>
      <c r="N22" s="6">
        <f t="shared" si="16"/>
        <v>18452088</v>
      </c>
    </row>
    <row r="23" spans="2:14" ht="12.75">
      <c r="B23" s="1" t="s">
        <v>38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6">
        <f t="shared" si="16"/>
        <v>0</v>
      </c>
    </row>
    <row r="24" spans="2:14" ht="12.75">
      <c r="B24" s="13" t="s">
        <v>39</v>
      </c>
      <c r="D24" s="14">
        <f t="shared" si="19" ref="D24:N24">SUM(D20:D23)</f>
        <v>110000</v>
      </c>
      <c r="E24" s="14">
        <f t="shared" si="19"/>
        <v>188971</v>
      </c>
      <c r="F24" s="14">
        <f t="shared" si="19"/>
        <v>620356</v>
      </c>
      <c r="G24" s="14">
        <f t="shared" si="19"/>
        <v>1854455</v>
      </c>
      <c r="H24" s="14">
        <f t="shared" si="19"/>
        <v>4263166</v>
      </c>
      <c r="I24" s="14">
        <f t="shared" si="20" ref="I24:M24">SUM(I20:I23)</f>
        <v>6147040</v>
      </c>
      <c r="J24" s="14">
        <f t="shared" si="20"/>
        <v>6892670</v>
      </c>
      <c r="K24" s="14">
        <f t="shared" si="20"/>
        <v>7610522</v>
      </c>
      <c r="L24" s="14">
        <f t="shared" si="20"/>
        <v>8386174</v>
      </c>
      <c r="M24" s="14">
        <f t="shared" si="20"/>
        <v>9319097</v>
      </c>
      <c r="N24" s="14">
        <f t="shared" si="19"/>
        <v>45392451</v>
      </c>
    </row>
    <row r="25" spans="4:4" ht="12.75">
      <c r="D25" s="12"/>
    </row>
    <row r="26" spans="1:14" s="2" customFormat="1" ht="12.75">
      <c r="A26" s="42">
        <v>5</v>
      </c>
      <c r="B26" s="2" t="s">
        <v>40</v>
      </c>
      <c r="D26" s="43">
        <f t="shared" si="21" ref="D26:N26">D17+D24</f>
        <v>268552</v>
      </c>
      <c r="E26" s="43">
        <f t="shared" si="21"/>
        <v>627549</v>
      </c>
      <c r="F26" s="43">
        <f t="shared" si="21"/>
        <v>1972209</v>
      </c>
      <c r="G26" s="43">
        <f t="shared" si="21"/>
        <v>5961052</v>
      </c>
      <c r="H26" s="43">
        <f t="shared" si="21"/>
        <v>12479083</v>
      </c>
      <c r="I26" s="43">
        <f t="shared" si="22" ref="I26:M26">I17+I24</f>
        <v>17021072</v>
      </c>
      <c r="J26" s="43">
        <f t="shared" si="22"/>
        <v>19038524</v>
      </c>
      <c r="K26" s="43">
        <f t="shared" si="22"/>
        <v>20989478</v>
      </c>
      <c r="L26" s="43">
        <f t="shared" si="22"/>
        <v>23187524</v>
      </c>
      <c r="M26" s="43">
        <f t="shared" si="22"/>
        <v>25718013</v>
      </c>
      <c r="N26" s="43">
        <f t="shared" si="21"/>
        <v>127263056</v>
      </c>
    </row>
    <row r="28" spans="1:14" ht="12.75">
      <c r="A28" s="1">
        <v>6</v>
      </c>
      <c r="B28" s="125" t="s">
        <v>41</v>
      </c>
      <c r="D28" s="124">
        <f>'Appendix A'!D37</f>
        <v>1392730.8314360657</v>
      </c>
      <c r="E28" s="124">
        <f>'Appendix A'!E37</f>
        <v>1557533.4166522366</v>
      </c>
      <c r="F28" s="124">
        <f>'Appendix A'!F37</f>
        <v>1881679.9947250534</v>
      </c>
      <c r="G28" s="124">
        <f>'Appendix A'!G37</f>
        <v>3000815.5983312624</v>
      </c>
      <c r="H28" s="124">
        <f>'Appendix A'!H37</f>
        <v>2932243.7959225583</v>
      </c>
      <c r="I28" s="124">
        <f>'Appendix A'!I37</f>
        <v>1839099.9869561782</v>
      </c>
      <c r="J28" s="124">
        <f>'Appendix A'!J37</f>
        <v>1779778.9303073592</v>
      </c>
      <c r="K28" s="124">
        <f>'Appendix A'!K37</f>
        <v>1776328.3450361034</v>
      </c>
      <c r="L28" s="124">
        <f>'Appendix A'!L37</f>
        <v>1945082.8625754092</v>
      </c>
      <c r="M28" s="124">
        <f>'Appendix A'!M37</f>
        <v>1915805.8777852829</v>
      </c>
      <c r="N28" s="6">
        <f>SUM(D28:M28)</f>
        <v>20021099.639727511</v>
      </c>
    </row>
    <row r="30" spans="1:14" s="2" customFormat="1" ht="12.75">
      <c r="A30" s="2">
        <v>7</v>
      </c>
      <c r="B30" s="2" t="s">
        <v>42</v>
      </c>
      <c r="D30" s="38">
        <f>D26+D28</f>
        <v>1661282.8314360657</v>
      </c>
      <c r="E30" s="38">
        <f t="shared" si="23" ref="E30:M30">E26+E28</f>
        <v>2185082.4166522366</v>
      </c>
      <c r="F30" s="38">
        <f t="shared" si="23"/>
        <v>3853888.9947250532</v>
      </c>
      <c r="G30" s="38">
        <f t="shared" si="23"/>
        <v>8961867.5983312614</v>
      </c>
      <c r="H30" s="38">
        <f t="shared" si="23"/>
        <v>15411326.795922559</v>
      </c>
      <c r="I30" s="38">
        <f t="shared" si="23"/>
        <v>18860171.986956179</v>
      </c>
      <c r="J30" s="38">
        <f t="shared" si="23"/>
        <v>20818302.930307359</v>
      </c>
      <c r="K30" s="38">
        <f t="shared" si="23"/>
        <v>22765806.345036104</v>
      </c>
      <c r="L30" s="38">
        <f t="shared" si="23"/>
        <v>25132606.862575408</v>
      </c>
      <c r="M30" s="38">
        <f t="shared" si="23"/>
        <v>27633818.877785284</v>
      </c>
      <c r="N30" s="38">
        <f>SUM(D30:M30)</f>
        <v>147284155.6397275</v>
      </c>
    </row>
  </sheetData>
  <mergeCells count="4">
    <mergeCell ref="A1:H1"/>
    <mergeCell ref="A2:H2"/>
    <mergeCell ref="A3:H3"/>
    <mergeCell ref="A4:H4"/>
  </mergeCells>
  <printOptions horizontalCentered="1"/>
  <pageMargins left="0.45" right="0.45" top="0.5" bottom="0.5" header="0.3" footer="0.3"/>
  <pageSetup orientation="landscape" scale="71" r:id="rId1"/>
  <headerFooter>
    <oddFooter>&amp;L&amp;D&amp;T&amp;R&amp;Z&amp;F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zoomScale="150" zoomScaleNormal="150" workbookViewId="0" topLeftCell="A1">
      <selection pane="topLeft" activeCell="F16" sqref="F16"/>
    </sheetView>
  </sheetViews>
  <sheetFormatPr defaultRowHeight="15"/>
  <cols>
    <col min="1" max="1" width="36.4285714285714" customWidth="1"/>
    <col min="2" max="2" width="6.14285714285714" bestFit="1" customWidth="1"/>
    <col min="3" max="3" width="15.2857142857143" bestFit="1" customWidth="1"/>
    <col min="4" max="4" width="9.71428571428571" bestFit="1" customWidth="1"/>
    <col min="5" max="5" width="12.7142857142857" bestFit="1" customWidth="1"/>
  </cols>
  <sheetData>
    <row r="1" spans="1:5" s="15" customFormat="1" ht="45">
      <c r="A1" s="15" t="s">
        <v>43</v>
      </c>
      <c r="B1" s="15" t="s">
        <v>44</v>
      </c>
      <c r="C1" s="16" t="s">
        <v>45</v>
      </c>
      <c r="D1" s="15" t="s">
        <v>46</v>
      </c>
      <c r="E1" s="16" t="s">
        <v>47</v>
      </c>
    </row>
    <row r="2" spans="1:5" ht="15">
      <c r="A2" t="s">
        <v>48</v>
      </c>
      <c r="B2" s="20">
        <f>VLOOKUP(A2,[61]Sheet1!$A:$E,5,FALSE)</f>
        <v>0.017999999999999999</v>
      </c>
      <c r="C2" s="22">
        <v>8822442.5899999999</v>
      </c>
      <c r="D2" s="20">
        <f t="shared" si="0" ref="D2:D8">C2/C$9</f>
        <v>0.08738745172175022</v>
      </c>
      <c r="E2" s="20">
        <f t="shared" si="1" ref="E2:E8">B2*D2</f>
        <v>0.0015729741309915039</v>
      </c>
    </row>
    <row r="3" spans="1:5" ht="15">
      <c r="A3" s="19" t="s">
        <v>49</v>
      </c>
      <c r="B3" s="20">
        <f>VLOOKUP(A3,[61]Sheet1!$A:$E,5,FALSE)</f>
        <v>0.019</v>
      </c>
      <c r="C3" s="22">
        <v>13269545.42</v>
      </c>
      <c r="D3" s="20">
        <f t="shared" si="0"/>
        <v>0.13143658889593543</v>
      </c>
      <c r="E3" s="20">
        <f t="shared" si="1"/>
        <v>0.0024972951890227732</v>
      </c>
    </row>
    <row r="4" spans="1:5" ht="15">
      <c r="A4" t="s">
        <v>50</v>
      </c>
      <c r="B4" s="20">
        <f>VLOOKUP(A4,[61]Sheet1!$A:$E,5,FALSE)</f>
        <v>0.034000000000000002</v>
      </c>
      <c r="C4" s="22">
        <v>26942661.789999999</v>
      </c>
      <c r="D4" s="20">
        <f t="shared" si="0"/>
        <v>0.26687060101674964</v>
      </c>
      <c r="E4" s="20">
        <f t="shared" si="1"/>
        <v>0.0090736004345694891</v>
      </c>
    </row>
    <row r="5" spans="1:5" ht="15">
      <c r="A5" t="s">
        <v>51</v>
      </c>
      <c r="B5" s="20">
        <f>VLOOKUP(A5,[61]Sheet1!$A:$E,5,FALSE)</f>
        <v>0.028000000000000001</v>
      </c>
      <c r="C5" s="22">
        <v>21377955.900000002</v>
      </c>
      <c r="D5" s="20">
        <f t="shared" si="0"/>
        <v>0.21175145885771704</v>
      </c>
      <c r="E5" s="20">
        <f t="shared" si="1"/>
        <v>0.0059290408480160775</v>
      </c>
    </row>
    <row r="6" spans="1:5" ht="15">
      <c r="A6" s="19" t="s">
        <v>52</v>
      </c>
      <c r="B6" s="20">
        <f>VLOOKUP(A6,[61]Sheet1!$A:$E,5,FALSE)</f>
        <v>0.017000000000000001</v>
      </c>
      <c r="C6" s="22">
        <v>7651335.3599999994</v>
      </c>
      <c r="D6" s="20">
        <f t="shared" si="0"/>
        <v>0.075787480911102226</v>
      </c>
      <c r="E6" s="20">
        <f t="shared" si="1"/>
        <v>0.0012883871754887379</v>
      </c>
    </row>
    <row r="7" spans="1:5" ht="15">
      <c r="A7" s="19" t="s">
        <v>53</v>
      </c>
      <c r="B7" s="20">
        <f>VLOOKUP(A7,[61]Sheet1!$A:$E,5,FALSE)</f>
        <v>0.02</v>
      </c>
      <c r="C7" s="22">
        <v>9852058.0699999984</v>
      </c>
      <c r="D7" s="20">
        <f t="shared" si="0"/>
        <v>0.097585928179103568</v>
      </c>
      <c r="E7" s="20">
        <f t="shared" si="1"/>
        <v>0.0019517185635820715</v>
      </c>
    </row>
    <row r="8" spans="1:5" ht="15">
      <c r="A8" t="s">
        <v>54</v>
      </c>
      <c r="B8" s="20">
        <f>VLOOKUP(A8,[61]Sheet1!$A:$E,5,FALSE)</f>
        <v>0.027000000000000003</v>
      </c>
      <c r="C8" s="23">
        <v>13041774.739999998</v>
      </c>
      <c r="D8" s="25">
        <f t="shared" si="0"/>
        <v>0.12918049041764196</v>
      </c>
      <c r="E8" s="25">
        <f t="shared" si="1"/>
        <v>0.0034878732412763334</v>
      </c>
    </row>
    <row r="9" spans="1:5" s="18" customFormat="1" ht="15">
      <c r="A9" s="17" t="s">
        <v>5</v>
      </c>
      <c r="B9" s="21"/>
      <c r="C9" s="24">
        <f>SUM(C2:C8)</f>
        <v>100957773.86999999</v>
      </c>
      <c r="D9" s="26">
        <f>SUM(D2:D8)</f>
        <v>1.0000000000000002</v>
      </c>
      <c r="E9" s="26">
        <f>SUM(E2:E8)</f>
        <v>0.025800889582946986</v>
      </c>
    </row>
    <row r="10" spans="2:2" ht="15">
      <c r="B10" s="20"/>
    </row>
  </sheetData>
  <sortState ref="A2:E8">
    <sortCondition sortBy="value" ref="A2:A8"/>
  </sortState>
  <pageMargins left="0.7" right="0.7" top="0.75" bottom="0.75" header="0.3" footer="0.3"/>
  <pageSetup horizontalDpi="1200" verticalDpi="12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workbookViewId="0" topLeftCell="A1">
      <selection pane="topLeft" activeCell="D3" sqref="D3"/>
    </sheetView>
  </sheetViews>
  <sheetFormatPr defaultRowHeight="15"/>
  <cols>
    <col min="2" max="2" width="70.2857142857143" customWidth="1"/>
    <col min="3" max="3" width="6.14285714285714" customWidth="1"/>
    <col min="4" max="4" width="19.1428571428571" customWidth="1"/>
    <col min="5" max="5" width="25.2857142857143" bestFit="1" customWidth="1"/>
    <col min="6" max="6" width="15.5714285714286" bestFit="1" customWidth="1"/>
    <col min="7" max="7" width="9.28571428571429" customWidth="1"/>
    <col min="8" max="8" width="11.1428571428571" bestFit="1" customWidth="1"/>
    <col min="257" max="257" width="70.2857142857143" customWidth="1"/>
    <col min="258" max="258" width="6.14285714285714" customWidth="1"/>
    <col min="259" max="259" width="19.1428571428571" customWidth="1"/>
    <col min="260" max="260" width="12.4285714285714" customWidth="1"/>
    <col min="261" max="261" width="25.2857142857143" bestFit="1" customWidth="1"/>
    <col min="262" max="262" width="15.5714285714286" bestFit="1" customWidth="1"/>
    <col min="263" max="263" width="9.28571428571429" customWidth="1"/>
    <col min="264" max="264" width="11.1428571428571" bestFit="1" customWidth="1"/>
    <col min="513" max="513" width="70.2857142857143" customWidth="1"/>
    <col min="514" max="514" width="6.14285714285714" customWidth="1"/>
    <col min="515" max="515" width="19.1428571428571" customWidth="1"/>
    <col min="516" max="516" width="12.4285714285714" customWidth="1"/>
    <col min="517" max="517" width="25.2857142857143" bestFit="1" customWidth="1"/>
    <col min="518" max="518" width="15.5714285714286" bestFit="1" customWidth="1"/>
    <col min="519" max="519" width="9.28571428571429" customWidth="1"/>
    <col min="520" max="520" width="11.1428571428571" bestFit="1" customWidth="1"/>
    <col min="769" max="769" width="70.2857142857143" customWidth="1"/>
    <col min="770" max="770" width="6.14285714285714" customWidth="1"/>
    <col min="771" max="771" width="19.1428571428571" customWidth="1"/>
    <col min="772" max="772" width="12.4285714285714" customWidth="1"/>
    <col min="773" max="773" width="25.2857142857143" bestFit="1" customWidth="1"/>
    <col min="774" max="774" width="15.5714285714286" bestFit="1" customWidth="1"/>
    <col min="775" max="775" width="9.28571428571429" customWidth="1"/>
    <col min="776" max="776" width="11.1428571428571" bestFit="1" customWidth="1"/>
    <col min="1025" max="1025" width="70.2857142857143" customWidth="1"/>
    <col min="1026" max="1026" width="6.14285714285714" customWidth="1"/>
    <col min="1027" max="1027" width="19.1428571428571" customWidth="1"/>
    <col min="1028" max="1028" width="12.4285714285714" customWidth="1"/>
    <col min="1029" max="1029" width="25.2857142857143" bestFit="1" customWidth="1"/>
    <col min="1030" max="1030" width="15.5714285714286" bestFit="1" customWidth="1"/>
    <col min="1031" max="1031" width="9.28571428571429" customWidth="1"/>
    <col min="1032" max="1032" width="11.1428571428571" bestFit="1" customWidth="1"/>
    <col min="1281" max="1281" width="70.2857142857143" customWidth="1"/>
    <col min="1282" max="1282" width="6.14285714285714" customWidth="1"/>
    <col min="1283" max="1283" width="19.1428571428571" customWidth="1"/>
    <col min="1284" max="1284" width="12.4285714285714" customWidth="1"/>
    <col min="1285" max="1285" width="25.2857142857143" bestFit="1" customWidth="1"/>
    <col min="1286" max="1286" width="15.5714285714286" bestFit="1" customWidth="1"/>
    <col min="1287" max="1287" width="9.28571428571429" customWidth="1"/>
    <col min="1288" max="1288" width="11.1428571428571" bestFit="1" customWidth="1"/>
    <col min="1537" max="1537" width="70.2857142857143" customWidth="1"/>
    <col min="1538" max="1538" width="6.14285714285714" customWidth="1"/>
    <col min="1539" max="1539" width="19.1428571428571" customWidth="1"/>
    <col min="1540" max="1540" width="12.4285714285714" customWidth="1"/>
    <col min="1541" max="1541" width="25.2857142857143" bestFit="1" customWidth="1"/>
    <col min="1542" max="1542" width="15.5714285714286" bestFit="1" customWidth="1"/>
    <col min="1543" max="1543" width="9.28571428571429" customWidth="1"/>
    <col min="1544" max="1544" width="11.1428571428571" bestFit="1" customWidth="1"/>
    <col min="1793" max="1793" width="70.2857142857143" customWidth="1"/>
    <col min="1794" max="1794" width="6.14285714285714" customWidth="1"/>
    <col min="1795" max="1795" width="19.1428571428571" customWidth="1"/>
    <col min="1796" max="1796" width="12.4285714285714" customWidth="1"/>
    <col min="1797" max="1797" width="25.2857142857143" bestFit="1" customWidth="1"/>
    <col min="1798" max="1798" width="15.5714285714286" bestFit="1" customWidth="1"/>
    <col min="1799" max="1799" width="9.28571428571429" customWidth="1"/>
    <col min="1800" max="1800" width="11.1428571428571" bestFit="1" customWidth="1"/>
    <col min="2049" max="2049" width="70.2857142857143" customWidth="1"/>
    <col min="2050" max="2050" width="6.14285714285714" customWidth="1"/>
    <col min="2051" max="2051" width="19.1428571428571" customWidth="1"/>
    <col min="2052" max="2052" width="12.4285714285714" customWidth="1"/>
    <col min="2053" max="2053" width="25.2857142857143" bestFit="1" customWidth="1"/>
    <col min="2054" max="2054" width="15.5714285714286" bestFit="1" customWidth="1"/>
    <col min="2055" max="2055" width="9.28571428571429" customWidth="1"/>
    <col min="2056" max="2056" width="11.1428571428571" bestFit="1" customWidth="1"/>
    <col min="2305" max="2305" width="70.2857142857143" customWidth="1"/>
    <col min="2306" max="2306" width="6.14285714285714" customWidth="1"/>
    <col min="2307" max="2307" width="19.1428571428571" customWidth="1"/>
    <col min="2308" max="2308" width="12.4285714285714" customWidth="1"/>
    <col min="2309" max="2309" width="25.2857142857143" bestFit="1" customWidth="1"/>
    <col min="2310" max="2310" width="15.5714285714286" bestFit="1" customWidth="1"/>
    <col min="2311" max="2311" width="9.28571428571429" customWidth="1"/>
    <col min="2312" max="2312" width="11.1428571428571" bestFit="1" customWidth="1"/>
    <col min="2561" max="2561" width="70.2857142857143" customWidth="1"/>
    <col min="2562" max="2562" width="6.14285714285714" customWidth="1"/>
    <col min="2563" max="2563" width="19.1428571428571" customWidth="1"/>
    <col min="2564" max="2564" width="12.4285714285714" customWidth="1"/>
    <col min="2565" max="2565" width="25.2857142857143" bestFit="1" customWidth="1"/>
    <col min="2566" max="2566" width="15.5714285714286" bestFit="1" customWidth="1"/>
    <col min="2567" max="2567" width="9.28571428571429" customWidth="1"/>
    <col min="2568" max="2568" width="11.1428571428571" bestFit="1" customWidth="1"/>
    <col min="2817" max="2817" width="70.2857142857143" customWidth="1"/>
    <col min="2818" max="2818" width="6.14285714285714" customWidth="1"/>
    <col min="2819" max="2819" width="19.1428571428571" customWidth="1"/>
    <col min="2820" max="2820" width="12.4285714285714" customWidth="1"/>
    <col min="2821" max="2821" width="25.2857142857143" bestFit="1" customWidth="1"/>
    <col min="2822" max="2822" width="15.5714285714286" bestFit="1" customWidth="1"/>
    <col min="2823" max="2823" width="9.28571428571429" customWidth="1"/>
    <col min="2824" max="2824" width="11.1428571428571" bestFit="1" customWidth="1"/>
    <col min="3073" max="3073" width="70.2857142857143" customWidth="1"/>
    <col min="3074" max="3074" width="6.14285714285714" customWidth="1"/>
    <col min="3075" max="3075" width="19.1428571428571" customWidth="1"/>
    <col min="3076" max="3076" width="12.4285714285714" customWidth="1"/>
    <col min="3077" max="3077" width="25.2857142857143" bestFit="1" customWidth="1"/>
    <col min="3078" max="3078" width="15.5714285714286" bestFit="1" customWidth="1"/>
    <col min="3079" max="3079" width="9.28571428571429" customWidth="1"/>
    <col min="3080" max="3080" width="11.1428571428571" bestFit="1" customWidth="1"/>
    <col min="3329" max="3329" width="70.2857142857143" customWidth="1"/>
    <col min="3330" max="3330" width="6.14285714285714" customWidth="1"/>
    <col min="3331" max="3331" width="19.1428571428571" customWidth="1"/>
    <col min="3332" max="3332" width="12.4285714285714" customWidth="1"/>
    <col min="3333" max="3333" width="25.2857142857143" bestFit="1" customWidth="1"/>
    <col min="3334" max="3334" width="15.5714285714286" bestFit="1" customWidth="1"/>
    <col min="3335" max="3335" width="9.28571428571429" customWidth="1"/>
    <col min="3336" max="3336" width="11.1428571428571" bestFit="1" customWidth="1"/>
    <col min="3585" max="3585" width="70.2857142857143" customWidth="1"/>
    <col min="3586" max="3586" width="6.14285714285714" customWidth="1"/>
    <col min="3587" max="3587" width="19.1428571428571" customWidth="1"/>
    <col min="3588" max="3588" width="12.4285714285714" customWidth="1"/>
    <col min="3589" max="3589" width="25.2857142857143" bestFit="1" customWidth="1"/>
    <col min="3590" max="3590" width="15.5714285714286" bestFit="1" customWidth="1"/>
    <col min="3591" max="3591" width="9.28571428571429" customWidth="1"/>
    <col min="3592" max="3592" width="11.1428571428571" bestFit="1" customWidth="1"/>
    <col min="3841" max="3841" width="70.2857142857143" customWidth="1"/>
    <col min="3842" max="3842" width="6.14285714285714" customWidth="1"/>
    <col min="3843" max="3843" width="19.1428571428571" customWidth="1"/>
    <col min="3844" max="3844" width="12.4285714285714" customWidth="1"/>
    <col min="3845" max="3845" width="25.2857142857143" bestFit="1" customWidth="1"/>
    <col min="3846" max="3846" width="15.5714285714286" bestFit="1" customWidth="1"/>
    <col min="3847" max="3847" width="9.28571428571429" customWidth="1"/>
    <col min="3848" max="3848" width="11.1428571428571" bestFit="1" customWidth="1"/>
    <col min="4097" max="4097" width="70.2857142857143" customWidth="1"/>
    <col min="4098" max="4098" width="6.14285714285714" customWidth="1"/>
    <col min="4099" max="4099" width="19.1428571428571" customWidth="1"/>
    <col min="4100" max="4100" width="12.4285714285714" customWidth="1"/>
    <col min="4101" max="4101" width="25.2857142857143" bestFit="1" customWidth="1"/>
    <col min="4102" max="4102" width="15.5714285714286" bestFit="1" customWidth="1"/>
    <col min="4103" max="4103" width="9.28571428571429" customWidth="1"/>
    <col min="4104" max="4104" width="11.1428571428571" bestFit="1" customWidth="1"/>
    <col min="4353" max="4353" width="70.2857142857143" customWidth="1"/>
    <col min="4354" max="4354" width="6.14285714285714" customWidth="1"/>
    <col min="4355" max="4355" width="19.1428571428571" customWidth="1"/>
    <col min="4356" max="4356" width="12.4285714285714" customWidth="1"/>
    <col min="4357" max="4357" width="25.2857142857143" bestFit="1" customWidth="1"/>
    <col min="4358" max="4358" width="15.5714285714286" bestFit="1" customWidth="1"/>
    <col min="4359" max="4359" width="9.28571428571429" customWidth="1"/>
    <col min="4360" max="4360" width="11.1428571428571" bestFit="1" customWidth="1"/>
    <col min="4609" max="4609" width="70.2857142857143" customWidth="1"/>
    <col min="4610" max="4610" width="6.14285714285714" customWidth="1"/>
    <col min="4611" max="4611" width="19.1428571428571" customWidth="1"/>
    <col min="4612" max="4612" width="12.4285714285714" customWidth="1"/>
    <col min="4613" max="4613" width="25.2857142857143" bestFit="1" customWidth="1"/>
    <col min="4614" max="4614" width="15.5714285714286" bestFit="1" customWidth="1"/>
    <col min="4615" max="4615" width="9.28571428571429" customWidth="1"/>
    <col min="4616" max="4616" width="11.1428571428571" bestFit="1" customWidth="1"/>
    <col min="4865" max="4865" width="70.2857142857143" customWidth="1"/>
    <col min="4866" max="4866" width="6.14285714285714" customWidth="1"/>
    <col min="4867" max="4867" width="19.1428571428571" customWidth="1"/>
    <col min="4868" max="4868" width="12.4285714285714" customWidth="1"/>
    <col min="4869" max="4869" width="25.2857142857143" bestFit="1" customWidth="1"/>
    <col min="4870" max="4870" width="15.5714285714286" bestFit="1" customWidth="1"/>
    <col min="4871" max="4871" width="9.28571428571429" customWidth="1"/>
    <col min="4872" max="4872" width="11.1428571428571" bestFit="1" customWidth="1"/>
    <col min="5121" max="5121" width="70.2857142857143" customWidth="1"/>
    <col min="5122" max="5122" width="6.14285714285714" customWidth="1"/>
    <col min="5123" max="5123" width="19.1428571428571" customWidth="1"/>
    <col min="5124" max="5124" width="12.4285714285714" customWidth="1"/>
    <col min="5125" max="5125" width="25.2857142857143" bestFit="1" customWidth="1"/>
    <col min="5126" max="5126" width="15.5714285714286" bestFit="1" customWidth="1"/>
    <col min="5127" max="5127" width="9.28571428571429" customWidth="1"/>
    <col min="5128" max="5128" width="11.1428571428571" bestFit="1" customWidth="1"/>
    <col min="5377" max="5377" width="70.2857142857143" customWidth="1"/>
    <col min="5378" max="5378" width="6.14285714285714" customWidth="1"/>
    <col min="5379" max="5379" width="19.1428571428571" customWidth="1"/>
    <col min="5380" max="5380" width="12.4285714285714" customWidth="1"/>
    <col min="5381" max="5381" width="25.2857142857143" bestFit="1" customWidth="1"/>
    <col min="5382" max="5382" width="15.5714285714286" bestFit="1" customWidth="1"/>
    <col min="5383" max="5383" width="9.28571428571429" customWidth="1"/>
    <col min="5384" max="5384" width="11.1428571428571" bestFit="1" customWidth="1"/>
    <col min="5633" max="5633" width="70.2857142857143" customWidth="1"/>
    <col min="5634" max="5634" width="6.14285714285714" customWidth="1"/>
    <col min="5635" max="5635" width="19.1428571428571" customWidth="1"/>
    <col min="5636" max="5636" width="12.4285714285714" customWidth="1"/>
    <col min="5637" max="5637" width="25.2857142857143" bestFit="1" customWidth="1"/>
    <col min="5638" max="5638" width="15.5714285714286" bestFit="1" customWidth="1"/>
    <col min="5639" max="5639" width="9.28571428571429" customWidth="1"/>
    <col min="5640" max="5640" width="11.1428571428571" bestFit="1" customWidth="1"/>
    <col min="5889" max="5889" width="70.2857142857143" customWidth="1"/>
    <col min="5890" max="5890" width="6.14285714285714" customWidth="1"/>
    <col min="5891" max="5891" width="19.1428571428571" customWidth="1"/>
    <col min="5892" max="5892" width="12.4285714285714" customWidth="1"/>
    <col min="5893" max="5893" width="25.2857142857143" bestFit="1" customWidth="1"/>
    <col min="5894" max="5894" width="15.5714285714286" bestFit="1" customWidth="1"/>
    <col min="5895" max="5895" width="9.28571428571429" customWidth="1"/>
    <col min="5896" max="5896" width="11.1428571428571" bestFit="1" customWidth="1"/>
    <col min="6145" max="6145" width="70.2857142857143" customWidth="1"/>
    <col min="6146" max="6146" width="6.14285714285714" customWidth="1"/>
    <col min="6147" max="6147" width="19.1428571428571" customWidth="1"/>
    <col min="6148" max="6148" width="12.4285714285714" customWidth="1"/>
    <col min="6149" max="6149" width="25.2857142857143" bestFit="1" customWidth="1"/>
    <col min="6150" max="6150" width="15.5714285714286" bestFit="1" customWidth="1"/>
    <col min="6151" max="6151" width="9.28571428571429" customWidth="1"/>
    <col min="6152" max="6152" width="11.1428571428571" bestFit="1" customWidth="1"/>
    <col min="6401" max="6401" width="70.2857142857143" customWidth="1"/>
    <col min="6402" max="6402" width="6.14285714285714" customWidth="1"/>
    <col min="6403" max="6403" width="19.1428571428571" customWidth="1"/>
    <col min="6404" max="6404" width="12.4285714285714" customWidth="1"/>
    <col min="6405" max="6405" width="25.2857142857143" bestFit="1" customWidth="1"/>
    <col min="6406" max="6406" width="15.5714285714286" bestFit="1" customWidth="1"/>
    <col min="6407" max="6407" width="9.28571428571429" customWidth="1"/>
    <col min="6408" max="6408" width="11.1428571428571" bestFit="1" customWidth="1"/>
    <col min="6657" max="6657" width="70.2857142857143" customWidth="1"/>
    <col min="6658" max="6658" width="6.14285714285714" customWidth="1"/>
    <col min="6659" max="6659" width="19.1428571428571" customWidth="1"/>
    <col min="6660" max="6660" width="12.4285714285714" customWidth="1"/>
    <col min="6661" max="6661" width="25.2857142857143" bestFit="1" customWidth="1"/>
    <col min="6662" max="6662" width="15.5714285714286" bestFit="1" customWidth="1"/>
    <col min="6663" max="6663" width="9.28571428571429" customWidth="1"/>
    <col min="6664" max="6664" width="11.1428571428571" bestFit="1" customWidth="1"/>
    <col min="6913" max="6913" width="70.2857142857143" customWidth="1"/>
    <col min="6914" max="6914" width="6.14285714285714" customWidth="1"/>
    <col min="6915" max="6915" width="19.1428571428571" customWidth="1"/>
    <col min="6916" max="6916" width="12.4285714285714" customWidth="1"/>
    <col min="6917" max="6917" width="25.2857142857143" bestFit="1" customWidth="1"/>
    <col min="6918" max="6918" width="15.5714285714286" bestFit="1" customWidth="1"/>
    <col min="6919" max="6919" width="9.28571428571429" customWidth="1"/>
    <col min="6920" max="6920" width="11.1428571428571" bestFit="1" customWidth="1"/>
    <col min="7169" max="7169" width="70.2857142857143" customWidth="1"/>
    <col min="7170" max="7170" width="6.14285714285714" customWidth="1"/>
    <col min="7171" max="7171" width="19.1428571428571" customWidth="1"/>
    <col min="7172" max="7172" width="12.4285714285714" customWidth="1"/>
    <col min="7173" max="7173" width="25.2857142857143" bestFit="1" customWidth="1"/>
    <col min="7174" max="7174" width="15.5714285714286" bestFit="1" customWidth="1"/>
    <col min="7175" max="7175" width="9.28571428571429" customWidth="1"/>
    <col min="7176" max="7176" width="11.1428571428571" bestFit="1" customWidth="1"/>
    <col min="7425" max="7425" width="70.2857142857143" customWidth="1"/>
    <col min="7426" max="7426" width="6.14285714285714" customWidth="1"/>
    <col min="7427" max="7427" width="19.1428571428571" customWidth="1"/>
    <col min="7428" max="7428" width="12.4285714285714" customWidth="1"/>
    <col min="7429" max="7429" width="25.2857142857143" bestFit="1" customWidth="1"/>
    <col min="7430" max="7430" width="15.5714285714286" bestFit="1" customWidth="1"/>
    <col min="7431" max="7431" width="9.28571428571429" customWidth="1"/>
    <col min="7432" max="7432" width="11.1428571428571" bestFit="1" customWidth="1"/>
    <col min="7681" max="7681" width="70.2857142857143" customWidth="1"/>
    <col min="7682" max="7682" width="6.14285714285714" customWidth="1"/>
    <col min="7683" max="7683" width="19.1428571428571" customWidth="1"/>
    <col min="7684" max="7684" width="12.4285714285714" customWidth="1"/>
    <col min="7685" max="7685" width="25.2857142857143" bestFit="1" customWidth="1"/>
    <col min="7686" max="7686" width="15.5714285714286" bestFit="1" customWidth="1"/>
    <col min="7687" max="7687" width="9.28571428571429" customWidth="1"/>
    <col min="7688" max="7688" width="11.1428571428571" bestFit="1" customWidth="1"/>
    <col min="7937" max="7937" width="70.2857142857143" customWidth="1"/>
    <col min="7938" max="7938" width="6.14285714285714" customWidth="1"/>
    <col min="7939" max="7939" width="19.1428571428571" customWidth="1"/>
    <col min="7940" max="7940" width="12.4285714285714" customWidth="1"/>
    <col min="7941" max="7941" width="25.2857142857143" bestFit="1" customWidth="1"/>
    <col min="7942" max="7942" width="15.5714285714286" bestFit="1" customWidth="1"/>
    <col min="7943" max="7943" width="9.28571428571429" customWidth="1"/>
    <col min="7944" max="7944" width="11.1428571428571" bestFit="1" customWidth="1"/>
    <col min="8193" max="8193" width="70.2857142857143" customWidth="1"/>
    <col min="8194" max="8194" width="6.14285714285714" customWidth="1"/>
    <col min="8195" max="8195" width="19.1428571428571" customWidth="1"/>
    <col min="8196" max="8196" width="12.4285714285714" customWidth="1"/>
    <col min="8197" max="8197" width="25.2857142857143" bestFit="1" customWidth="1"/>
    <col min="8198" max="8198" width="15.5714285714286" bestFit="1" customWidth="1"/>
    <col min="8199" max="8199" width="9.28571428571429" customWidth="1"/>
    <col min="8200" max="8200" width="11.1428571428571" bestFit="1" customWidth="1"/>
    <col min="8449" max="8449" width="70.2857142857143" customWidth="1"/>
    <col min="8450" max="8450" width="6.14285714285714" customWidth="1"/>
    <col min="8451" max="8451" width="19.1428571428571" customWidth="1"/>
    <col min="8452" max="8452" width="12.4285714285714" customWidth="1"/>
    <col min="8453" max="8453" width="25.2857142857143" bestFit="1" customWidth="1"/>
    <col min="8454" max="8454" width="15.5714285714286" bestFit="1" customWidth="1"/>
    <col min="8455" max="8455" width="9.28571428571429" customWidth="1"/>
    <col min="8456" max="8456" width="11.1428571428571" bestFit="1" customWidth="1"/>
    <col min="8705" max="8705" width="70.2857142857143" customWidth="1"/>
    <col min="8706" max="8706" width="6.14285714285714" customWidth="1"/>
    <col min="8707" max="8707" width="19.1428571428571" customWidth="1"/>
    <col min="8708" max="8708" width="12.4285714285714" customWidth="1"/>
    <col min="8709" max="8709" width="25.2857142857143" bestFit="1" customWidth="1"/>
    <col min="8710" max="8710" width="15.5714285714286" bestFit="1" customWidth="1"/>
    <col min="8711" max="8711" width="9.28571428571429" customWidth="1"/>
    <col min="8712" max="8712" width="11.1428571428571" bestFit="1" customWidth="1"/>
    <col min="8961" max="8961" width="70.2857142857143" customWidth="1"/>
    <col min="8962" max="8962" width="6.14285714285714" customWidth="1"/>
    <col min="8963" max="8963" width="19.1428571428571" customWidth="1"/>
    <col min="8964" max="8964" width="12.4285714285714" customWidth="1"/>
    <col min="8965" max="8965" width="25.2857142857143" bestFit="1" customWidth="1"/>
    <col min="8966" max="8966" width="15.5714285714286" bestFit="1" customWidth="1"/>
    <col min="8967" max="8967" width="9.28571428571429" customWidth="1"/>
    <col min="8968" max="8968" width="11.1428571428571" bestFit="1" customWidth="1"/>
    <col min="9217" max="9217" width="70.2857142857143" customWidth="1"/>
    <col min="9218" max="9218" width="6.14285714285714" customWidth="1"/>
    <col min="9219" max="9219" width="19.1428571428571" customWidth="1"/>
    <col min="9220" max="9220" width="12.4285714285714" customWidth="1"/>
    <col min="9221" max="9221" width="25.2857142857143" bestFit="1" customWidth="1"/>
    <col min="9222" max="9222" width="15.5714285714286" bestFit="1" customWidth="1"/>
    <col min="9223" max="9223" width="9.28571428571429" customWidth="1"/>
    <col min="9224" max="9224" width="11.1428571428571" bestFit="1" customWidth="1"/>
    <col min="9473" max="9473" width="70.2857142857143" customWidth="1"/>
    <col min="9474" max="9474" width="6.14285714285714" customWidth="1"/>
    <col min="9475" max="9475" width="19.1428571428571" customWidth="1"/>
    <col min="9476" max="9476" width="12.4285714285714" customWidth="1"/>
    <col min="9477" max="9477" width="25.2857142857143" bestFit="1" customWidth="1"/>
    <col min="9478" max="9478" width="15.5714285714286" bestFit="1" customWidth="1"/>
    <col min="9479" max="9479" width="9.28571428571429" customWidth="1"/>
    <col min="9480" max="9480" width="11.1428571428571" bestFit="1" customWidth="1"/>
    <col min="9729" max="9729" width="70.2857142857143" customWidth="1"/>
    <col min="9730" max="9730" width="6.14285714285714" customWidth="1"/>
    <col min="9731" max="9731" width="19.1428571428571" customWidth="1"/>
    <col min="9732" max="9732" width="12.4285714285714" customWidth="1"/>
    <col min="9733" max="9733" width="25.2857142857143" bestFit="1" customWidth="1"/>
    <col min="9734" max="9734" width="15.5714285714286" bestFit="1" customWidth="1"/>
    <col min="9735" max="9735" width="9.28571428571429" customWidth="1"/>
    <col min="9736" max="9736" width="11.1428571428571" bestFit="1" customWidth="1"/>
    <col min="9985" max="9985" width="70.2857142857143" customWidth="1"/>
    <col min="9986" max="9986" width="6.14285714285714" customWidth="1"/>
    <col min="9987" max="9987" width="19.1428571428571" customWidth="1"/>
    <col min="9988" max="9988" width="12.4285714285714" customWidth="1"/>
    <col min="9989" max="9989" width="25.2857142857143" bestFit="1" customWidth="1"/>
    <col min="9990" max="9990" width="15.5714285714286" bestFit="1" customWidth="1"/>
    <col min="9991" max="9991" width="9.28571428571429" customWidth="1"/>
    <col min="9992" max="9992" width="11.1428571428571" bestFit="1" customWidth="1"/>
    <col min="10241" max="10241" width="70.2857142857143" customWidth="1"/>
    <col min="10242" max="10242" width="6.14285714285714" customWidth="1"/>
    <col min="10243" max="10243" width="19.1428571428571" customWidth="1"/>
    <col min="10244" max="10244" width="12.4285714285714" customWidth="1"/>
    <col min="10245" max="10245" width="25.2857142857143" bestFit="1" customWidth="1"/>
    <col min="10246" max="10246" width="15.5714285714286" bestFit="1" customWidth="1"/>
    <col min="10247" max="10247" width="9.28571428571429" customWidth="1"/>
    <col min="10248" max="10248" width="11.1428571428571" bestFit="1" customWidth="1"/>
    <col min="10497" max="10497" width="70.2857142857143" customWidth="1"/>
    <col min="10498" max="10498" width="6.14285714285714" customWidth="1"/>
    <col min="10499" max="10499" width="19.1428571428571" customWidth="1"/>
    <col min="10500" max="10500" width="12.4285714285714" customWidth="1"/>
    <col min="10501" max="10501" width="25.2857142857143" bestFit="1" customWidth="1"/>
    <col min="10502" max="10502" width="15.5714285714286" bestFit="1" customWidth="1"/>
    <col min="10503" max="10503" width="9.28571428571429" customWidth="1"/>
    <col min="10504" max="10504" width="11.1428571428571" bestFit="1" customWidth="1"/>
    <col min="10753" max="10753" width="70.2857142857143" customWidth="1"/>
    <col min="10754" max="10754" width="6.14285714285714" customWidth="1"/>
    <col min="10755" max="10755" width="19.1428571428571" customWidth="1"/>
    <col min="10756" max="10756" width="12.4285714285714" customWidth="1"/>
    <col min="10757" max="10757" width="25.2857142857143" bestFit="1" customWidth="1"/>
    <col min="10758" max="10758" width="15.5714285714286" bestFit="1" customWidth="1"/>
    <col min="10759" max="10759" width="9.28571428571429" customWidth="1"/>
    <col min="10760" max="10760" width="11.1428571428571" bestFit="1" customWidth="1"/>
    <col min="11009" max="11009" width="70.2857142857143" customWidth="1"/>
    <col min="11010" max="11010" width="6.14285714285714" customWidth="1"/>
    <col min="11011" max="11011" width="19.1428571428571" customWidth="1"/>
    <col min="11012" max="11012" width="12.4285714285714" customWidth="1"/>
    <col min="11013" max="11013" width="25.2857142857143" bestFit="1" customWidth="1"/>
    <col min="11014" max="11014" width="15.5714285714286" bestFit="1" customWidth="1"/>
    <col min="11015" max="11015" width="9.28571428571429" customWidth="1"/>
    <col min="11016" max="11016" width="11.1428571428571" bestFit="1" customWidth="1"/>
    <col min="11265" max="11265" width="70.2857142857143" customWidth="1"/>
    <col min="11266" max="11266" width="6.14285714285714" customWidth="1"/>
    <col min="11267" max="11267" width="19.1428571428571" customWidth="1"/>
    <col min="11268" max="11268" width="12.4285714285714" customWidth="1"/>
    <col min="11269" max="11269" width="25.2857142857143" bestFit="1" customWidth="1"/>
    <col min="11270" max="11270" width="15.5714285714286" bestFit="1" customWidth="1"/>
    <col min="11271" max="11271" width="9.28571428571429" customWidth="1"/>
    <col min="11272" max="11272" width="11.1428571428571" bestFit="1" customWidth="1"/>
    <col min="11521" max="11521" width="70.2857142857143" customWidth="1"/>
    <col min="11522" max="11522" width="6.14285714285714" customWidth="1"/>
    <col min="11523" max="11523" width="19.1428571428571" customWidth="1"/>
    <col min="11524" max="11524" width="12.4285714285714" customWidth="1"/>
    <col min="11525" max="11525" width="25.2857142857143" bestFit="1" customWidth="1"/>
    <col min="11526" max="11526" width="15.5714285714286" bestFit="1" customWidth="1"/>
    <col min="11527" max="11527" width="9.28571428571429" customWidth="1"/>
    <col min="11528" max="11528" width="11.1428571428571" bestFit="1" customWidth="1"/>
    <col min="11777" max="11777" width="70.2857142857143" customWidth="1"/>
    <col min="11778" max="11778" width="6.14285714285714" customWidth="1"/>
    <col min="11779" max="11779" width="19.1428571428571" customWidth="1"/>
    <col min="11780" max="11780" width="12.4285714285714" customWidth="1"/>
    <col min="11781" max="11781" width="25.2857142857143" bestFit="1" customWidth="1"/>
    <col min="11782" max="11782" width="15.5714285714286" bestFit="1" customWidth="1"/>
    <col min="11783" max="11783" width="9.28571428571429" customWidth="1"/>
    <col min="11784" max="11784" width="11.1428571428571" bestFit="1" customWidth="1"/>
    <col min="12033" max="12033" width="70.2857142857143" customWidth="1"/>
    <col min="12034" max="12034" width="6.14285714285714" customWidth="1"/>
    <col min="12035" max="12035" width="19.1428571428571" customWidth="1"/>
    <col min="12036" max="12036" width="12.4285714285714" customWidth="1"/>
    <col min="12037" max="12037" width="25.2857142857143" bestFit="1" customWidth="1"/>
    <col min="12038" max="12038" width="15.5714285714286" bestFit="1" customWidth="1"/>
    <col min="12039" max="12039" width="9.28571428571429" customWidth="1"/>
    <col min="12040" max="12040" width="11.1428571428571" bestFit="1" customWidth="1"/>
    <col min="12289" max="12289" width="70.2857142857143" customWidth="1"/>
    <col min="12290" max="12290" width="6.14285714285714" customWidth="1"/>
    <col min="12291" max="12291" width="19.1428571428571" customWidth="1"/>
    <col min="12292" max="12292" width="12.4285714285714" customWidth="1"/>
    <col min="12293" max="12293" width="25.2857142857143" bestFit="1" customWidth="1"/>
    <col min="12294" max="12294" width="15.5714285714286" bestFit="1" customWidth="1"/>
    <col min="12295" max="12295" width="9.28571428571429" customWidth="1"/>
    <col min="12296" max="12296" width="11.1428571428571" bestFit="1" customWidth="1"/>
    <col min="12545" max="12545" width="70.2857142857143" customWidth="1"/>
    <col min="12546" max="12546" width="6.14285714285714" customWidth="1"/>
    <col min="12547" max="12547" width="19.1428571428571" customWidth="1"/>
    <col min="12548" max="12548" width="12.4285714285714" customWidth="1"/>
    <col min="12549" max="12549" width="25.2857142857143" bestFit="1" customWidth="1"/>
    <col min="12550" max="12550" width="15.5714285714286" bestFit="1" customWidth="1"/>
    <col min="12551" max="12551" width="9.28571428571429" customWidth="1"/>
    <col min="12552" max="12552" width="11.1428571428571" bestFit="1" customWidth="1"/>
    <col min="12801" max="12801" width="70.2857142857143" customWidth="1"/>
    <col min="12802" max="12802" width="6.14285714285714" customWidth="1"/>
    <col min="12803" max="12803" width="19.1428571428571" customWidth="1"/>
    <col min="12804" max="12804" width="12.4285714285714" customWidth="1"/>
    <col min="12805" max="12805" width="25.2857142857143" bestFit="1" customWidth="1"/>
    <col min="12806" max="12806" width="15.5714285714286" bestFit="1" customWidth="1"/>
    <col min="12807" max="12807" width="9.28571428571429" customWidth="1"/>
    <col min="12808" max="12808" width="11.1428571428571" bestFit="1" customWidth="1"/>
    <col min="13057" max="13057" width="70.2857142857143" customWidth="1"/>
    <col min="13058" max="13058" width="6.14285714285714" customWidth="1"/>
    <col min="13059" max="13059" width="19.1428571428571" customWidth="1"/>
    <col min="13060" max="13060" width="12.4285714285714" customWidth="1"/>
    <col min="13061" max="13061" width="25.2857142857143" bestFit="1" customWidth="1"/>
    <col min="13062" max="13062" width="15.5714285714286" bestFit="1" customWidth="1"/>
    <col min="13063" max="13063" width="9.28571428571429" customWidth="1"/>
    <col min="13064" max="13064" width="11.1428571428571" bestFit="1" customWidth="1"/>
    <col min="13313" max="13313" width="70.2857142857143" customWidth="1"/>
    <col min="13314" max="13314" width="6.14285714285714" customWidth="1"/>
    <col min="13315" max="13315" width="19.1428571428571" customWidth="1"/>
    <col min="13316" max="13316" width="12.4285714285714" customWidth="1"/>
    <col min="13317" max="13317" width="25.2857142857143" bestFit="1" customWidth="1"/>
    <col min="13318" max="13318" width="15.5714285714286" bestFit="1" customWidth="1"/>
    <col min="13319" max="13319" width="9.28571428571429" customWidth="1"/>
    <col min="13320" max="13320" width="11.1428571428571" bestFit="1" customWidth="1"/>
    <col min="13569" max="13569" width="70.2857142857143" customWidth="1"/>
    <col min="13570" max="13570" width="6.14285714285714" customWidth="1"/>
    <col min="13571" max="13571" width="19.1428571428571" customWidth="1"/>
    <col min="13572" max="13572" width="12.4285714285714" customWidth="1"/>
    <col min="13573" max="13573" width="25.2857142857143" bestFit="1" customWidth="1"/>
    <col min="13574" max="13574" width="15.5714285714286" bestFit="1" customWidth="1"/>
    <col min="13575" max="13575" width="9.28571428571429" customWidth="1"/>
    <col min="13576" max="13576" width="11.1428571428571" bestFit="1" customWidth="1"/>
    <col min="13825" max="13825" width="70.2857142857143" customWidth="1"/>
    <col min="13826" max="13826" width="6.14285714285714" customWidth="1"/>
    <col min="13827" max="13827" width="19.1428571428571" customWidth="1"/>
    <col min="13828" max="13828" width="12.4285714285714" customWidth="1"/>
    <col min="13829" max="13829" width="25.2857142857143" bestFit="1" customWidth="1"/>
    <col min="13830" max="13830" width="15.5714285714286" bestFit="1" customWidth="1"/>
    <col min="13831" max="13831" width="9.28571428571429" customWidth="1"/>
    <col min="13832" max="13832" width="11.1428571428571" bestFit="1" customWidth="1"/>
    <col min="14081" max="14081" width="70.2857142857143" customWidth="1"/>
    <col min="14082" max="14082" width="6.14285714285714" customWidth="1"/>
    <col min="14083" max="14083" width="19.1428571428571" customWidth="1"/>
    <col min="14084" max="14084" width="12.4285714285714" customWidth="1"/>
    <col min="14085" max="14085" width="25.2857142857143" bestFit="1" customWidth="1"/>
    <col min="14086" max="14086" width="15.5714285714286" bestFit="1" customWidth="1"/>
    <col min="14087" max="14087" width="9.28571428571429" customWidth="1"/>
    <col min="14088" max="14088" width="11.1428571428571" bestFit="1" customWidth="1"/>
    <col min="14337" max="14337" width="70.2857142857143" customWidth="1"/>
    <col min="14338" max="14338" width="6.14285714285714" customWidth="1"/>
    <col min="14339" max="14339" width="19.1428571428571" customWidth="1"/>
    <col min="14340" max="14340" width="12.4285714285714" customWidth="1"/>
    <col min="14341" max="14341" width="25.2857142857143" bestFit="1" customWidth="1"/>
    <col min="14342" max="14342" width="15.5714285714286" bestFit="1" customWidth="1"/>
    <col min="14343" max="14343" width="9.28571428571429" customWidth="1"/>
    <col min="14344" max="14344" width="11.1428571428571" bestFit="1" customWidth="1"/>
    <col min="14593" max="14593" width="70.2857142857143" customWidth="1"/>
    <col min="14594" max="14594" width="6.14285714285714" customWidth="1"/>
    <col min="14595" max="14595" width="19.1428571428571" customWidth="1"/>
    <col min="14596" max="14596" width="12.4285714285714" customWidth="1"/>
    <col min="14597" max="14597" width="25.2857142857143" bestFit="1" customWidth="1"/>
    <col min="14598" max="14598" width="15.5714285714286" bestFit="1" customWidth="1"/>
    <col min="14599" max="14599" width="9.28571428571429" customWidth="1"/>
    <col min="14600" max="14600" width="11.1428571428571" bestFit="1" customWidth="1"/>
    <col min="14849" max="14849" width="70.2857142857143" customWidth="1"/>
    <col min="14850" max="14850" width="6.14285714285714" customWidth="1"/>
    <col min="14851" max="14851" width="19.1428571428571" customWidth="1"/>
    <col min="14852" max="14852" width="12.4285714285714" customWidth="1"/>
    <col min="14853" max="14853" width="25.2857142857143" bestFit="1" customWidth="1"/>
    <col min="14854" max="14854" width="15.5714285714286" bestFit="1" customWidth="1"/>
    <col min="14855" max="14855" width="9.28571428571429" customWidth="1"/>
    <col min="14856" max="14856" width="11.1428571428571" bestFit="1" customWidth="1"/>
    <col min="15105" max="15105" width="70.2857142857143" customWidth="1"/>
    <col min="15106" max="15106" width="6.14285714285714" customWidth="1"/>
    <col min="15107" max="15107" width="19.1428571428571" customWidth="1"/>
    <col min="15108" max="15108" width="12.4285714285714" customWidth="1"/>
    <col min="15109" max="15109" width="25.2857142857143" bestFit="1" customWidth="1"/>
    <col min="15110" max="15110" width="15.5714285714286" bestFit="1" customWidth="1"/>
    <col min="15111" max="15111" width="9.28571428571429" customWidth="1"/>
    <col min="15112" max="15112" width="11.1428571428571" bestFit="1" customWidth="1"/>
    <col min="15361" max="15361" width="70.2857142857143" customWidth="1"/>
    <col min="15362" max="15362" width="6.14285714285714" customWidth="1"/>
    <col min="15363" max="15363" width="19.1428571428571" customWidth="1"/>
    <col min="15364" max="15364" width="12.4285714285714" customWidth="1"/>
    <col min="15365" max="15365" width="25.2857142857143" bestFit="1" customWidth="1"/>
    <col min="15366" max="15366" width="15.5714285714286" bestFit="1" customWidth="1"/>
    <col min="15367" max="15367" width="9.28571428571429" customWidth="1"/>
    <col min="15368" max="15368" width="11.1428571428571" bestFit="1" customWidth="1"/>
    <col min="15617" max="15617" width="70.2857142857143" customWidth="1"/>
    <col min="15618" max="15618" width="6.14285714285714" customWidth="1"/>
    <col min="15619" max="15619" width="19.1428571428571" customWidth="1"/>
    <col min="15620" max="15620" width="12.4285714285714" customWidth="1"/>
    <col min="15621" max="15621" width="25.2857142857143" bestFit="1" customWidth="1"/>
    <col min="15622" max="15622" width="15.5714285714286" bestFit="1" customWidth="1"/>
    <col min="15623" max="15623" width="9.28571428571429" customWidth="1"/>
    <col min="15624" max="15624" width="11.1428571428571" bestFit="1" customWidth="1"/>
    <col min="15873" max="15873" width="70.2857142857143" customWidth="1"/>
    <col min="15874" max="15874" width="6.14285714285714" customWidth="1"/>
    <col min="15875" max="15875" width="19.1428571428571" customWidth="1"/>
    <col min="15876" max="15876" width="12.4285714285714" customWidth="1"/>
    <col min="15877" max="15877" width="25.2857142857143" bestFit="1" customWidth="1"/>
    <col min="15878" max="15878" width="15.5714285714286" bestFit="1" customWidth="1"/>
    <col min="15879" max="15879" width="9.28571428571429" customWidth="1"/>
    <col min="15880" max="15880" width="11.1428571428571" bestFit="1" customWidth="1"/>
    <col min="16129" max="16129" width="70.2857142857143" customWidth="1"/>
    <col min="16130" max="16130" width="6.14285714285714" customWidth="1"/>
    <col min="16131" max="16131" width="19.1428571428571" customWidth="1"/>
    <col min="16132" max="16132" width="12.4285714285714" customWidth="1"/>
    <col min="16133" max="16133" width="25.2857142857143" bestFit="1" customWidth="1"/>
    <col min="16134" max="16134" width="15.5714285714286" bestFit="1" customWidth="1"/>
    <col min="16135" max="16135" width="9.28571428571429" customWidth="1"/>
    <col min="16136" max="16136" width="11.1428571428571" bestFit="1" customWidth="1"/>
  </cols>
  <sheetData>
    <row r="1" spans="4:4" ht="15">
      <c r="D1" s="15"/>
    </row>
    <row r="2" spans="1:7" ht="15">
      <c r="A2" s="27"/>
      <c r="B2" s="27"/>
      <c r="C2" s="27"/>
      <c r="D2" s="28"/>
      <c r="E2" s="28"/>
      <c r="F2" s="27"/>
      <c r="G2" s="27"/>
    </row>
    <row r="3" spans="1:7" ht="15">
      <c r="A3" s="27"/>
      <c r="B3" s="27"/>
      <c r="C3" s="27"/>
      <c r="D3" s="29">
        <v>44440</v>
      </c>
      <c r="E3" s="27"/>
      <c r="F3" s="27"/>
      <c r="G3" s="27"/>
    </row>
    <row r="4" spans="1:7" ht="15">
      <c r="A4" s="27" t="s">
        <v>55</v>
      </c>
      <c r="B4" s="27"/>
      <c r="C4" s="27"/>
      <c r="D4" s="27"/>
      <c r="E4" s="27"/>
      <c r="F4" s="27"/>
      <c r="G4" s="27"/>
    </row>
    <row r="5" spans="1:7" ht="15">
      <c r="A5" s="27"/>
      <c r="B5" s="27" t="s">
        <v>56</v>
      </c>
      <c r="C5" s="27"/>
      <c r="D5" s="30">
        <f>'[62]Capital Structure Sch 4'!M13</f>
        <v>0.10249999999999999</v>
      </c>
      <c r="E5" s="27"/>
      <c r="F5" s="27"/>
      <c r="G5" s="27"/>
    </row>
    <row r="6" spans="1:7" ht="15">
      <c r="A6" s="27"/>
      <c r="B6" s="27" t="s">
        <v>57</v>
      </c>
      <c r="C6" s="27"/>
      <c r="D6" s="30">
        <f>'[62]Capital Structure Sch 4'!N13</f>
        <v>0.054600000000000003</v>
      </c>
      <c r="E6" s="27"/>
      <c r="F6" s="27"/>
      <c r="G6" s="27"/>
    </row>
    <row r="7" spans="1:7" ht="15">
      <c r="A7" s="27"/>
      <c r="B7" s="27" t="s">
        <v>58</v>
      </c>
      <c r="C7" s="27"/>
      <c r="D7" s="31">
        <f>'[62]FE Expan Factor'!K38</f>
        <v>1.3171049931286269</v>
      </c>
      <c r="E7" s="28"/>
      <c r="F7" s="27"/>
      <c r="G7" s="27"/>
    </row>
    <row r="8" spans="1:7" ht="15">
      <c r="A8" s="32"/>
      <c r="B8" s="27" t="s">
        <v>59</v>
      </c>
      <c r="C8" s="27"/>
      <c r="D8" s="33">
        <f>ROUND(D6*D7,4)</f>
        <v>0.071900000000000006</v>
      </c>
      <c r="E8" s="27"/>
      <c r="F8" s="27"/>
      <c r="G8" s="27"/>
    </row>
    <row r="9" spans="1:7" ht="15">
      <c r="A9" s="32"/>
      <c r="B9" s="27"/>
      <c r="C9" s="27"/>
      <c r="D9" s="34"/>
      <c r="E9" s="27"/>
      <c r="F9" s="27"/>
      <c r="G9" s="27"/>
    </row>
    <row r="10" spans="1:7" ht="15">
      <c r="A10" s="32"/>
      <c r="B10" s="27" t="s">
        <v>60</v>
      </c>
      <c r="C10" s="27"/>
      <c r="D10" s="34">
        <f>'[62]Capital Structure Sch 4'!N15</f>
        <v>0.0064000000000000003</v>
      </c>
      <c r="E10" s="27"/>
      <c r="F10" s="27"/>
      <c r="G10" s="27"/>
    </row>
    <row r="11" spans="1:7" ht="15">
      <c r="A11" s="32"/>
      <c r="B11" s="27" t="s">
        <v>61</v>
      </c>
      <c r="C11" s="27"/>
      <c r="D11" s="34">
        <f>'[62]Capital Structure Sch 4'!N17</f>
        <v>0.00040000000000000002</v>
      </c>
      <c r="E11" s="27"/>
      <c r="F11" s="27"/>
      <c r="G11" s="27"/>
    </row>
    <row r="12" spans="1:7" ht="15">
      <c r="A12" s="32"/>
      <c r="B12" s="27" t="s">
        <v>62</v>
      </c>
      <c r="C12" s="27"/>
      <c r="D12" s="34">
        <f>'[62]Capital Structure Sch 4'!N19</f>
        <v>0</v>
      </c>
      <c r="E12" s="27"/>
      <c r="F12" s="27"/>
      <c r="G12" s="27"/>
    </row>
    <row r="13" spans="1:7" ht="15">
      <c r="A13" s="32"/>
      <c r="B13" s="27" t="s">
        <v>63</v>
      </c>
      <c r="C13" s="27"/>
      <c r="D13" s="34">
        <f>'[62]Capital Structure Sch 4'!N21</f>
        <v>0</v>
      </c>
      <c r="E13" s="27"/>
      <c r="F13" s="27"/>
      <c r="G13" s="27"/>
    </row>
    <row r="14" spans="1:7" ht="15">
      <c r="A14" s="32"/>
      <c r="B14" s="27" t="s">
        <v>64</v>
      </c>
      <c r="C14" s="27"/>
      <c r="D14" s="34">
        <f>'[62]Capital Structure Sch 4'!N23</f>
        <v>0.00080000000000000004</v>
      </c>
      <c r="E14" s="27"/>
      <c r="F14" s="27"/>
      <c r="G14" s="27"/>
    </row>
    <row r="15" spans="1:7" ht="15">
      <c r="A15" s="27"/>
      <c r="B15" s="27" t="s">
        <v>65</v>
      </c>
      <c r="C15" s="27"/>
      <c r="D15" s="33">
        <f>SUM(D10:D14)</f>
        <v>0.0076000000000000009</v>
      </c>
      <c r="E15" s="27"/>
      <c r="F15" s="27"/>
      <c r="G15" s="27"/>
    </row>
    <row r="16" spans="1:7" ht="15">
      <c r="A16" s="27"/>
      <c r="B16" s="27"/>
      <c r="C16" s="27"/>
      <c r="D16" s="27"/>
      <c r="E16" s="27"/>
      <c r="F16" s="27"/>
      <c r="G16" s="27"/>
    </row>
    <row r="17" spans="1:7" ht="15.75" thickBot="1">
      <c r="A17" s="27"/>
      <c r="B17" s="27" t="s">
        <v>66</v>
      </c>
      <c r="C17" s="27"/>
      <c r="D17" s="35">
        <f>+D15+D6</f>
        <v>0.062200000000000005</v>
      </c>
      <c r="E17" s="27"/>
      <c r="F17" s="27"/>
      <c r="G17" s="27"/>
    </row>
    <row r="18" spans="1:7" ht="15.75" thickTop="1">
      <c r="A18" s="27"/>
      <c r="B18" s="27"/>
      <c r="C18" s="27"/>
      <c r="D18" s="27"/>
      <c r="E18" s="27"/>
      <c r="F18" s="27"/>
      <c r="G18" s="27"/>
    </row>
    <row r="19" spans="1:7" ht="15">
      <c r="A19" s="27"/>
      <c r="B19" s="27"/>
      <c r="C19" s="27"/>
      <c r="D19" s="27"/>
      <c r="E19" s="27"/>
      <c r="F19" s="27"/>
      <c r="G19" s="27"/>
    </row>
    <row r="20" spans="1:7" ht="15">
      <c r="A20" s="27"/>
      <c r="B20" s="27"/>
      <c r="C20" s="27"/>
      <c r="D20" s="27"/>
      <c r="E20" s="27"/>
      <c r="F20" s="27"/>
      <c r="G20" s="27"/>
    </row>
    <row r="21" spans="1:7" ht="15">
      <c r="A21" s="27"/>
      <c r="B21" s="27"/>
      <c r="C21" s="27"/>
      <c r="D21" s="27"/>
      <c r="E21" s="27"/>
      <c r="F21" s="27"/>
      <c r="G21" s="27"/>
    </row>
    <row r="22" spans="1:7" ht="15">
      <c r="A22" s="27"/>
      <c r="B22" s="27"/>
      <c r="C22" s="27"/>
      <c r="D22" s="27"/>
      <c r="E22" s="27"/>
      <c r="F22" s="27"/>
      <c r="G22" s="27"/>
    </row>
    <row r="23" spans="1:7" ht="15">
      <c r="A23" s="27"/>
      <c r="B23" s="27"/>
      <c r="C23" s="27"/>
      <c r="D23" s="27"/>
      <c r="E23" s="27"/>
      <c r="F23" s="27"/>
      <c r="G23" s="27"/>
    </row>
    <row r="24" spans="1:7" ht="15">
      <c r="A24" s="27"/>
      <c r="B24" s="27"/>
      <c r="C24" s="27"/>
      <c r="D24" s="27"/>
      <c r="E24" s="27"/>
      <c r="F24" s="27"/>
      <c r="G24" s="27"/>
    </row>
    <row r="25" spans="1:7" ht="15">
      <c r="A25" s="27"/>
      <c r="B25" s="27"/>
      <c r="C25" s="27"/>
      <c r="D25" s="27"/>
      <c r="E25" s="27"/>
      <c r="F25" s="27"/>
      <c r="G25" s="27"/>
    </row>
    <row r="26" spans="1:7" ht="15">
      <c r="A26" s="27"/>
      <c r="B26" s="27"/>
      <c r="C26" s="27"/>
      <c r="D26" s="27"/>
      <c r="E26" s="27"/>
      <c r="F26" s="27"/>
      <c r="G26" s="27"/>
    </row>
    <row r="27" spans="1:7" ht="15">
      <c r="A27" s="27"/>
      <c r="B27" s="27"/>
      <c r="C27" s="27"/>
      <c r="D27" s="27"/>
      <c r="E27" s="27"/>
      <c r="F27" s="27"/>
      <c r="G27" s="27"/>
    </row>
    <row r="28" spans="1:7" ht="15">
      <c r="A28" s="27"/>
      <c r="B28" s="27"/>
      <c r="C28" s="27"/>
      <c r="D28" s="27"/>
      <c r="E28" s="27"/>
      <c r="F28" s="27"/>
      <c r="G28" s="27"/>
    </row>
    <row r="29" spans="1:7" ht="15">
      <c r="A29" s="27"/>
      <c r="B29" s="27"/>
      <c r="C29" s="27"/>
      <c r="D29" s="27"/>
      <c r="E29" s="27"/>
      <c r="F29" s="27"/>
      <c r="G29" s="27"/>
    </row>
    <row r="30" spans="1:7" ht="15">
      <c r="A30" s="27"/>
      <c r="B30" s="27"/>
      <c r="C30" s="27"/>
      <c r="D30" s="27"/>
      <c r="E30" s="27"/>
      <c r="F30" s="27"/>
      <c r="G30" s="27"/>
    </row>
    <row r="31" spans="1:7" ht="15">
      <c r="A31" s="27"/>
      <c r="B31" s="27"/>
      <c r="C31" s="27"/>
      <c r="D31" s="27"/>
      <c r="E31" s="27"/>
      <c r="F31" s="27"/>
      <c r="G31" s="27"/>
    </row>
    <row r="32" spans="1:9" ht="15">
      <c r="A32" s="27"/>
      <c r="B32" s="27"/>
      <c r="C32" s="27"/>
      <c r="D32" s="27"/>
      <c r="E32" s="27"/>
      <c r="F32" s="27"/>
      <c r="G32" s="27"/>
      <c r="H32" s="36"/>
      <c r="I32" s="36"/>
    </row>
  </sheetData>
  <pageMargins left="0.7" right="0.7" top="0.75" bottom="0.75" header="0.3" footer="0.3"/>
  <pageSetup horizontalDpi="1200" verticalDpi="12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0003962517"/>
    <pageSetUpPr fitToPage="1"/>
  </sheetPr>
  <dimension ref="A1:O58"/>
  <sheetViews>
    <sheetView workbookViewId="0" topLeftCell="A1">
      <selection pane="topLeft" activeCell="G7" sqref="G7"/>
    </sheetView>
  </sheetViews>
  <sheetFormatPr defaultRowHeight="12.75"/>
  <cols>
    <col min="1" max="1" width="9.14285714285714" style="44"/>
    <col min="2" max="2" width="22.7142857142857" style="44" customWidth="1"/>
    <col min="3" max="3" width="13.7142857142857" style="44" customWidth="1"/>
    <col min="4" max="4" width="12.5714285714286" style="44" customWidth="1"/>
    <col min="5" max="5" width="11.1428571428571" style="44" customWidth="1"/>
    <col min="6" max="8" width="11.2857142857143" style="44" customWidth="1"/>
    <col min="9" max="9" width="12.1428571428571" style="44" bestFit="1" customWidth="1"/>
    <col min="10" max="10" width="16.5714285714286" style="44" customWidth="1"/>
    <col min="11" max="11" width="16" style="44" customWidth="1"/>
    <col min="12" max="16384" width="9.14285714285714" style="44"/>
  </cols>
  <sheetData>
    <row r="1" spans="1:15" ht="12.75">
      <c r="A1" s="71" t="s">
        <v>67</v>
      </c>
      <c r="B1" s="72"/>
      <c r="C1" s="72"/>
      <c r="D1" s="72"/>
      <c r="E1" s="72"/>
      <c r="F1" s="45"/>
      <c r="G1" s="45"/>
      <c r="H1" s="72"/>
      <c r="I1" s="72"/>
      <c r="J1" s="72"/>
      <c r="K1" s="72"/>
      <c r="L1" s="72"/>
      <c r="M1" s="72"/>
      <c r="N1" s="72"/>
      <c r="O1" s="72"/>
    </row>
    <row r="2" spans="1:15" ht="12.75">
      <c r="A2" s="71" t="s">
        <v>68</v>
      </c>
      <c r="B2" s="72"/>
      <c r="C2" s="72"/>
      <c r="D2" s="72"/>
      <c r="E2" s="72"/>
      <c r="F2" s="71"/>
      <c r="G2" s="71"/>
      <c r="H2" s="72"/>
      <c r="I2" s="72"/>
      <c r="J2" s="72"/>
      <c r="K2" s="72"/>
      <c r="L2" s="72"/>
      <c r="M2" s="72"/>
      <c r="N2" s="72"/>
      <c r="O2" s="72"/>
    </row>
    <row r="3" spans="1:15" ht="12.75">
      <c r="A3" s="71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5" spans="1:15" ht="12.75">
      <c r="A5" s="72"/>
      <c r="B5" s="72"/>
      <c r="C5" s="50" t="s">
        <v>70</v>
      </c>
      <c r="D5" s="50" t="s">
        <v>71</v>
      </c>
      <c r="E5" s="50" t="s">
        <v>72</v>
      </c>
      <c r="F5" s="50" t="s">
        <v>73</v>
      </c>
      <c r="G5" s="50" t="s">
        <v>74</v>
      </c>
      <c r="H5" s="72"/>
      <c r="I5" s="72"/>
      <c r="J5" s="50"/>
      <c r="K5" s="50"/>
      <c r="L5" s="73"/>
      <c r="M5" s="73"/>
      <c r="N5" s="73"/>
      <c r="O5" s="73"/>
    </row>
    <row r="6" spans="1:15" s="47" customFormat="1" ht="64.5">
      <c r="A6" s="46" t="s">
        <v>75</v>
      </c>
      <c r="B6" s="46" t="s">
        <v>76</v>
      </c>
      <c r="C6" s="49" t="s">
        <v>77</v>
      </c>
      <c r="D6" s="49" t="s">
        <v>78</v>
      </c>
      <c r="E6" s="49" t="s">
        <v>79</v>
      </c>
      <c r="F6" s="49" t="s">
        <v>80</v>
      </c>
      <c r="G6" s="49" t="s">
        <v>81</v>
      </c>
      <c r="H6" s="72"/>
      <c r="I6" s="83" t="s">
        <v>82</v>
      </c>
      <c r="J6" s="74"/>
      <c r="K6" s="74"/>
      <c r="L6" s="74"/>
      <c r="M6" s="74"/>
      <c r="N6" s="74"/>
      <c r="O6" s="74"/>
    </row>
    <row r="7" spans="1:15" ht="12.75">
      <c r="A7" s="72">
        <v>1</v>
      </c>
      <c r="B7" s="72" t="s">
        <v>83</v>
      </c>
      <c r="C7" s="75">
        <v>316043494</v>
      </c>
      <c r="D7" s="76">
        <v>12152276</v>
      </c>
      <c r="E7" s="48">
        <f>ROUND(D7/D$13,4)</f>
        <v>0.54220000000000002</v>
      </c>
      <c r="F7" s="76">
        <f>$E7*F$13</f>
        <v>900747.55120463483</v>
      </c>
      <c r="G7" s="77">
        <f>F7/C7</f>
        <v>0.0028500746520813834</v>
      </c>
      <c r="H7" s="78"/>
      <c r="I7" s="72"/>
      <c r="J7" s="72"/>
      <c r="K7" s="72"/>
      <c r="L7" s="72"/>
      <c r="M7" s="72"/>
      <c r="N7" s="72"/>
      <c r="O7" s="72"/>
    </row>
    <row r="8" spans="1:15" ht="12.75">
      <c r="A8" s="72">
        <v>2</v>
      </c>
      <c r="B8" s="72" t="s">
        <v>84</v>
      </c>
      <c r="C8" s="75">
        <v>54618537</v>
      </c>
      <c r="D8" s="76">
        <v>2447129</v>
      </c>
      <c r="E8" s="48">
        <f t="shared" si="0" ref="E8:E12">ROUND(D8/D$13,4)</f>
        <v>0.10920000000000001</v>
      </c>
      <c r="F8" s="76">
        <f t="shared" si="1" ref="F8:F12">$E8*F$13</f>
        <v>181412.0851928184</v>
      </c>
      <c r="G8" s="77">
        <f t="shared" si="2" ref="G8:G12">F8/C8</f>
        <v>0.0033214380164158994</v>
      </c>
      <c r="H8" s="72"/>
      <c r="I8" s="72"/>
      <c r="J8" s="72"/>
      <c r="K8" s="72"/>
      <c r="L8" s="72"/>
      <c r="M8" s="72"/>
      <c r="N8" s="72"/>
      <c r="O8" s="72"/>
    </row>
    <row r="9" spans="1:15" ht="12.75">
      <c r="A9" s="72">
        <v>3</v>
      </c>
      <c r="B9" s="72" t="s">
        <v>85</v>
      </c>
      <c r="C9" s="75">
        <v>172626003</v>
      </c>
      <c r="D9" s="76">
        <v>3522610</v>
      </c>
      <c r="E9" s="48">
        <f t="shared" si="0"/>
        <v>0.15720000000000001</v>
      </c>
      <c r="F9" s="76">
        <f t="shared" si="1"/>
        <v>261153.66110174955</v>
      </c>
      <c r="G9" s="77">
        <f t="shared" si="2"/>
        <v>0.00151282921786557</v>
      </c>
      <c r="H9" s="72"/>
      <c r="I9" s="72"/>
      <c r="J9" s="72"/>
      <c r="K9" s="72"/>
      <c r="L9" s="72"/>
      <c r="M9" s="72"/>
      <c r="N9" s="72"/>
      <c r="O9" s="72"/>
    </row>
    <row r="10" spans="1:15" ht="12.75">
      <c r="A10" s="72">
        <v>4</v>
      </c>
      <c r="B10" s="72" t="s">
        <v>86</v>
      </c>
      <c r="C10" s="75">
        <v>83195511</v>
      </c>
      <c r="D10" s="76">
        <v>1930292</v>
      </c>
      <c r="E10" s="48">
        <f t="shared" si="0"/>
        <v>0.086099999999999996</v>
      </c>
      <c r="F10" s="76">
        <f t="shared" si="1"/>
        <v>143036.45178664525</v>
      </c>
      <c r="G10" s="77">
        <f t="shared" si="2"/>
        <v>0.0017192808850785863</v>
      </c>
      <c r="H10" s="72"/>
      <c r="I10" s="72"/>
      <c r="J10" s="72"/>
      <c r="K10" s="72"/>
      <c r="L10" s="72"/>
      <c r="M10" s="72"/>
      <c r="N10" s="72"/>
      <c r="O10" s="72"/>
    </row>
    <row r="11" spans="1:15" ht="12.75">
      <c r="A11" s="72">
        <v>5</v>
      </c>
      <c r="B11" s="72" t="s">
        <v>87</v>
      </c>
      <c r="C11" s="75">
        <v>23647500</v>
      </c>
      <c r="D11" s="76">
        <v>640543</v>
      </c>
      <c r="E11" s="48">
        <f t="shared" si="0"/>
        <v>0.0286</v>
      </c>
      <c r="F11" s="76">
        <f t="shared" si="1"/>
        <v>47512.688979071478</v>
      </c>
      <c r="G11" s="77">
        <f t="shared" si="2"/>
        <v>0.00200920558110039</v>
      </c>
      <c r="H11" s="72"/>
      <c r="I11" s="72"/>
      <c r="J11" s="72"/>
      <c r="K11" s="72"/>
      <c r="L11" s="72"/>
      <c r="M11" s="72"/>
      <c r="N11" s="72"/>
      <c r="O11" s="72"/>
    </row>
    <row r="12" spans="1:15" ht="12.75" thickBot="1">
      <c r="A12" s="72">
        <v>6</v>
      </c>
      <c r="B12" s="72" t="s">
        <v>88</v>
      </c>
      <c r="C12" s="75">
        <v>7509526</v>
      </c>
      <c r="D12" s="76">
        <v>1718167</v>
      </c>
      <c r="E12" s="48">
        <f t="shared" si="0"/>
        <v>0.076700000000000004</v>
      </c>
      <c r="F12" s="76">
        <f t="shared" si="1"/>
        <v>127420.39317114625</v>
      </c>
      <c r="G12" s="77">
        <f t="shared" si="2"/>
        <v>0.016967834344157839</v>
      </c>
      <c r="H12" s="72"/>
      <c r="I12" s="72"/>
      <c r="J12" s="72"/>
      <c r="K12" s="72"/>
      <c r="L12" s="72"/>
      <c r="M12" s="72"/>
      <c r="N12" s="72"/>
      <c r="O12" s="72"/>
    </row>
    <row r="13" spans="1:15" ht="15.75" thickBot="1">
      <c r="A13" s="72"/>
      <c r="B13" s="72"/>
      <c r="C13" s="79">
        <f>SUM(C7:C12)</f>
        <v>657640571</v>
      </c>
      <c r="D13" s="51">
        <f>SUM(D7:D12)</f>
        <v>22411017</v>
      </c>
      <c r="E13" s="80">
        <f>ROUND(SUM(E7:E12),2)</f>
        <v>1</v>
      </c>
      <c r="F13" s="51">
        <f>'Estimated Rev Req - bs'!D30</f>
        <v>1661282.8314360657</v>
      </c>
      <c r="G13" s="51" t="s">
        <v>89</v>
      </c>
      <c r="H13" s="72"/>
      <c r="I13" s="82">
        <f>(F13/C13)*1.00072</f>
        <v>0.0025279446378235989</v>
      </c>
      <c r="J13" s="72"/>
      <c r="K13" s="72"/>
      <c r="L13" s="72"/>
      <c r="M13" s="72"/>
      <c r="N13" s="72"/>
      <c r="O13" s="72"/>
    </row>
    <row r="14" spans="1:15" ht="12.75" thickTop="1">
      <c r="A14" s="72"/>
      <c r="B14" s="72" t="s">
        <v>90</v>
      </c>
      <c r="C14" s="75"/>
      <c r="D14" s="76"/>
      <c r="E14" s="72"/>
      <c r="F14" s="81">
        <f>F13/$D13</f>
        <v>0.074127953739719435</v>
      </c>
      <c r="G14" s="81"/>
      <c r="H14" s="72"/>
      <c r="I14" s="72"/>
      <c r="J14" s="72"/>
      <c r="K14" s="72"/>
      <c r="L14" s="72"/>
      <c r="M14" s="72"/>
      <c r="N14" s="72"/>
      <c r="O14" s="72"/>
    </row>
    <row r="15" spans="1:15" ht="12.75">
      <c r="A15" s="72"/>
      <c r="B15" s="72"/>
      <c r="C15" s="72"/>
      <c r="D15" s="76"/>
      <c r="E15" s="72"/>
      <c r="F15" s="76"/>
      <c r="G15" s="76"/>
      <c r="H15" s="72"/>
      <c r="I15" s="72"/>
      <c r="J15" s="72"/>
      <c r="K15" s="72"/>
      <c r="L15" s="72"/>
      <c r="M15" s="72"/>
      <c r="N15" s="72"/>
      <c r="O15" s="72"/>
    </row>
    <row r="16" spans="1:15" ht="12.75">
      <c r="A16" s="72"/>
      <c r="B16" s="72"/>
      <c r="C16" s="50" t="s">
        <v>70</v>
      </c>
      <c r="D16" s="50" t="s">
        <v>71</v>
      </c>
      <c r="E16" s="50" t="s">
        <v>72</v>
      </c>
      <c r="F16" s="50" t="s">
        <v>73</v>
      </c>
      <c r="G16" s="50" t="s">
        <v>74</v>
      </c>
      <c r="H16" s="72"/>
      <c r="I16" s="72"/>
      <c r="J16" s="72"/>
      <c r="K16" s="72"/>
      <c r="L16" s="72"/>
      <c r="M16" s="72"/>
      <c r="N16" s="72"/>
      <c r="O16" s="72"/>
    </row>
    <row r="17" spans="1:10" ht="63.75">
      <c r="A17" s="46" t="s">
        <v>75</v>
      </c>
      <c r="B17" s="46" t="s">
        <v>76</v>
      </c>
      <c r="C17" s="49" t="s">
        <v>91</v>
      </c>
      <c r="D17" s="49" t="s">
        <v>92</v>
      </c>
      <c r="E17" s="49" t="s">
        <v>79</v>
      </c>
      <c r="F17" s="49" t="s">
        <v>93</v>
      </c>
      <c r="G17" s="49" t="s">
        <v>94</v>
      </c>
      <c r="H17" s="72"/>
      <c r="I17" s="72"/>
      <c r="J17" s="72"/>
    </row>
    <row r="18" spans="1:10" ht="12.75">
      <c r="A18" s="72">
        <v>1</v>
      </c>
      <c r="B18" s="72" t="s">
        <v>83</v>
      </c>
      <c r="C18" s="75">
        <v>316126849</v>
      </c>
      <c r="D18" s="76">
        <v>12204358</v>
      </c>
      <c r="E18" s="48">
        <f t="shared" si="3" ref="E18:E23">ROUND(D18/D$24,4)</f>
        <v>0.54269999999999996</v>
      </c>
      <c r="F18" s="76">
        <f>$E18*F$13</f>
        <v>901578.19262035284</v>
      </c>
      <c r="G18" s="77">
        <f>F18/C18</f>
        <v>0.0028519507136844074</v>
      </c>
      <c r="H18" s="72"/>
      <c r="I18" s="72"/>
      <c r="J18" s="72"/>
    </row>
    <row r="19" spans="1:10" ht="12.75">
      <c r="A19" s="72">
        <v>2</v>
      </c>
      <c r="B19" s="72" t="s">
        <v>84</v>
      </c>
      <c r="C19" s="75">
        <v>54762182</v>
      </c>
      <c r="D19" s="76">
        <v>2452891</v>
      </c>
      <c r="E19" s="48">
        <f t="shared" si="3"/>
        <v>0.1091</v>
      </c>
      <c r="F19" s="76">
        <f t="shared" si="4" ref="F19:F23">$E19*F$13</f>
        <v>181245.95690967477</v>
      </c>
      <c r="G19" s="77">
        <f>F19/C19</f>
        <v>0.003309692022674969</v>
      </c>
      <c r="H19" s="72"/>
      <c r="I19" s="72"/>
      <c r="J19" s="72"/>
    </row>
    <row r="20" spans="1:10" ht="12.75">
      <c r="A20" s="72">
        <v>3</v>
      </c>
      <c r="B20" s="72" t="s">
        <v>85</v>
      </c>
      <c r="C20" s="75">
        <v>172050339</v>
      </c>
      <c r="D20" s="76">
        <v>3534996</v>
      </c>
      <c r="E20" s="48">
        <f t="shared" si="3"/>
        <v>0.15720000000000001</v>
      </c>
      <c r="F20" s="76">
        <f t="shared" si="4"/>
        <v>261153.66110174955</v>
      </c>
      <c r="G20" s="77">
        <f t="shared" si="5" ref="G20:G23">F20/C20</f>
        <v>0.0015178909999227002</v>
      </c>
      <c r="H20" s="72"/>
      <c r="I20" s="72"/>
      <c r="J20" s="72"/>
    </row>
    <row r="21" spans="1:10" ht="12.75">
      <c r="A21" s="72">
        <v>4</v>
      </c>
      <c r="B21" s="72" t="s">
        <v>86</v>
      </c>
      <c r="C21" s="75">
        <v>82987816</v>
      </c>
      <c r="D21" s="76">
        <v>1933983</v>
      </c>
      <c r="E21" s="48">
        <f t="shared" si="3"/>
        <v>0.085999999999999993</v>
      </c>
      <c r="F21" s="76">
        <f t="shared" si="4"/>
        <v>142870.32350350166</v>
      </c>
      <c r="G21" s="77">
        <f t="shared" si="5"/>
        <v>0.0017215819187662638</v>
      </c>
      <c r="H21" s="72"/>
      <c r="I21" s="72"/>
      <c r="J21" s="72"/>
    </row>
    <row r="22" spans="1:10" ht="12.75">
      <c r="A22" s="72">
        <v>5</v>
      </c>
      <c r="B22" s="72" t="s">
        <v>87</v>
      </c>
      <c r="C22" s="75">
        <v>24496250</v>
      </c>
      <c r="D22" s="76">
        <v>640543</v>
      </c>
      <c r="E22" s="48">
        <f t="shared" si="3"/>
        <v>0.028500000000000001</v>
      </c>
      <c r="F22" s="76">
        <f t="shared" si="4"/>
        <v>47346.560695927874</v>
      </c>
      <c r="G22" s="77">
        <f t="shared" si="5"/>
        <v>0.0019328085195051436</v>
      </c>
      <c r="H22" s="72"/>
      <c r="I22" s="72"/>
      <c r="J22" s="72"/>
    </row>
    <row r="23" spans="1:10" ht="12.75" thickBot="1">
      <c r="A23" s="72">
        <v>6</v>
      </c>
      <c r="B23" s="72" t="s">
        <v>88</v>
      </c>
      <c r="C23" s="75">
        <v>7527819</v>
      </c>
      <c r="D23" s="76">
        <v>1723119</v>
      </c>
      <c r="E23" s="48">
        <f t="shared" si="3"/>
        <v>0.076600000000000001</v>
      </c>
      <c r="F23" s="76">
        <f t="shared" si="4"/>
        <v>127254.26488800264</v>
      </c>
      <c r="G23" s="77">
        <f t="shared" si="5"/>
        <v>0.016904533024505855</v>
      </c>
      <c r="H23" s="72"/>
      <c r="I23" s="72"/>
      <c r="J23" s="72"/>
    </row>
    <row r="24" spans="1:10" ht="15.75" thickBot="1">
      <c r="A24" s="72"/>
      <c r="B24" s="72"/>
      <c r="C24" s="79">
        <f>SUM(C18:C23)</f>
        <v>657951255</v>
      </c>
      <c r="D24" s="51">
        <f>SUM(D18:D23)</f>
        <v>22489890</v>
      </c>
      <c r="E24" s="80">
        <f>ROUND(SUM(E18:E23),2)</f>
        <v>1</v>
      </c>
      <c r="F24" s="51">
        <f>'Estimated Rev Req - bs'!E30</f>
        <v>2185082.4166522366</v>
      </c>
      <c r="G24" s="51"/>
      <c r="H24" s="72"/>
      <c r="I24" s="82">
        <f>(F24/C24)*1.00072</f>
        <v>0.003323431119516941</v>
      </c>
      <c r="J24" s="72"/>
    </row>
    <row r="25" spans="1:10" ht="12.75" thickTop="1">
      <c r="A25" s="72"/>
      <c r="B25" s="72" t="s">
        <v>90</v>
      </c>
      <c r="C25" s="75"/>
      <c r="D25" s="76"/>
      <c r="E25" s="72"/>
      <c r="F25" s="81">
        <f>F24/$D24</f>
        <v>0.097158430594913386</v>
      </c>
      <c r="G25" s="81"/>
      <c r="H25" s="72"/>
      <c r="I25" s="72"/>
      <c r="J25" s="72"/>
    </row>
    <row r="27" spans="1:10" ht="12.75">
      <c r="A27" s="72"/>
      <c r="B27" s="72"/>
      <c r="C27" s="50" t="s">
        <v>70</v>
      </c>
      <c r="D27" s="50" t="s">
        <v>71</v>
      </c>
      <c r="E27" s="50" t="s">
        <v>72</v>
      </c>
      <c r="F27" s="50" t="s">
        <v>73</v>
      </c>
      <c r="G27" s="50" t="s">
        <v>74</v>
      </c>
      <c r="H27" s="72"/>
      <c r="I27" s="72"/>
      <c r="J27" s="72"/>
    </row>
    <row r="28" spans="1:10" ht="63.75">
      <c r="A28" s="46" t="s">
        <v>75</v>
      </c>
      <c r="B28" s="46" t="s">
        <v>76</v>
      </c>
      <c r="C28" s="49" t="s">
        <v>95</v>
      </c>
      <c r="D28" s="49" t="s">
        <v>96</v>
      </c>
      <c r="E28" s="49" t="s">
        <v>79</v>
      </c>
      <c r="F28" s="49" t="s">
        <v>97</v>
      </c>
      <c r="G28" s="49" t="s">
        <v>98</v>
      </c>
      <c r="H28" s="72"/>
      <c r="I28" s="72"/>
      <c r="J28" s="72"/>
    </row>
    <row r="29" spans="1:10" ht="12.75">
      <c r="A29" s="72">
        <v>1</v>
      </c>
      <c r="B29" s="72" t="s">
        <v>83</v>
      </c>
      <c r="C29" s="75">
        <v>317614866</v>
      </c>
      <c r="D29" s="76">
        <v>12259526</v>
      </c>
      <c r="E29" s="48">
        <f>ROUND(D29/D$35,4)</f>
        <v>0.54300000000000004</v>
      </c>
      <c r="F29" s="76">
        <f>$E29*F$13</f>
        <v>902076.57746978372</v>
      </c>
      <c r="G29" s="77">
        <f>F29/C29</f>
        <v>0.0028401585506069595</v>
      </c>
      <c r="H29" s="72"/>
      <c r="I29" s="72"/>
      <c r="J29" s="72"/>
    </row>
    <row r="30" spans="1:10" ht="12.75">
      <c r="A30" s="72">
        <v>2</v>
      </c>
      <c r="B30" s="72" t="s">
        <v>84</v>
      </c>
      <c r="C30" s="75">
        <v>54986910</v>
      </c>
      <c r="D30" s="76">
        <v>2460646</v>
      </c>
      <c r="E30" s="48">
        <f t="shared" si="6" ref="E30:E34">ROUND(D30/D$35,4)</f>
        <v>0.109</v>
      </c>
      <c r="F30" s="76">
        <f t="shared" si="7" ref="F30:F34">$E30*F$13</f>
        <v>181079.82862653118</v>
      </c>
      <c r="G30" s="77">
        <f t="shared" si="8" ref="G30:G34">F30/C30</f>
        <v>0.0032931442888231247</v>
      </c>
      <c r="H30" s="72"/>
      <c r="I30" s="72"/>
      <c r="J30" s="72"/>
    </row>
    <row r="31" spans="1:10" ht="12.75">
      <c r="A31" s="72">
        <v>3</v>
      </c>
      <c r="B31" s="72" t="s">
        <v>85</v>
      </c>
      <c r="C31" s="75">
        <v>174850970</v>
      </c>
      <c r="D31" s="76">
        <v>3552786</v>
      </c>
      <c r="E31" s="48">
        <f t="shared" si="6"/>
        <v>0.15740000000000001</v>
      </c>
      <c r="F31" s="76">
        <f t="shared" si="7"/>
        <v>261485.91766803677</v>
      </c>
      <c r="G31" s="77">
        <f t="shared" si="8"/>
        <v>0.001495478793557947</v>
      </c>
      <c r="H31" s="72"/>
      <c r="I31" s="72"/>
      <c r="J31" s="72"/>
    </row>
    <row r="32" spans="1:10" ht="12.75">
      <c r="A32" s="72">
        <v>4</v>
      </c>
      <c r="B32" s="72" t="s">
        <v>86</v>
      </c>
      <c r="C32" s="75">
        <v>83449155</v>
      </c>
      <c r="D32" s="76">
        <v>1934102</v>
      </c>
      <c r="E32" s="48">
        <f t="shared" si="6"/>
        <v>0.085699999999999998</v>
      </c>
      <c r="F32" s="76">
        <f t="shared" si="7"/>
        <v>142371.93865407084</v>
      </c>
      <c r="G32" s="77">
        <f t="shared" si="8"/>
        <v>0.0017060920347733999</v>
      </c>
      <c r="H32" s="72"/>
      <c r="I32" s="72"/>
      <c r="J32" s="72"/>
    </row>
    <row r="33" spans="1:10" ht="12.75">
      <c r="A33" s="72">
        <v>5</v>
      </c>
      <c r="B33" s="72" t="s">
        <v>87</v>
      </c>
      <c r="C33" s="75">
        <v>24071875</v>
      </c>
      <c r="D33" s="76">
        <v>640543</v>
      </c>
      <c r="E33" s="48">
        <f t="shared" si="6"/>
        <v>0.028400000000000002</v>
      </c>
      <c r="F33" s="76">
        <f t="shared" si="7"/>
        <v>47180.43241278427</v>
      </c>
      <c r="G33" s="77">
        <f t="shared" si="8"/>
        <v>0.0019599816139284649</v>
      </c>
      <c r="H33" s="72"/>
      <c r="I33" s="72"/>
      <c r="J33" s="72"/>
    </row>
    <row r="34" spans="1:10" ht="12.75" thickBot="1">
      <c r="A34" s="72">
        <v>6</v>
      </c>
      <c r="B34" s="72" t="s">
        <v>88</v>
      </c>
      <c r="C34" s="75">
        <v>7533313</v>
      </c>
      <c r="D34" s="76">
        <v>1728070</v>
      </c>
      <c r="E34" s="48">
        <f t="shared" si="6"/>
        <v>0.076499999999999999</v>
      </c>
      <c r="F34" s="76">
        <f t="shared" si="7"/>
        <v>127088.13660485903</v>
      </c>
      <c r="G34" s="77">
        <f t="shared" si="8"/>
        <v>0.01687015216344509</v>
      </c>
      <c r="H34" s="72"/>
      <c r="I34" s="72"/>
      <c r="J34" s="72"/>
    </row>
    <row r="35" spans="1:10" ht="15.75" thickBot="1">
      <c r="A35" s="72"/>
      <c r="B35" s="72"/>
      <c r="C35" s="79">
        <f>SUM(C29:C34)</f>
        <v>662507089</v>
      </c>
      <c r="D35" s="51">
        <f>SUM(D29:D34)</f>
        <v>22575673</v>
      </c>
      <c r="E35" s="80">
        <f>ROUND(SUM(E29:E34),2)</f>
        <v>1</v>
      </c>
      <c r="F35" s="51">
        <f>'Estimated Rev Req - bs'!F30</f>
        <v>3853888.9947250532</v>
      </c>
      <c r="G35" s="51"/>
      <c r="H35" s="72"/>
      <c r="I35" s="82">
        <f>(F35/C35)*1.00072</f>
        <v>0.0058213170226186902</v>
      </c>
      <c r="J35" s="72"/>
    </row>
    <row r="36" spans="1:10" ht="12.75" thickTop="1">
      <c r="A36" s="72"/>
      <c r="B36" s="72" t="s">
        <v>90</v>
      </c>
      <c r="C36" s="75"/>
      <c r="D36" s="76"/>
      <c r="E36" s="72"/>
      <c r="F36" s="81">
        <f>F35/$D35</f>
        <v>0.17070981647922759</v>
      </c>
      <c r="G36" s="81"/>
      <c r="H36" s="72"/>
      <c r="I36" s="72"/>
      <c r="J36" s="72"/>
    </row>
    <row r="38" spans="1:10" ht="12.75">
      <c r="A38" s="72"/>
      <c r="B38" s="72"/>
      <c r="C38" s="50" t="s">
        <v>70</v>
      </c>
      <c r="D38" s="50" t="s">
        <v>71</v>
      </c>
      <c r="E38" s="50" t="s">
        <v>72</v>
      </c>
      <c r="F38" s="50" t="s">
        <v>73</v>
      </c>
      <c r="G38" s="50" t="s">
        <v>74</v>
      </c>
      <c r="H38" s="72"/>
      <c r="I38" s="72"/>
      <c r="J38" s="72"/>
    </row>
    <row r="39" spans="1:10" ht="63.75">
      <c r="A39" s="46" t="s">
        <v>75</v>
      </c>
      <c r="B39" s="46" t="s">
        <v>76</v>
      </c>
      <c r="C39" s="49" t="s">
        <v>99</v>
      </c>
      <c r="D39" s="49" t="s">
        <v>100</v>
      </c>
      <c r="E39" s="49" t="s">
        <v>79</v>
      </c>
      <c r="F39" s="49" t="s">
        <v>101</v>
      </c>
      <c r="G39" s="49" t="s">
        <v>102</v>
      </c>
      <c r="H39" s="72"/>
      <c r="I39" s="72"/>
      <c r="J39" s="72"/>
    </row>
    <row r="40" spans="1:10" ht="12.75">
      <c r="A40" s="72">
        <v>1</v>
      </c>
      <c r="B40" s="72" t="s">
        <v>83</v>
      </c>
      <c r="C40" s="75">
        <v>319828842</v>
      </c>
      <c r="D40" s="76">
        <v>12337653</v>
      </c>
      <c r="E40" s="48">
        <f>ROUND(D40/D$46,4)</f>
        <v>0.54379999999999995</v>
      </c>
      <c r="F40" s="76">
        <f>$E40*F$13</f>
        <v>903405.60373493249</v>
      </c>
      <c r="G40" s="77">
        <f>F40/C40</f>
        <v>0.0028246533304677147</v>
      </c>
      <c r="H40" s="72"/>
      <c r="I40" s="72"/>
      <c r="J40" s="72"/>
    </row>
    <row r="41" spans="1:10" ht="12.75">
      <c r="A41" s="72">
        <v>2</v>
      </c>
      <c r="B41" s="72" t="s">
        <v>84</v>
      </c>
      <c r="C41" s="75">
        <v>55251714</v>
      </c>
      <c r="D41" s="76">
        <v>2468950</v>
      </c>
      <c r="E41" s="48">
        <f t="shared" si="9" ref="E41:E45">ROUND(D41/D$46,4)</f>
        <v>0.10879999999999999</v>
      </c>
      <c r="F41" s="76">
        <f t="shared" si="10" ref="F41:F45">$E41*F$13</f>
        <v>180747.57206024395</v>
      </c>
      <c r="G41" s="77">
        <f t="shared" si="11" ref="G41:G45">F41/C41</f>
        <v>0.0032713477822650708</v>
      </c>
      <c r="H41" s="72"/>
      <c r="I41" s="72"/>
      <c r="J41" s="72"/>
    </row>
    <row r="42" spans="1:10" ht="12.75">
      <c r="A42" s="72">
        <v>3</v>
      </c>
      <c r="B42" s="72" t="s">
        <v>85</v>
      </c>
      <c r="C42" s="75">
        <v>177179534</v>
      </c>
      <c r="D42" s="76">
        <v>3569250</v>
      </c>
      <c r="E42" s="48">
        <f t="shared" si="9"/>
        <v>0.1573</v>
      </c>
      <c r="F42" s="76">
        <f t="shared" si="10"/>
        <v>261319.78938489314</v>
      </c>
      <c r="G42" s="77">
        <f t="shared" si="11"/>
        <v>0.0014748869888375096</v>
      </c>
      <c r="H42" s="72"/>
      <c r="I42" s="72"/>
      <c r="J42" s="72"/>
    </row>
    <row r="43" spans="1:10" ht="12.75">
      <c r="A43" s="72">
        <v>4</v>
      </c>
      <c r="B43" s="72" t="s">
        <v>86</v>
      </c>
      <c r="C43" s="75">
        <v>83210828</v>
      </c>
      <c r="D43" s="76">
        <v>1938045</v>
      </c>
      <c r="E43" s="48">
        <f t="shared" si="9"/>
        <v>0.085400000000000004</v>
      </c>
      <c r="F43" s="76">
        <f t="shared" si="10"/>
        <v>141873.55380464002</v>
      </c>
      <c r="G43" s="77">
        <f t="shared" si="11"/>
        <v>0.0017049890887354229</v>
      </c>
      <c r="H43" s="72"/>
      <c r="I43" s="72"/>
      <c r="J43" s="72"/>
    </row>
    <row r="44" spans="1:10" ht="12.75">
      <c r="A44" s="72">
        <v>5</v>
      </c>
      <c r="B44" s="72" t="s">
        <v>87</v>
      </c>
      <c r="C44" s="75">
        <v>24284063</v>
      </c>
      <c r="D44" s="76">
        <v>640543</v>
      </c>
      <c r="E44" s="48">
        <f t="shared" si="9"/>
        <v>0.028199999999999999</v>
      </c>
      <c r="F44" s="76">
        <f t="shared" si="10"/>
        <v>46848.175846497055</v>
      </c>
      <c r="G44" s="77">
        <f t="shared" si="11"/>
        <v>0.0019291737073197782</v>
      </c>
      <c r="H44" s="72"/>
      <c r="I44" s="72"/>
      <c r="J44" s="72"/>
    </row>
    <row r="45" spans="1:10" ht="12.75" thickBot="1">
      <c r="A45" s="72">
        <v>6</v>
      </c>
      <c r="B45" s="72" t="s">
        <v>88</v>
      </c>
      <c r="C45" s="75">
        <v>7545203</v>
      </c>
      <c r="D45" s="76">
        <v>1733022</v>
      </c>
      <c r="E45" s="48">
        <f t="shared" si="9"/>
        <v>0.076399999999999996</v>
      </c>
      <c r="F45" s="76">
        <f t="shared" si="10"/>
        <v>126922.00832171542</v>
      </c>
      <c r="G45" s="77">
        <f t="shared" si="11"/>
        <v>0.016821549840569619</v>
      </c>
      <c r="H45" s="72"/>
      <c r="I45" s="72"/>
      <c r="J45" s="72"/>
    </row>
    <row r="46" spans="1:10" ht="15.75" thickBot="1">
      <c r="A46" s="72"/>
      <c r="B46" s="72"/>
      <c r="C46" s="79">
        <f>SUM(C40:C45)</f>
        <v>667300184</v>
      </c>
      <c r="D46" s="51">
        <f>SUM(D40:D45)</f>
        <v>22687463</v>
      </c>
      <c r="E46" s="80">
        <f>ROUND(SUM(E40:E45),2)</f>
        <v>1</v>
      </c>
      <c r="F46" s="51">
        <f>'Estimated Rev Req - bs'!G30</f>
        <v>8961867.5983312614</v>
      </c>
      <c r="G46" s="51"/>
      <c r="H46" s="72"/>
      <c r="I46" s="82">
        <f>(F46/C46)*1.00072</f>
        <v>0.013439708781800756</v>
      </c>
      <c r="J46" s="72"/>
    </row>
    <row r="47" spans="1:10" ht="12.75" thickTop="1">
      <c r="A47" s="72"/>
      <c r="B47" s="72" t="s">
        <v>90</v>
      </c>
      <c r="C47" s="75"/>
      <c r="D47" s="76"/>
      <c r="E47" s="72"/>
      <c r="F47" s="81">
        <f>F46/$D46</f>
        <v>0.39501409207064103</v>
      </c>
      <c r="G47" s="81"/>
      <c r="H47" s="72"/>
      <c r="I47" s="72"/>
      <c r="J47" s="72"/>
    </row>
    <row r="49" spans="1:10" ht="12.75">
      <c r="A49" s="72"/>
      <c r="B49" s="72"/>
      <c r="C49" s="50" t="s">
        <v>70</v>
      </c>
      <c r="D49" s="50" t="s">
        <v>71</v>
      </c>
      <c r="E49" s="50" t="s">
        <v>72</v>
      </c>
      <c r="F49" s="50" t="s">
        <v>73</v>
      </c>
      <c r="G49" s="50" t="s">
        <v>74</v>
      </c>
      <c r="H49" s="72"/>
      <c r="I49" s="72"/>
      <c r="J49" s="72"/>
    </row>
    <row r="50" spans="1:10" ht="63.75">
      <c r="A50" s="46" t="s">
        <v>75</v>
      </c>
      <c r="B50" s="46" t="s">
        <v>76</v>
      </c>
      <c r="C50" s="49" t="s">
        <v>103</v>
      </c>
      <c r="D50" s="49" t="s">
        <v>104</v>
      </c>
      <c r="E50" s="49" t="s">
        <v>79</v>
      </c>
      <c r="F50" s="49" t="s">
        <v>105</v>
      </c>
      <c r="G50" s="49" t="s">
        <v>106</v>
      </c>
      <c r="H50" s="72"/>
      <c r="I50" s="72"/>
      <c r="J50" s="72"/>
    </row>
    <row r="51" spans="1:10" ht="12.75">
      <c r="A51" s="72">
        <v>1</v>
      </c>
      <c r="B51" s="72" t="s">
        <v>83</v>
      </c>
      <c r="C51" s="75">
        <v>319678019</v>
      </c>
      <c r="D51" s="76">
        <v>12325714</v>
      </c>
      <c r="E51" s="48">
        <f>ROUND(D51/D$57,4)</f>
        <v>0.42170000000000002</v>
      </c>
      <c r="F51" s="76">
        <f>$E51*F$13</f>
        <v>700562.97001658892</v>
      </c>
      <c r="G51" s="77">
        <f>F51/C51</f>
        <v>0.0021914643121477453</v>
      </c>
      <c r="H51" s="72"/>
      <c r="I51" s="72"/>
      <c r="J51" s="72"/>
    </row>
    <row r="52" spans="1:10" ht="12.75">
      <c r="A52" s="72">
        <v>2</v>
      </c>
      <c r="B52" s="72" t="s">
        <v>84</v>
      </c>
      <c r="C52" s="75">
        <v>55227992</v>
      </c>
      <c r="D52" s="76">
        <v>2466329</v>
      </c>
      <c r="E52" s="48">
        <f t="shared" si="12" ref="E52:E56">ROUND(D52/D$57,4)</f>
        <v>0.084400000000000003</v>
      </c>
      <c r="F52" s="76">
        <f t="shared" si="13" ref="F52:F56">$E52*F$13</f>
        <v>140212.27097320397</v>
      </c>
      <c r="G52" s="77">
        <f t="shared" si="14" ref="G52:G56">F52/C52</f>
        <v>0.0025387899486406088</v>
      </c>
      <c r="H52" s="72"/>
      <c r="I52" s="72"/>
      <c r="J52" s="72"/>
    </row>
    <row r="53" spans="1:10" ht="12.75">
      <c r="A53" s="72">
        <v>3</v>
      </c>
      <c r="B53" s="72" t="s">
        <v>85</v>
      </c>
      <c r="C53" s="75">
        <v>177207167</v>
      </c>
      <c r="D53" s="76">
        <v>3559092</v>
      </c>
      <c r="E53" s="48">
        <f t="shared" si="12"/>
        <v>0.12180000000000001</v>
      </c>
      <c r="F53" s="76">
        <f t="shared" si="13"/>
        <v>202344.24886891281</v>
      </c>
      <c r="G53" s="77">
        <f t="shared" si="14"/>
        <v>0.0011418513838602972</v>
      </c>
      <c r="H53" s="72"/>
      <c r="I53" s="72"/>
      <c r="J53" s="72"/>
    </row>
    <row r="54" spans="1:10" ht="12.75">
      <c r="A54" s="72">
        <v>4</v>
      </c>
      <c r="B54" s="72" t="s">
        <v>86</v>
      </c>
      <c r="C54" s="75">
        <v>83215933</v>
      </c>
      <c r="D54" s="76">
        <v>2503925</v>
      </c>
      <c r="E54" s="48">
        <f t="shared" si="12"/>
        <v>0.085699999999999998</v>
      </c>
      <c r="F54" s="76">
        <f t="shared" si="13"/>
        <v>142371.93865407084</v>
      </c>
      <c r="G54" s="77">
        <f t="shared" si="14"/>
        <v>0.0017108735493486667</v>
      </c>
      <c r="H54" s="72"/>
      <c r="I54" s="72"/>
      <c r="J54" s="72"/>
    </row>
    <row r="55" spans="1:10" ht="12.75">
      <c r="A55" s="72">
        <v>5</v>
      </c>
      <c r="B55" s="72" t="s">
        <v>87</v>
      </c>
      <c r="C55" s="75">
        <v>24177969</v>
      </c>
      <c r="D55" s="76">
        <v>6640543</v>
      </c>
      <c r="E55" s="48">
        <f t="shared" si="12"/>
        <v>0.22720000000000001</v>
      </c>
      <c r="F55" s="76">
        <f t="shared" si="13"/>
        <v>377443.45930227416</v>
      </c>
      <c r="G55" s="77">
        <f t="shared" si="14"/>
        <v>0.015611049021622707</v>
      </c>
      <c r="H55" s="72"/>
      <c r="I55" s="72"/>
      <c r="J55" s="72"/>
    </row>
    <row r="56" spans="1:10" ht="12.75" thickBot="1">
      <c r="A56" s="72">
        <v>6</v>
      </c>
      <c r="B56" s="72" t="s">
        <v>88</v>
      </c>
      <c r="C56" s="75">
        <v>7547646</v>
      </c>
      <c r="D56" s="76">
        <v>1735117</v>
      </c>
      <c r="E56" s="48">
        <f t="shared" si="12"/>
        <v>0.059400000000000001</v>
      </c>
      <c r="F56" s="76">
        <f t="shared" si="13"/>
        <v>98680.200187302311</v>
      </c>
      <c r="G56" s="77">
        <f t="shared" si="14"/>
        <v>0.013074301601757994</v>
      </c>
      <c r="H56" s="72"/>
      <c r="I56" s="72"/>
      <c r="J56" s="72"/>
    </row>
    <row r="57" spans="1:10" ht="15.75" thickBot="1">
      <c r="A57" s="72"/>
      <c r="B57" s="72"/>
      <c r="C57" s="79">
        <f>SUM(C51:C56)</f>
        <v>667054726</v>
      </c>
      <c r="D57" s="51">
        <f>SUM(D51:D56)</f>
        <v>29230720</v>
      </c>
      <c r="E57" s="80">
        <f>ROUND(SUM(E51:E56),2)</f>
        <v>1</v>
      </c>
      <c r="F57" s="51">
        <f>'Estimated Rev Req - bs'!H30</f>
        <v>15411326.795922559</v>
      </c>
      <c r="G57" s="51"/>
      <c r="H57" s="72"/>
      <c r="I57" s="82">
        <f>(F57/C57)*1.00072</f>
        <v>0.02312017642644754</v>
      </c>
      <c r="J57" s="72"/>
    </row>
    <row r="58" spans="1:10" ht="12.75" thickTop="1">
      <c r="A58" s="72"/>
      <c r="B58" s="72" t="s">
        <v>90</v>
      </c>
      <c r="C58" s="75"/>
      <c r="D58" s="76"/>
      <c r="E58" s="72"/>
      <c r="F58" s="81">
        <f>F57/$D57</f>
        <v>0.52723048888027935</v>
      </c>
      <c r="G58" s="81"/>
      <c r="H58" s="72"/>
      <c r="I58" s="72"/>
      <c r="J58" s="72"/>
    </row>
  </sheetData>
  <hyperlinks>
    <hyperlink ref="E7" r:id="rId1" display="=@ROUND((D8/D$14),2)"/>
    <hyperlink ref="E8:E12" r:id="rId2" display="=@ROUND((D8/D$14),2)"/>
    <hyperlink ref="E29" r:id="rId3" display="=@ROUND((D8/D$14),2)"/>
    <hyperlink ref="E40" r:id="rId4" display="=@ROUND((D8/D$14),2)"/>
    <hyperlink ref="E51" r:id="rId5" display="=@ROUND((D8/D$14),2)"/>
    <hyperlink ref="E18" r:id="rId6" display="=@ROUND((D8/D$14),2)"/>
    <hyperlink ref="E19:E23" r:id="rId7" display="=@ROUND((D8/D$14),2)"/>
    <hyperlink ref="E52:E56" r:id="rId8" display="=@ROUND((D8/D$14),2)"/>
    <hyperlink ref="E41:E45" r:id="rId9" display="=@ROUND((D8/D$14),2)"/>
    <hyperlink ref="E30:E34" r:id="rId10" display="=@ROUND((D8/D$14),2)"/>
  </hyperlinks>
  <pageMargins left="0.7" right="0.7" top="0.75" bottom="0.75" header="0.3" footer="0.3"/>
  <pageSetup orientation="landscape" r:id="rId1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4"/>
  <sheetViews>
    <sheetView tabSelected="1" zoomScale="140" zoomScaleNormal="140" workbookViewId="0" topLeftCell="A1">
      <selection pane="topLeft" activeCell="D3" sqref="D3"/>
    </sheetView>
  </sheetViews>
  <sheetFormatPr defaultRowHeight="15"/>
  <cols>
    <col min="1" max="1" width="23.5714285714286" customWidth="1"/>
    <col min="2" max="2" width="15" customWidth="1"/>
    <col min="3" max="4" width="14.1428571428571" customWidth="1"/>
    <col min="5" max="5" width="1.14285714285714" customWidth="1"/>
    <col min="6" max="6" width="14.1428571428571" customWidth="1"/>
    <col min="7" max="7" width="13.4285714285714" customWidth="1"/>
    <col min="8" max="8" width="14.1428571428571" customWidth="1"/>
    <col min="9" max="9" width="1.28571428571429" customWidth="1"/>
    <col min="10" max="10" width="13.8571428571429" customWidth="1"/>
    <col min="11" max="11" width="11.4285714285714" customWidth="1"/>
    <col min="12" max="12" width="14.1428571428571" customWidth="1"/>
    <col min="13" max="13" width="1.57142857142857" customWidth="1"/>
    <col min="14" max="14" width="13" customWidth="1"/>
    <col min="15" max="15" width="12.7142857142857" customWidth="1"/>
    <col min="16" max="16" width="14.1428571428571" customWidth="1"/>
    <col min="17" max="17" width="1.42857142857143" customWidth="1"/>
    <col min="18" max="18" width="12.7142857142857" customWidth="1"/>
    <col min="19" max="19" width="13" customWidth="1"/>
    <col min="20" max="20" width="14.1428571428571" customWidth="1"/>
  </cols>
  <sheetData>
    <row r="2" spans="1:20" ht="26.25">
      <c r="A2" s="46" t="s">
        <v>76</v>
      </c>
      <c r="B2" s="49" t="s">
        <v>77</v>
      </c>
      <c r="C2" s="49" t="s">
        <v>78</v>
      </c>
      <c r="D2" s="109" t="s">
        <v>107</v>
      </c>
      <c r="F2" s="49" t="s">
        <v>91</v>
      </c>
      <c r="G2" s="49" t="s">
        <v>92</v>
      </c>
      <c r="H2" s="109" t="s">
        <v>107</v>
      </c>
      <c r="J2" s="49" t="s">
        <v>95</v>
      </c>
      <c r="K2" s="49" t="s">
        <v>96</v>
      </c>
      <c r="L2" s="109" t="s">
        <v>107</v>
      </c>
      <c r="N2" s="49" t="s">
        <v>99</v>
      </c>
      <c r="O2" s="49" t="s">
        <v>100</v>
      </c>
      <c r="P2" s="109" t="s">
        <v>107</v>
      </c>
      <c r="R2" s="49" t="s">
        <v>103</v>
      </c>
      <c r="S2" s="49" t="s">
        <v>104</v>
      </c>
      <c r="T2" s="109" t="s">
        <v>107</v>
      </c>
    </row>
    <row r="3" spans="1:20" ht="15">
      <c r="A3" s="72" t="s">
        <v>83</v>
      </c>
      <c r="B3" s="75">
        <v>316043494</v>
      </c>
      <c r="C3" s="76">
        <v>12152276</v>
      </c>
      <c r="D3" s="110">
        <f>C3/C$14</f>
        <v>0.54224562856741398</v>
      </c>
      <c r="F3" s="75">
        <v>316126849</v>
      </c>
      <c r="G3" s="76">
        <v>12204358</v>
      </c>
      <c r="H3" s="110">
        <f>G3/G$14</f>
        <v>0.54265974622374769</v>
      </c>
      <c r="J3" s="75">
        <v>317614866</v>
      </c>
      <c r="K3" s="76">
        <v>12259526</v>
      </c>
      <c r="L3" s="110">
        <f>K3/K$14</f>
        <v>0.54304144111229813</v>
      </c>
      <c r="N3" s="75">
        <v>319828842</v>
      </c>
      <c r="O3" s="76">
        <v>12337653</v>
      </c>
      <c r="P3" s="110">
        <f>O3/O$14</f>
        <v>0.54380928356775726</v>
      </c>
      <c r="R3" s="75">
        <v>319678019</v>
      </c>
      <c r="S3" s="76">
        <v>12325714</v>
      </c>
      <c r="T3" s="110">
        <f>S3/S$14</f>
        <v>0.42166987333873407</v>
      </c>
    </row>
    <row r="4" spans="1:20" ht="15">
      <c r="A4" s="72"/>
      <c r="B4" s="75"/>
      <c r="C4" s="76"/>
      <c r="D4" s="110"/>
      <c r="F4" s="75"/>
      <c r="G4" s="76"/>
      <c r="H4" s="110"/>
      <c r="J4" s="75"/>
      <c r="K4" s="76"/>
      <c r="L4" s="110"/>
      <c r="N4" s="75"/>
      <c r="O4" s="76"/>
      <c r="P4" s="110"/>
      <c r="R4" s="75"/>
      <c r="S4" s="76"/>
      <c r="T4" s="110"/>
    </row>
    <row r="5" spans="1:20" ht="15">
      <c r="A5" s="72" t="s">
        <v>84</v>
      </c>
      <c r="B5" s="75">
        <v>54618537</v>
      </c>
      <c r="C5" s="76">
        <v>2447129</v>
      </c>
      <c r="D5" s="110">
        <f t="shared" si="0" ref="D5:D14">C5/C$14</f>
        <v>0.10919312586305209</v>
      </c>
      <c r="F5" s="75">
        <v>54762182</v>
      </c>
      <c r="G5" s="76">
        <v>2452891</v>
      </c>
      <c r="H5" s="110">
        <f t="shared" si="1" ref="H5:H14">G5/G$14</f>
        <v>0.10906638494007752</v>
      </c>
      <c r="J5" s="75">
        <v>54986910</v>
      </c>
      <c r="K5" s="76">
        <v>2460646</v>
      </c>
      <c r="L5" s="110">
        <f t="shared" si="2" ref="L5:L14">K5/K$14</f>
        <v>0.10899546604878622</v>
      </c>
      <c r="N5" s="75">
        <v>55251714</v>
      </c>
      <c r="O5" s="76">
        <v>2468950</v>
      </c>
      <c r="P5" s="110">
        <f t="shared" si="3" ref="P5:P14">O5/O$14</f>
        <v>0.10882441990098232</v>
      </c>
      <c r="R5" s="75">
        <v>55227992</v>
      </c>
      <c r="S5" s="76">
        <v>2466329</v>
      </c>
      <c r="T5" s="110">
        <f t="shared" si="4" ref="T5:T14">S5/S$14</f>
        <v>0.084374555262408862</v>
      </c>
    </row>
    <row r="6" spans="1:20" ht="15">
      <c r="A6" s="72"/>
      <c r="B6" s="75"/>
      <c r="C6" s="76"/>
      <c r="D6" s="110"/>
      <c r="F6" s="75"/>
      <c r="G6" s="76"/>
      <c r="H6" s="110"/>
      <c r="J6" s="75"/>
      <c r="K6" s="76"/>
      <c r="L6" s="110"/>
      <c r="N6" s="75"/>
      <c r="O6" s="76"/>
      <c r="P6" s="110"/>
      <c r="R6" s="75"/>
      <c r="S6" s="76"/>
      <c r="T6" s="110"/>
    </row>
    <row r="7" spans="1:20" ht="15">
      <c r="A7" s="72" t="s">
        <v>85</v>
      </c>
      <c r="B7" s="75">
        <v>172626003</v>
      </c>
      <c r="C7" s="76">
        <v>3522610</v>
      </c>
      <c r="D7" s="110">
        <f t="shared" si="0"/>
        <v>0.15718206808731616</v>
      </c>
      <c r="F7" s="75">
        <v>172050339</v>
      </c>
      <c r="G7" s="76">
        <v>3534996</v>
      </c>
      <c r="H7" s="110">
        <f t="shared" si="1"/>
        <v>0.15718156024773799</v>
      </c>
      <c r="J7" s="75">
        <v>174850970</v>
      </c>
      <c r="K7" s="76">
        <v>3552786</v>
      </c>
      <c r="L7" s="110">
        <f t="shared" si="2"/>
        <v>0.15737231842434996</v>
      </c>
      <c r="N7" s="75">
        <v>177179534</v>
      </c>
      <c r="O7" s="76">
        <v>3569250</v>
      </c>
      <c r="P7" s="110">
        <f t="shared" si="3"/>
        <v>0.15732257061972948</v>
      </c>
      <c r="R7" s="75">
        <v>177207167</v>
      </c>
      <c r="S7" s="76">
        <v>3559092</v>
      </c>
      <c r="T7" s="110">
        <f t="shared" si="4"/>
        <v>0.12175861559345784</v>
      </c>
    </row>
    <row r="8" spans="1:20" ht="15">
      <c r="A8" s="72"/>
      <c r="B8" s="75"/>
      <c r="C8" s="76"/>
      <c r="D8" s="110"/>
      <c r="F8" s="75"/>
      <c r="G8" s="76"/>
      <c r="H8" s="110"/>
      <c r="J8" s="75"/>
      <c r="K8" s="76"/>
      <c r="L8" s="110"/>
      <c r="N8" s="75"/>
      <c r="O8" s="76"/>
      <c r="P8" s="110"/>
      <c r="R8" s="75"/>
      <c r="S8" s="76"/>
      <c r="T8" s="110"/>
    </row>
    <row r="9" spans="1:20" ht="15">
      <c r="A9" s="72" t="s">
        <v>86</v>
      </c>
      <c r="B9" s="75">
        <v>83195511</v>
      </c>
      <c r="C9" s="76">
        <v>1930292</v>
      </c>
      <c r="D9" s="110">
        <f t="shared" si="0"/>
        <v>0.086131387968694142</v>
      </c>
      <c r="F9" s="75">
        <v>82987816</v>
      </c>
      <c r="G9" s="76">
        <v>1933983</v>
      </c>
      <c r="H9" s="110">
        <f t="shared" si="1"/>
        <v>0.085993439718913697</v>
      </c>
      <c r="J9" s="75">
        <v>83449155</v>
      </c>
      <c r="K9" s="76">
        <v>1934102</v>
      </c>
      <c r="L9" s="110">
        <f t="shared" si="2"/>
        <v>0.085671953168350731</v>
      </c>
      <c r="N9" s="75">
        <v>83210828</v>
      </c>
      <c r="O9" s="76">
        <v>1938045</v>
      </c>
      <c r="P9" s="110">
        <f t="shared" si="3"/>
        <v>0.085423610387816387</v>
      </c>
      <c r="R9" s="75">
        <v>83215933</v>
      </c>
      <c r="S9" s="76">
        <v>2503925</v>
      </c>
      <c r="T9" s="110">
        <f t="shared" si="4"/>
        <v>0.085660736375977056</v>
      </c>
    </row>
    <row r="10" spans="1:20" ht="15">
      <c r="A10" s="72"/>
      <c r="B10" s="75"/>
      <c r="C10" s="76"/>
      <c r="D10" s="110"/>
      <c r="F10" s="75"/>
      <c r="G10" s="76"/>
      <c r="H10" s="110"/>
      <c r="J10" s="75"/>
      <c r="K10" s="76"/>
      <c r="L10" s="110"/>
      <c r="N10" s="75"/>
      <c r="O10" s="76"/>
      <c r="P10" s="110"/>
      <c r="R10" s="75"/>
      <c r="S10" s="76"/>
      <c r="T10" s="110"/>
    </row>
    <row r="11" spans="1:20" ht="15">
      <c r="A11" s="72" t="s">
        <v>87</v>
      </c>
      <c r="B11" s="75">
        <v>23647500</v>
      </c>
      <c r="C11" s="76">
        <v>640543</v>
      </c>
      <c r="D11" s="110">
        <f t="shared" si="0"/>
        <v>0.028581612338253102</v>
      </c>
      <c r="F11" s="75">
        <v>24496250</v>
      </c>
      <c r="G11" s="76">
        <v>640543</v>
      </c>
      <c r="H11" s="110">
        <f t="shared" si="1"/>
        <v>0.02848137540912828</v>
      </c>
      <c r="J11" s="75">
        <v>24071875</v>
      </c>
      <c r="K11" s="76">
        <v>640543</v>
      </c>
      <c r="L11" s="110">
        <f t="shared" si="2"/>
        <v>0.028373151932170528</v>
      </c>
      <c r="N11" s="75">
        <v>24284063</v>
      </c>
      <c r="O11" s="76">
        <v>640543</v>
      </c>
      <c r="P11" s="110">
        <f t="shared" si="3"/>
        <v>0.028233346319947717</v>
      </c>
      <c r="R11" s="75">
        <v>24177969</v>
      </c>
      <c r="S11" s="76">
        <v>6640543</v>
      </c>
      <c r="T11" s="110">
        <f t="shared" si="4"/>
        <v>0.22717685366627985</v>
      </c>
    </row>
    <row r="12" spans="1:20" ht="15">
      <c r="A12" s="72"/>
      <c r="B12" s="75"/>
      <c r="C12" s="76"/>
      <c r="D12" s="110"/>
      <c r="F12" s="75"/>
      <c r="G12" s="76"/>
      <c r="H12" s="110"/>
      <c r="J12" s="75"/>
      <c r="K12" s="76"/>
      <c r="L12" s="110"/>
      <c r="N12" s="75"/>
      <c r="O12" s="76"/>
      <c r="P12" s="110"/>
      <c r="R12" s="75"/>
      <c r="S12" s="76"/>
      <c r="T12" s="110"/>
    </row>
    <row r="13" spans="1:20" ht="15">
      <c r="A13" s="72" t="s">
        <v>88</v>
      </c>
      <c r="B13" s="75">
        <v>7509526</v>
      </c>
      <c r="C13" s="76">
        <v>1718167</v>
      </c>
      <c r="D13" s="110">
        <f t="shared" si="0"/>
        <v>0.076666177175270536</v>
      </c>
      <c r="F13" s="75">
        <v>7527819</v>
      </c>
      <c r="G13" s="76">
        <v>1723119</v>
      </c>
      <c r="H13" s="110">
        <f t="shared" si="1"/>
        <v>0.07661749346039487</v>
      </c>
      <c r="J13" s="75">
        <v>7533313</v>
      </c>
      <c r="K13" s="76">
        <v>1728070</v>
      </c>
      <c r="L13" s="110">
        <f t="shared" si="2"/>
        <v>0.076545669314044371</v>
      </c>
      <c r="N13" s="75">
        <v>7545203</v>
      </c>
      <c r="O13" s="76">
        <v>1733022</v>
      </c>
      <c r="P13" s="110">
        <f t="shared" si="3"/>
        <v>0.076386769203766858</v>
      </c>
      <c r="R13" s="75">
        <v>7547646</v>
      </c>
      <c r="S13" s="76">
        <v>1735117</v>
      </c>
      <c r="T13" s="110">
        <f t="shared" si="4"/>
        <v>0.059359365763142338</v>
      </c>
    </row>
    <row r="14" spans="2:20" ht="15.75" thickBot="1">
      <c r="B14" s="79">
        <f>SUM(B3:B13)</f>
        <v>657640571</v>
      </c>
      <c r="C14" s="51">
        <f>SUM(C3:C13)</f>
        <v>22411017</v>
      </c>
      <c r="D14" s="111">
        <f t="shared" si="0"/>
        <v>1</v>
      </c>
      <c r="F14" s="79">
        <f>SUM(F3:F13)</f>
        <v>657951255</v>
      </c>
      <c r="G14" s="51">
        <f>SUM(G3:G13)</f>
        <v>22489890</v>
      </c>
      <c r="H14" s="111">
        <f t="shared" si="1"/>
        <v>1</v>
      </c>
      <c r="J14" s="79">
        <f>SUM(J3:J13)</f>
        <v>662507089</v>
      </c>
      <c r="K14" s="51">
        <f>SUM(K3:K13)</f>
        <v>22575673</v>
      </c>
      <c r="L14" s="111">
        <f t="shared" si="2"/>
        <v>1</v>
      </c>
      <c r="N14" s="79">
        <f>SUM(N3:N13)</f>
        <v>667300184</v>
      </c>
      <c r="O14" s="51">
        <f>SUM(O3:O13)</f>
        <v>22687463</v>
      </c>
      <c r="P14" s="111">
        <f t="shared" si="3"/>
        <v>1</v>
      </c>
      <c r="R14" s="79">
        <f>SUM(R3:R13)</f>
        <v>667054726</v>
      </c>
      <c r="S14" s="51">
        <f>SUM(S3:S13)</f>
        <v>29230720</v>
      </c>
      <c r="T14" s="111">
        <f t="shared" si="4"/>
        <v>1</v>
      </c>
    </row>
    <row r="15" ht="15.75" thickTop="1"/>
  </sheetData>
  <pageMargins left="0.7" right="0.7" top="0.75" bottom="0.75" header="0.3" footer="0.3"/>
  <pageSetup horizontalDpi="1200" verticalDpi="120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3"/>
  <sheetViews>
    <sheetView workbookViewId="0" topLeftCell="A1">
      <pane xSplit="3" ySplit="5" topLeftCell="D6" activePane="bottomRight" state="frozen"/>
      <selection pane="topLeft" activeCell="A1" sqref="A1"/>
      <selection pane="bottomLeft" activeCell="A6" sqref="A6"/>
      <selection pane="topRight" activeCell="D1" sqref="D1"/>
      <selection pane="bottomRight" activeCell="B37" sqref="B37"/>
    </sheetView>
  </sheetViews>
  <sheetFormatPr defaultRowHeight="15"/>
  <cols>
    <col min="2" max="2" width="24.5714285714286" bestFit="1" customWidth="1"/>
    <col min="4" max="4" width="15.2857142857143" bestFit="1" customWidth="1"/>
    <col min="5" max="8" width="12.5714285714286" bestFit="1" customWidth="1"/>
    <col min="9" max="9" width="11.5714285714286" bestFit="1" customWidth="1"/>
    <col min="10" max="10" width="14.1428571428571" customWidth="1"/>
  </cols>
  <sheetData>
    <row r="1" spans="1:1" ht="15">
      <c r="A1" s="18" t="s">
        <v>108</v>
      </c>
    </row>
    <row r="2" spans="1:1" ht="15">
      <c r="A2" s="18" t="s">
        <v>109</v>
      </c>
    </row>
    <row r="3" spans="1:1" ht="15">
      <c r="A3" s="18" t="s">
        <v>110</v>
      </c>
    </row>
    <row r="5" spans="1:8" s="18" customFormat="1" ht="15">
      <c r="A5" s="145" t="s">
        <v>111</v>
      </c>
      <c r="D5" s="18">
        <v>2022</v>
      </c>
      <c r="E5" s="18">
        <v>2023</v>
      </c>
      <c r="F5" s="18">
        <v>2024</v>
      </c>
      <c r="G5" s="18">
        <v>2025</v>
      </c>
      <c r="H5" s="18">
        <v>2026</v>
      </c>
    </row>
    <row r="6" spans="2:8" ht="15">
      <c r="B6" s="146" t="s">
        <v>112</v>
      </c>
      <c r="C6" t="s">
        <v>113</v>
      </c>
      <c r="D6" s="148">
        <f>'Budgeted Volumes and Margins '!B3</f>
        <v>316043494</v>
      </c>
      <c r="E6" s="148">
        <f>'Budgeted Volumes and Margins '!F3</f>
        <v>316126849</v>
      </c>
      <c r="F6" s="148">
        <f>'Budgeted Volumes and Margins '!J3</f>
        <v>317614866</v>
      </c>
      <c r="G6" s="148">
        <f>'Budgeted Volumes and Margins '!N3</f>
        <v>319828842</v>
      </c>
      <c r="H6" s="148">
        <f>'Budgeted Volumes and Margins '!R3</f>
        <v>319678019</v>
      </c>
    </row>
    <row r="7" spans="2:8" ht="15">
      <c r="B7" s="146" t="s">
        <v>114</v>
      </c>
      <c r="C7" t="s">
        <v>113</v>
      </c>
      <c r="D7" s="148">
        <f>'Budgeted Volumes and Margins '!B5</f>
        <v>54618537</v>
      </c>
      <c r="E7" s="148">
        <f>'Budgeted Volumes and Margins '!F5</f>
        <v>54762182</v>
      </c>
      <c r="F7" s="148">
        <f>'Budgeted Volumes and Margins '!J5</f>
        <v>54986910</v>
      </c>
      <c r="G7" s="148">
        <f>'Budgeted Volumes and Margins '!N5</f>
        <v>55251714</v>
      </c>
      <c r="H7" s="148">
        <f>'Budgeted Volumes and Margins '!R5</f>
        <v>55227992</v>
      </c>
    </row>
    <row r="8" spans="2:8" ht="15">
      <c r="B8" s="146" t="s">
        <v>115</v>
      </c>
      <c r="C8" t="s">
        <v>113</v>
      </c>
      <c r="D8" s="148">
        <f>'Budgeted Volumes and Margins '!B7</f>
        <v>172626003</v>
      </c>
      <c r="E8" s="148">
        <f>'Budgeted Volumes and Margins '!F7</f>
        <v>172050339</v>
      </c>
      <c r="F8" s="148">
        <f>'Budgeted Volumes and Margins '!J7</f>
        <v>174850970</v>
      </c>
      <c r="G8" s="148">
        <f>'Budgeted Volumes and Margins '!N7</f>
        <v>177179534</v>
      </c>
      <c r="H8" s="148">
        <f>'Budgeted Volumes and Margins '!R7</f>
        <v>177207167</v>
      </c>
    </row>
    <row r="9" spans="2:8" ht="15">
      <c r="B9" s="146" t="s">
        <v>116</v>
      </c>
      <c r="C9" t="s">
        <v>113</v>
      </c>
      <c r="D9" s="148">
        <f>'Budgeted Volumes and Margins '!B9</f>
        <v>83195511</v>
      </c>
      <c r="E9" s="148">
        <f>'Budgeted Volumes and Margins '!F9</f>
        <v>82987816</v>
      </c>
      <c r="F9" s="148">
        <f>'Budgeted Volumes and Margins '!J9</f>
        <v>83449155</v>
      </c>
      <c r="G9" s="148">
        <f>'Budgeted Volumes and Margins '!N9</f>
        <v>83210828</v>
      </c>
      <c r="H9" s="148">
        <f>'Budgeted Volumes and Margins '!R9</f>
        <v>83215933</v>
      </c>
    </row>
    <row r="10" spans="2:8" ht="15">
      <c r="B10" s="146" t="s">
        <v>117</v>
      </c>
      <c r="C10" t="s">
        <v>113</v>
      </c>
      <c r="D10" s="148">
        <f>'Budgeted Volumes and Margins '!B11</f>
        <v>23647500</v>
      </c>
      <c r="E10" s="148">
        <f>'Budgeted Volumes and Margins '!F11</f>
        <v>24496250</v>
      </c>
      <c r="F10" s="148">
        <f>'Budgeted Volumes and Margins '!J11</f>
        <v>24071875</v>
      </c>
      <c r="G10" s="148">
        <f>'Budgeted Volumes and Margins '!N11</f>
        <v>24284063</v>
      </c>
      <c r="H10" s="148">
        <f>'Budgeted Volumes and Margins '!R11</f>
        <v>24177969</v>
      </c>
    </row>
    <row r="11" spans="2:8" ht="15">
      <c r="B11" s="146" t="s">
        <v>118</v>
      </c>
      <c r="C11" t="s">
        <v>113</v>
      </c>
      <c r="D11" s="150">
        <f>'Budgeted Volumes and Margins '!B13</f>
        <v>7509526</v>
      </c>
      <c r="E11" s="150">
        <f>'Budgeted Volumes and Margins '!F13</f>
        <v>7527819</v>
      </c>
      <c r="F11" s="150">
        <f>'Budgeted Volumes and Margins '!J13</f>
        <v>7533313</v>
      </c>
      <c r="G11" s="150">
        <f>'Budgeted Volumes and Margins '!N13</f>
        <v>7545203</v>
      </c>
      <c r="H11" s="150">
        <f>'Budgeted Volumes and Margins '!R13</f>
        <v>7547646</v>
      </c>
    </row>
    <row r="12" spans="3:8" s="18" customFormat="1" ht="15">
      <c r="C12" s="18" t="s">
        <v>5</v>
      </c>
      <c r="D12" s="149">
        <f>SUM(D6:D11)</f>
        <v>657640571</v>
      </c>
      <c r="E12" s="149">
        <f t="shared" si="0" ref="E12">SUM(E6:E11)</f>
        <v>657951255</v>
      </c>
      <c r="F12" s="149">
        <f>SUM(F6:F11)</f>
        <v>662507089</v>
      </c>
      <c r="G12" s="149">
        <f>SUM(G6:G11)</f>
        <v>667300184</v>
      </c>
      <c r="H12" s="149">
        <f>SUM(H6:H11)</f>
        <v>667054726</v>
      </c>
    </row>
    <row r="13" spans="1:8" ht="15">
      <c r="A13" s="147" t="s">
        <v>119</v>
      </c>
      <c r="D13" s="148"/>
      <c r="E13" s="148"/>
      <c r="F13" s="148"/>
      <c r="G13" s="148"/>
      <c r="H13" s="148"/>
    </row>
    <row r="14" spans="2:8" ht="15">
      <c r="B14" s="146" t="s">
        <v>112</v>
      </c>
      <c r="D14" s="148">
        <v>25635</v>
      </c>
      <c r="E14" s="148">
        <v>25832</v>
      </c>
      <c r="F14" s="148">
        <v>25951</v>
      </c>
      <c r="G14" s="148">
        <v>26021</v>
      </c>
      <c r="H14" s="148">
        <v>26036</v>
      </c>
    </row>
    <row r="15" spans="2:8" ht="15">
      <c r="B15" s="146" t="s">
        <v>114</v>
      </c>
      <c r="D15" s="148">
        <v>3704</v>
      </c>
      <c r="E15" s="148">
        <v>3711</v>
      </c>
      <c r="F15" s="148">
        <v>3719</v>
      </c>
      <c r="G15" s="148">
        <v>3724</v>
      </c>
      <c r="H15" s="148">
        <v>3728</v>
      </c>
    </row>
    <row r="16" spans="2:8" ht="15">
      <c r="B16" s="146" t="s">
        <v>115</v>
      </c>
      <c r="D16" s="148">
        <v>662</v>
      </c>
      <c r="E16" s="148">
        <v>664</v>
      </c>
      <c r="F16" s="148">
        <v>665</v>
      </c>
      <c r="G16" s="148">
        <v>666</v>
      </c>
      <c r="H16" s="148">
        <v>672</v>
      </c>
    </row>
    <row r="17" spans="2:8" ht="15">
      <c r="B17" s="146" t="s">
        <v>116</v>
      </c>
      <c r="D17" s="148">
        <v>26</v>
      </c>
      <c r="E17" s="148">
        <v>27</v>
      </c>
      <c r="F17" s="148">
        <v>28</v>
      </c>
      <c r="G17" s="148">
        <v>28</v>
      </c>
      <c r="H17" s="148">
        <v>29</v>
      </c>
    </row>
    <row r="18" spans="2:8" ht="15">
      <c r="B18" s="146" t="s">
        <v>117</v>
      </c>
      <c r="D18" s="148">
        <v>2</v>
      </c>
      <c r="E18" s="148">
        <v>2</v>
      </c>
      <c r="F18" s="148">
        <v>2</v>
      </c>
      <c r="G18" s="148">
        <v>2</v>
      </c>
      <c r="H18" s="148">
        <v>2</v>
      </c>
    </row>
    <row r="19" spans="2:8" ht="15">
      <c r="B19" s="146" t="s">
        <v>118</v>
      </c>
      <c r="D19" s="150">
        <v>2964</v>
      </c>
      <c r="E19" s="150">
        <v>2973</v>
      </c>
      <c r="F19" s="150">
        <v>2982</v>
      </c>
      <c r="G19" s="150">
        <v>2991</v>
      </c>
      <c r="H19" s="150">
        <v>2991</v>
      </c>
    </row>
    <row r="20" spans="3:8" s="18" customFormat="1" ht="15">
      <c r="C20" s="18" t="s">
        <v>5</v>
      </c>
      <c r="D20" s="149">
        <f>SUM(D14:D19)</f>
        <v>32993</v>
      </c>
      <c r="E20" s="149">
        <f t="shared" si="1" ref="E20">SUM(E14:E19)</f>
        <v>33209</v>
      </c>
      <c r="F20" s="149">
        <f>SUM(F14:F19)</f>
        <v>33347</v>
      </c>
      <c r="G20" s="149">
        <f>SUM(G14:G19)</f>
        <v>33432</v>
      </c>
      <c r="H20" s="149">
        <f>SUM(H14:H19)</f>
        <v>33458</v>
      </c>
    </row>
    <row r="21" spans="4:10" ht="15.75" thickBot="1">
      <c r="D21" s="148"/>
      <c r="E21" s="148"/>
      <c r="F21" s="148"/>
      <c r="G21" s="148"/>
      <c r="H21" s="148"/>
      <c r="J21" s="166" t="s">
        <v>120</v>
      </c>
    </row>
    <row r="22" spans="1:10" ht="15">
      <c r="A22" s="151" t="s">
        <v>121</v>
      </c>
      <c r="B22" s="152"/>
      <c r="C22" s="152"/>
      <c r="D22" s="153"/>
      <c r="E22" s="153"/>
      <c r="F22" s="153"/>
      <c r="G22" s="153"/>
      <c r="H22" s="154"/>
      <c r="J22" s="167" t="s">
        <v>122</v>
      </c>
    </row>
    <row r="23" spans="1:10" ht="15">
      <c r="A23" s="155"/>
      <c r="B23" s="146" t="s">
        <v>112</v>
      </c>
      <c r="D23" s="156">
        <f>ROUND(D6/D14,-3)</f>
        <v>12000</v>
      </c>
      <c r="E23" s="156">
        <f t="shared" si="2" ref="E23:H23">ROUND(E6/E14,-3)</f>
        <v>12000</v>
      </c>
      <c r="F23" s="156">
        <f t="shared" si="2"/>
        <v>12000</v>
      </c>
      <c r="G23" s="156">
        <f t="shared" si="2"/>
        <v>12000</v>
      </c>
      <c r="H23" s="157">
        <f t="shared" si="2"/>
        <v>12000</v>
      </c>
      <c r="J23" s="163">
        <f>SUM(D23:H23)/60</f>
        <v>1000</v>
      </c>
    </row>
    <row r="24" spans="1:10" ht="15">
      <c r="A24" s="155"/>
      <c r="B24" s="146"/>
      <c r="D24" s="156"/>
      <c r="E24" s="156"/>
      <c r="F24" s="156"/>
      <c r="G24" s="156"/>
      <c r="H24" s="157"/>
      <c r="J24" s="163"/>
    </row>
    <row r="25" spans="1:10" ht="15">
      <c r="A25" s="155"/>
      <c r="B25" s="146" t="s">
        <v>114</v>
      </c>
      <c r="D25" s="156">
        <f>ROUND(D7/D15,-3)</f>
        <v>15000</v>
      </c>
      <c r="E25" s="156">
        <f t="shared" si="3" ref="E25:H25">ROUND(E7/E15,-3)</f>
        <v>15000</v>
      </c>
      <c r="F25" s="156">
        <f t="shared" si="3"/>
        <v>15000</v>
      </c>
      <c r="G25" s="156">
        <f t="shared" si="3"/>
        <v>15000</v>
      </c>
      <c r="H25" s="157">
        <f t="shared" si="3"/>
        <v>15000</v>
      </c>
      <c r="J25" s="163">
        <f>SUM(D25:H25)/60</f>
        <v>1250</v>
      </c>
    </row>
    <row r="26" spans="1:10" ht="15">
      <c r="A26" s="155"/>
      <c r="B26" s="146"/>
      <c r="D26" s="156"/>
      <c r="E26" s="156"/>
      <c r="F26" s="156"/>
      <c r="G26" s="156"/>
      <c r="H26" s="157"/>
      <c r="J26" s="163"/>
    </row>
    <row r="27" spans="1:10" ht="15">
      <c r="A27" s="155"/>
      <c r="B27" s="146" t="s">
        <v>115</v>
      </c>
      <c r="D27" s="156">
        <f>ROUND(D8/D16,-3)</f>
        <v>261000</v>
      </c>
      <c r="E27" s="156">
        <f t="shared" si="4" ref="E27:H27">ROUND(E8/E16,-3)</f>
        <v>259000</v>
      </c>
      <c r="F27" s="156">
        <f t="shared" si="4"/>
        <v>263000</v>
      </c>
      <c r="G27" s="156">
        <f t="shared" si="4"/>
        <v>266000</v>
      </c>
      <c r="H27" s="157">
        <f t="shared" si="4"/>
        <v>264000</v>
      </c>
      <c r="J27" s="163">
        <f>SUM(D27:H27)/60</f>
        <v>21883.333333333332</v>
      </c>
    </row>
    <row r="28" spans="1:10" ht="15">
      <c r="A28" s="155"/>
      <c r="B28" s="146"/>
      <c r="D28" s="156"/>
      <c r="E28" s="156"/>
      <c r="F28" s="156"/>
      <c r="G28" s="156"/>
      <c r="H28" s="157"/>
      <c r="J28" s="163"/>
    </row>
    <row r="29" spans="1:10" ht="15">
      <c r="A29" s="155"/>
      <c r="B29" s="146" t="s">
        <v>116</v>
      </c>
      <c r="D29" s="156">
        <f>ROUND(D9/D17,-3)</f>
        <v>3200000</v>
      </c>
      <c r="E29" s="156">
        <f t="shared" si="5" ref="E29:H29">ROUND(E9/E17,-3)</f>
        <v>3074000</v>
      </c>
      <c r="F29" s="156">
        <f t="shared" si="5"/>
        <v>2980000</v>
      </c>
      <c r="G29" s="156">
        <f t="shared" si="5"/>
        <v>2972000</v>
      </c>
      <c r="H29" s="157">
        <f t="shared" si="5"/>
        <v>2870000</v>
      </c>
      <c r="J29" s="163">
        <f>SUM(D29:H29)/60</f>
        <v>251600</v>
      </c>
    </row>
    <row r="30" spans="1:10" ht="15">
      <c r="A30" s="155"/>
      <c r="B30" s="146"/>
      <c r="D30" s="156"/>
      <c r="E30" s="156"/>
      <c r="F30" s="156"/>
      <c r="G30" s="156"/>
      <c r="H30" s="157"/>
      <c r="J30" s="163"/>
    </row>
    <row r="31" spans="1:10" ht="15">
      <c r="A31" s="155"/>
      <c r="B31" s="146" t="s">
        <v>117</v>
      </c>
      <c r="D31" s="156">
        <f>ROUND(D10/D18,-3)</f>
        <v>11824000</v>
      </c>
      <c r="E31" s="156">
        <f t="shared" si="6" ref="E31:H31">ROUND(E10/E18,-3)</f>
        <v>12248000</v>
      </c>
      <c r="F31" s="156">
        <f t="shared" si="6"/>
        <v>12036000</v>
      </c>
      <c r="G31" s="156">
        <f t="shared" si="6"/>
        <v>12142000</v>
      </c>
      <c r="H31" s="157">
        <f t="shared" si="6"/>
        <v>12089000</v>
      </c>
      <c r="J31" s="163">
        <f>SUM(D31:H31)/60</f>
        <v>1005650</v>
      </c>
    </row>
    <row r="32" spans="1:10" ht="15">
      <c r="A32" s="155"/>
      <c r="B32" s="146"/>
      <c r="D32" s="156"/>
      <c r="E32" s="156"/>
      <c r="F32" s="156"/>
      <c r="G32" s="156"/>
      <c r="H32" s="157"/>
      <c r="J32" s="163"/>
    </row>
    <row r="33" spans="1:10" ht="15.75" thickBot="1">
      <c r="A33" s="158"/>
      <c r="B33" s="159" t="s">
        <v>118</v>
      </c>
      <c r="C33" s="160"/>
      <c r="D33" s="161">
        <f>ROUND(D11/D19,-3)</f>
        <v>3000</v>
      </c>
      <c r="E33" s="161">
        <f t="shared" si="7" ref="E33:H33">ROUND(E11/E19,-3)</f>
        <v>3000</v>
      </c>
      <c r="F33" s="161">
        <f t="shared" si="7"/>
        <v>3000</v>
      </c>
      <c r="G33" s="161">
        <f t="shared" si="7"/>
        <v>3000</v>
      </c>
      <c r="H33" s="162">
        <f t="shared" si="7"/>
        <v>3000</v>
      </c>
      <c r="J33" s="163">
        <f>SUM(D33:H33)/60</f>
        <v>250</v>
      </c>
    </row>
  </sheetData>
  <pageMargins left="0.7" right="0.7" top="0.75" bottom="0.75" header="0.3" footer="0.3"/>
  <pageSetup horizontalDpi="1200" verticalDpi="120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T41"/>
  <sheetViews>
    <sheetView workbookViewId="0" topLeftCell="A1">
      <selection pane="topLeft" activeCell="C13" sqref="C13"/>
    </sheetView>
  </sheetViews>
  <sheetFormatPr defaultRowHeight="15"/>
  <cols>
    <col min="2" max="2" width="24" bestFit="1" customWidth="1"/>
    <col min="3" max="3" width="16" bestFit="1" customWidth="1"/>
    <col min="4" max="4" width="12.2857142857143" bestFit="1" customWidth="1"/>
    <col min="6" max="6" width="24" bestFit="1" customWidth="1"/>
    <col min="7" max="7" width="16" bestFit="1" customWidth="1"/>
    <col min="8" max="8" width="12.2857142857143" bestFit="1" customWidth="1"/>
    <col min="10" max="10" width="24" bestFit="1" customWidth="1"/>
    <col min="11" max="11" width="16" bestFit="1" customWidth="1"/>
    <col min="12" max="12" width="12.2857142857143" bestFit="1" customWidth="1"/>
    <col min="14" max="14" width="24" bestFit="1" customWidth="1"/>
    <col min="15" max="15" width="16" bestFit="1" customWidth="1"/>
    <col min="16" max="16" width="12.2857142857143" bestFit="1" customWidth="1"/>
    <col min="18" max="18" width="24" bestFit="1" customWidth="1"/>
    <col min="19" max="19" width="16" bestFit="1" customWidth="1"/>
    <col min="20" max="20" width="12.2857142857143" bestFit="1" customWidth="1"/>
  </cols>
  <sheetData>
    <row r="4" spans="2:20" ht="18.75" thickBot="1">
      <c r="B4" s="182" t="s">
        <v>123</v>
      </c>
      <c r="C4" s="183"/>
      <c r="D4" s="184"/>
      <c r="F4" s="182" t="s">
        <v>124</v>
      </c>
      <c r="G4" s="183"/>
      <c r="H4" s="184"/>
      <c r="J4" s="182" t="s">
        <v>125</v>
      </c>
      <c r="K4" s="183"/>
      <c r="L4" s="184"/>
      <c r="N4" s="182" t="s">
        <v>126</v>
      </c>
      <c r="O4" s="183"/>
      <c r="P4" s="184"/>
      <c r="R4" s="182" t="s">
        <v>127</v>
      </c>
      <c r="S4" s="183"/>
      <c r="T4" s="184"/>
    </row>
    <row r="5" spans="2:20" ht="15.75">
      <c r="B5" s="52" t="s">
        <v>128</v>
      </c>
      <c r="C5" s="53"/>
      <c r="D5" s="54" t="s">
        <v>129</v>
      </c>
      <c r="F5" s="52" t="s">
        <v>128</v>
      </c>
      <c r="G5" s="53"/>
      <c r="H5" s="54" t="s">
        <v>129</v>
      </c>
      <c r="J5" s="52" t="s">
        <v>128</v>
      </c>
      <c r="K5" s="53"/>
      <c r="L5" s="54" t="s">
        <v>129</v>
      </c>
      <c r="N5" s="52" t="s">
        <v>128</v>
      </c>
      <c r="O5" s="53"/>
      <c r="P5" s="54" t="s">
        <v>129</v>
      </c>
      <c r="R5" s="52" t="s">
        <v>128</v>
      </c>
      <c r="S5" s="53"/>
      <c r="T5" s="54" t="s">
        <v>129</v>
      </c>
    </row>
    <row r="6" spans="2:20" ht="15.75">
      <c r="B6" s="55" t="s">
        <v>129</v>
      </c>
      <c r="C6" s="56" t="s">
        <v>130</v>
      </c>
      <c r="D6" s="57">
        <v>1000</v>
      </c>
      <c r="F6" s="55" t="s">
        <v>129</v>
      </c>
      <c r="G6" s="56" t="s">
        <v>130</v>
      </c>
      <c r="H6" s="57">
        <v>1000</v>
      </c>
      <c r="J6" s="55" t="s">
        <v>129</v>
      </c>
      <c r="K6" s="56" t="s">
        <v>130</v>
      </c>
      <c r="L6" s="57">
        <v>1000</v>
      </c>
      <c r="N6" s="55" t="s">
        <v>129</v>
      </c>
      <c r="O6" s="56" t="s">
        <v>130</v>
      </c>
      <c r="P6" s="57">
        <v>1000</v>
      </c>
      <c r="R6" s="55" t="s">
        <v>129</v>
      </c>
      <c r="S6" s="56" t="s">
        <v>130</v>
      </c>
      <c r="T6" s="57">
        <v>1000</v>
      </c>
    </row>
    <row r="7" spans="2:20" ht="15.75">
      <c r="B7" s="55" t="s">
        <v>129</v>
      </c>
      <c r="C7" s="53" t="s">
        <v>44</v>
      </c>
      <c r="D7" s="58" t="s">
        <v>131</v>
      </c>
      <c r="F7" s="55" t="s">
        <v>129</v>
      </c>
      <c r="G7" s="53" t="s">
        <v>44</v>
      </c>
      <c r="H7" s="58" t="s">
        <v>131</v>
      </c>
      <c r="J7" s="55" t="s">
        <v>129</v>
      </c>
      <c r="K7" s="53" t="s">
        <v>44</v>
      </c>
      <c r="L7" s="58" t="s">
        <v>131</v>
      </c>
      <c r="N7" s="55" t="s">
        <v>129</v>
      </c>
      <c r="O7" s="53" t="s">
        <v>44</v>
      </c>
      <c r="P7" s="58" t="s">
        <v>131</v>
      </c>
      <c r="R7" s="55" t="s">
        <v>129</v>
      </c>
      <c r="S7" s="53" t="s">
        <v>44</v>
      </c>
      <c r="T7" s="58" t="s">
        <v>131</v>
      </c>
    </row>
    <row r="8" spans="2:20" ht="15.75">
      <c r="B8" s="55" t="s">
        <v>132</v>
      </c>
      <c r="C8" s="59">
        <v>16.949999999999999</v>
      </c>
      <c r="D8" s="60">
        <f>C8</f>
        <v>16.949999999999999</v>
      </c>
      <c r="F8" s="55" t="s">
        <v>132</v>
      </c>
      <c r="G8" s="59">
        <v>16.949999999999999</v>
      </c>
      <c r="H8" s="60">
        <f>G8</f>
        <v>16.949999999999999</v>
      </c>
      <c r="J8" s="55" t="s">
        <v>132</v>
      </c>
      <c r="K8" s="59">
        <v>16.949999999999999</v>
      </c>
      <c r="L8" s="60">
        <f>K8</f>
        <v>16.949999999999999</v>
      </c>
      <c r="N8" s="55" t="s">
        <v>132</v>
      </c>
      <c r="O8" s="59">
        <v>16.949999999999999</v>
      </c>
      <c r="P8" s="60">
        <f>O8</f>
        <v>16.949999999999999</v>
      </c>
      <c r="R8" s="55" t="s">
        <v>132</v>
      </c>
      <c r="S8" s="59">
        <v>16.949999999999999</v>
      </c>
      <c r="T8" s="60">
        <f>S8</f>
        <v>16.949999999999999</v>
      </c>
    </row>
    <row r="9" spans="2:20" ht="15.75">
      <c r="B9" s="55" t="s">
        <v>133</v>
      </c>
      <c r="C9" s="61">
        <v>0.023730000000000001</v>
      </c>
      <c r="D9" s="62">
        <f>D6*C9</f>
        <v>23.73</v>
      </c>
      <c r="F9" s="55" t="s">
        <v>133</v>
      </c>
      <c r="G9" s="61">
        <v>0.023730000000000001</v>
      </c>
      <c r="H9" s="62">
        <f>H6*G9</f>
        <v>23.73</v>
      </c>
      <c r="J9" s="55" t="s">
        <v>133</v>
      </c>
      <c r="K9" s="61">
        <v>0.023730000000000001</v>
      </c>
      <c r="L9" s="62">
        <f>L6*K9</f>
        <v>23.73</v>
      </c>
      <c r="N9" s="55" t="s">
        <v>133</v>
      </c>
      <c r="O9" s="61">
        <v>0.023730000000000001</v>
      </c>
      <c r="P9" s="62">
        <f>P6*O9</f>
        <v>23.73</v>
      </c>
      <c r="R9" s="55" t="s">
        <v>133</v>
      </c>
      <c r="S9" s="61">
        <v>0.023730000000000001</v>
      </c>
      <c r="T9" s="62">
        <f>T6*S9</f>
        <v>23.73</v>
      </c>
    </row>
    <row r="10" spans="2:20" ht="15.75">
      <c r="B10" s="55" t="s">
        <v>134</v>
      </c>
      <c r="C10" s="61">
        <v>0.069889999999999994</v>
      </c>
      <c r="D10" s="62">
        <f>D6*C10</f>
        <v>69.890000000000001</v>
      </c>
      <c r="F10" s="55" t="s">
        <v>134</v>
      </c>
      <c r="G10" s="61">
        <v>0.069889999999999994</v>
      </c>
      <c r="H10" s="62">
        <f>H6*G10</f>
        <v>69.890000000000001</v>
      </c>
      <c r="J10" s="55" t="s">
        <v>134</v>
      </c>
      <c r="K10" s="61">
        <v>0.069889999999999994</v>
      </c>
      <c r="L10" s="62">
        <f>L6*K10</f>
        <v>69.890000000000001</v>
      </c>
      <c r="N10" s="55" t="s">
        <v>134</v>
      </c>
      <c r="O10" s="61">
        <v>0.069889999999999994</v>
      </c>
      <c r="P10" s="62">
        <f>P6*O10</f>
        <v>69.890000000000001</v>
      </c>
      <c r="R10" s="55" t="s">
        <v>134</v>
      </c>
      <c r="S10" s="61">
        <v>0.069889999999999994</v>
      </c>
      <c r="T10" s="62">
        <f>T6*S10</f>
        <v>69.890000000000001</v>
      </c>
    </row>
    <row r="11" spans="2:20" ht="15.75">
      <c r="B11" s="55" t="s">
        <v>135</v>
      </c>
      <c r="C11" s="61">
        <v>0.00134</v>
      </c>
      <c r="D11" s="62">
        <f>D6*C11</f>
        <v>1.3400000000000001</v>
      </c>
      <c r="F11" s="55" t="s">
        <v>135</v>
      </c>
      <c r="G11" s="61">
        <v>0.00134</v>
      </c>
      <c r="H11" s="62">
        <f>H6*G11</f>
        <v>1.3400000000000001</v>
      </c>
      <c r="J11" s="55" t="s">
        <v>135</v>
      </c>
      <c r="K11" s="61">
        <v>0.00134</v>
      </c>
      <c r="L11" s="62">
        <f>L6*K11</f>
        <v>1.3400000000000001</v>
      </c>
      <c r="N11" s="55" t="s">
        <v>135</v>
      </c>
      <c r="O11" s="61">
        <v>0.00134</v>
      </c>
      <c r="P11" s="62">
        <f>P6*O11</f>
        <v>1.3400000000000001</v>
      </c>
      <c r="R11" s="55" t="s">
        <v>135</v>
      </c>
      <c r="S11" s="61">
        <v>0.00134</v>
      </c>
      <c r="T11" s="62">
        <f>T6*S11</f>
        <v>1.3400000000000001</v>
      </c>
    </row>
    <row r="12" spans="2:20" ht="15.75">
      <c r="B12" s="55" t="s">
        <v>136</v>
      </c>
      <c r="C12" s="61">
        <v>0.012800000000000001</v>
      </c>
      <c r="D12" s="62">
        <f>D$6*C12</f>
        <v>12.800000000000001</v>
      </c>
      <c r="F12" s="55" t="s">
        <v>136</v>
      </c>
      <c r="G12" s="61">
        <v>0.012800000000000001</v>
      </c>
      <c r="H12" s="62">
        <f>H$6*G12</f>
        <v>12.800000000000001</v>
      </c>
      <c r="J12" s="55" t="s">
        <v>136</v>
      </c>
      <c r="K12" s="61">
        <v>0.012800000000000001</v>
      </c>
      <c r="L12" s="62">
        <f>L$6*K12</f>
        <v>12.800000000000001</v>
      </c>
      <c r="N12" s="55" t="s">
        <v>136</v>
      </c>
      <c r="O12" s="61">
        <v>0.012800000000000001</v>
      </c>
      <c r="P12" s="62">
        <f>P$6*O12</f>
        <v>12.800000000000001</v>
      </c>
      <c r="R12" s="55" t="s">
        <v>136</v>
      </c>
      <c r="S12" s="61">
        <v>0.012800000000000001</v>
      </c>
      <c r="T12" s="62">
        <f>T$6*S12</f>
        <v>12.800000000000001</v>
      </c>
    </row>
    <row r="13" spans="2:20" ht="15.75">
      <c r="B13" s="55" t="s">
        <v>68</v>
      </c>
      <c r="C13" s="61">
        <f>'Uniform Rate Inc'!I13</f>
        <v>0.0025279446378235989</v>
      </c>
      <c r="D13" s="62">
        <f>D$6*C13</f>
        <v>2.527944637823599</v>
      </c>
      <c r="F13" s="55" t="s">
        <v>68</v>
      </c>
      <c r="G13" s="61">
        <f>'Uniform Rate Inc'!I24</f>
        <v>0.003323431119516941</v>
      </c>
      <c r="H13" s="62">
        <f>H$6*G13</f>
        <v>3.323431119516941</v>
      </c>
      <c r="J13" s="55" t="s">
        <v>68</v>
      </c>
      <c r="K13" s="61">
        <f>'Uniform Rate Inc'!I35</f>
        <v>0.0058213170226186902</v>
      </c>
      <c r="L13" s="62">
        <f>L$6*K13</f>
        <v>5.8213170226186906</v>
      </c>
      <c r="N13" s="55" t="s">
        <v>68</v>
      </c>
      <c r="O13" s="61">
        <f>'Uniform Rate Inc'!I46</f>
        <v>0.013439708781800756</v>
      </c>
      <c r="P13" s="62">
        <f>P$6*O13</f>
        <v>13.439708781800755</v>
      </c>
      <c r="R13" s="55" t="s">
        <v>68</v>
      </c>
      <c r="S13" s="61">
        <f>'Uniform Rate Inc'!I57</f>
        <v>0.02312017642644754</v>
      </c>
      <c r="T13" s="62">
        <f>T$6*S13</f>
        <v>23.120176426447539</v>
      </c>
    </row>
    <row r="14" spans="2:20" ht="15.75">
      <c r="B14" s="55" t="s">
        <v>129</v>
      </c>
      <c r="C14" s="63"/>
      <c r="D14" s="58" t="s">
        <v>129</v>
      </c>
      <c r="F14" s="55" t="s">
        <v>129</v>
      </c>
      <c r="G14" s="63"/>
      <c r="H14" s="58" t="s">
        <v>129</v>
      </c>
      <c r="J14" s="55" t="s">
        <v>129</v>
      </c>
      <c r="K14" s="63"/>
      <c r="L14" s="58" t="s">
        <v>129</v>
      </c>
      <c r="N14" s="55" t="s">
        <v>129</v>
      </c>
      <c r="O14" s="63"/>
      <c r="P14" s="58" t="s">
        <v>129</v>
      </c>
      <c r="R14" s="55" t="s">
        <v>129</v>
      </c>
      <c r="S14" s="63"/>
      <c r="T14" s="58" t="s">
        <v>129</v>
      </c>
    </row>
    <row r="15" spans="2:20" ht="15.75">
      <c r="B15" s="55" t="s">
        <v>129</v>
      </c>
      <c r="C15" s="63"/>
      <c r="D15" s="58" t="s">
        <v>129</v>
      </c>
      <c r="F15" s="55" t="s">
        <v>129</v>
      </c>
      <c r="G15" s="63"/>
      <c r="H15" s="58" t="s">
        <v>129</v>
      </c>
      <c r="J15" s="55" t="s">
        <v>129</v>
      </c>
      <c r="K15" s="63"/>
      <c r="L15" s="58" t="s">
        <v>129</v>
      </c>
      <c r="N15" s="55" t="s">
        <v>129</v>
      </c>
      <c r="O15" s="63"/>
      <c r="P15" s="58" t="s">
        <v>129</v>
      </c>
      <c r="R15" s="55" t="s">
        <v>129</v>
      </c>
      <c r="S15" s="63"/>
      <c r="T15" s="58" t="s">
        <v>129</v>
      </c>
    </row>
    <row r="16" spans="2:20" ht="15.75">
      <c r="B16" s="55" t="s">
        <v>129</v>
      </c>
      <c r="C16" s="63"/>
      <c r="D16" s="58" t="s">
        <v>129</v>
      </c>
      <c r="F16" s="55" t="s">
        <v>129</v>
      </c>
      <c r="G16" s="63"/>
      <c r="H16" s="58" t="s">
        <v>129</v>
      </c>
      <c r="J16" s="55" t="s">
        <v>129</v>
      </c>
      <c r="K16" s="63"/>
      <c r="L16" s="58" t="s">
        <v>129</v>
      </c>
      <c r="N16" s="55" t="s">
        <v>129</v>
      </c>
      <c r="O16" s="63"/>
      <c r="P16" s="58" t="s">
        <v>129</v>
      </c>
      <c r="R16" s="55" t="s">
        <v>129</v>
      </c>
      <c r="S16" s="63"/>
      <c r="T16" s="58" t="s">
        <v>129</v>
      </c>
    </row>
    <row r="17" spans="2:20" ht="15.75">
      <c r="B17" s="55" t="s">
        <v>129</v>
      </c>
      <c r="C17" s="63"/>
      <c r="D17" s="58" t="s">
        <v>129</v>
      </c>
      <c r="F17" s="55" t="s">
        <v>129</v>
      </c>
      <c r="G17" s="63"/>
      <c r="H17" s="58" t="s">
        <v>129</v>
      </c>
      <c r="J17" s="55" t="s">
        <v>129</v>
      </c>
      <c r="K17" s="63"/>
      <c r="L17" s="58" t="s">
        <v>129</v>
      </c>
      <c r="N17" s="55" t="s">
        <v>129</v>
      </c>
      <c r="O17" s="63"/>
      <c r="P17" s="58" t="s">
        <v>129</v>
      </c>
      <c r="R17" s="55" t="s">
        <v>129</v>
      </c>
      <c r="S17" s="63"/>
      <c r="T17" s="58" t="s">
        <v>129</v>
      </c>
    </row>
    <row r="18" spans="2:20" ht="15.75">
      <c r="B18" s="52" t="s">
        <v>129</v>
      </c>
      <c r="C18" s="64" t="s">
        <v>129</v>
      </c>
      <c r="D18" s="65" t="s">
        <v>129</v>
      </c>
      <c r="F18" s="52" t="s">
        <v>129</v>
      </c>
      <c r="G18" s="64" t="s">
        <v>129</v>
      </c>
      <c r="H18" s="65" t="s">
        <v>129</v>
      </c>
      <c r="J18" s="52" t="s">
        <v>129</v>
      </c>
      <c r="K18" s="64" t="s">
        <v>129</v>
      </c>
      <c r="L18" s="65" t="s">
        <v>129</v>
      </c>
      <c r="N18" s="52" t="s">
        <v>129</v>
      </c>
      <c r="O18" s="64" t="s">
        <v>129</v>
      </c>
      <c r="P18" s="65" t="s">
        <v>129</v>
      </c>
      <c r="R18" s="52" t="s">
        <v>129</v>
      </c>
      <c r="S18" s="64" t="s">
        <v>129</v>
      </c>
      <c r="T18" s="65" t="s">
        <v>129</v>
      </c>
    </row>
    <row r="19" spans="2:20" ht="15.75">
      <c r="B19" s="53"/>
      <c r="C19" s="53" t="s">
        <v>137</v>
      </c>
      <c r="D19" s="66">
        <f>SUM(D8:D13)</f>
        <v>127.23794463782359</v>
      </c>
      <c r="F19" s="53"/>
      <c r="G19" s="53" t="s">
        <v>137</v>
      </c>
      <c r="H19" s="66">
        <f>SUM(H8:H13)</f>
        <v>128.03343111951693</v>
      </c>
      <c r="J19" s="53"/>
      <c r="K19" s="53" t="s">
        <v>137</v>
      </c>
      <c r="L19" s="66">
        <f>SUM(L8:L13)</f>
        <v>130.53131702261868</v>
      </c>
      <c r="N19" s="53"/>
      <c r="O19" s="53" t="s">
        <v>137</v>
      </c>
      <c r="P19" s="66">
        <f>SUM(P8:P13)</f>
        <v>138.14970878180074</v>
      </c>
      <c r="R19" s="53"/>
      <c r="S19" s="53" t="s">
        <v>137</v>
      </c>
      <c r="T19" s="66">
        <f>SUM(T8:T13)</f>
        <v>147.83017642644754</v>
      </c>
    </row>
    <row r="20" spans="2:20" ht="15.75">
      <c r="B20" s="67"/>
      <c r="C20" s="53" t="s">
        <v>138</v>
      </c>
      <c r="D20" s="66">
        <f>D19*12</f>
        <v>1526.855335653883</v>
      </c>
      <c r="F20" s="67"/>
      <c r="G20" s="53" t="s">
        <v>138</v>
      </c>
      <c r="H20" s="66">
        <f>H19*12</f>
        <v>1536.4011734342032</v>
      </c>
      <c r="J20" s="67"/>
      <c r="K20" s="53" t="s">
        <v>138</v>
      </c>
      <c r="L20" s="66">
        <f>L19*12</f>
        <v>1566.3758042714242</v>
      </c>
      <c r="N20" s="67"/>
      <c r="O20" s="53" t="s">
        <v>138</v>
      </c>
      <c r="P20" s="66">
        <f>P19*12</f>
        <v>1657.7965053816088</v>
      </c>
      <c r="R20" s="67"/>
      <c r="S20" s="53" t="s">
        <v>138</v>
      </c>
      <c r="T20" s="66">
        <f>T19*12</f>
        <v>1773.9621171173703</v>
      </c>
    </row>
    <row r="21" spans="2:20" ht="15.75">
      <c r="B21" s="67"/>
      <c r="C21" s="68" t="s">
        <v>139</v>
      </c>
      <c r="D21" s="69">
        <f>D13/(D19-D13)</f>
        <v>0.020270584859462745</v>
      </c>
      <c r="F21" s="67"/>
      <c r="G21" s="68" t="s">
        <v>139</v>
      </c>
      <c r="H21" s="69">
        <f>H13/(H19-H13)</f>
        <v>0.026649275274773003</v>
      </c>
      <c r="J21" s="67"/>
      <c r="K21" s="68" t="s">
        <v>139</v>
      </c>
      <c r="L21" s="69">
        <f>L13/(L19-L13)</f>
        <v>0.046678831069029675</v>
      </c>
      <c r="N21" s="67"/>
      <c r="O21" s="68" t="s">
        <v>139</v>
      </c>
      <c r="P21" s="69">
        <f>P13/(P19-P13)</f>
        <v>0.10776769129821792</v>
      </c>
      <c r="R21" s="67"/>
      <c r="S21" s="68" t="s">
        <v>139</v>
      </c>
      <c r="T21" s="69">
        <f>T13/(T19-T13)</f>
        <v>0.18539151973737103</v>
      </c>
    </row>
    <row r="22" spans="2:4" ht="15">
      <c r="B22" s="70"/>
      <c r="C22" s="70"/>
      <c r="D22" s="70"/>
    </row>
    <row r="23" spans="2:4" ht="15" thickBot="1">
      <c r="B23" s="70"/>
      <c r="C23" s="70"/>
      <c r="D23" s="70"/>
    </row>
    <row r="24" spans="2:20" ht="18.75" thickBot="1">
      <c r="B24" s="182" t="s">
        <v>123</v>
      </c>
      <c r="C24" s="183"/>
      <c r="D24" s="184"/>
      <c r="F24" s="182" t="s">
        <v>124</v>
      </c>
      <c r="G24" s="183"/>
      <c r="H24" s="184"/>
      <c r="J24" s="182" t="s">
        <v>125</v>
      </c>
      <c r="K24" s="183"/>
      <c r="L24" s="184"/>
      <c r="N24" s="182" t="s">
        <v>126</v>
      </c>
      <c r="O24" s="183"/>
      <c r="P24" s="184"/>
      <c r="R24" s="182" t="s">
        <v>127</v>
      </c>
      <c r="S24" s="183"/>
      <c r="T24" s="184"/>
    </row>
    <row r="25" spans="2:20" ht="15.75">
      <c r="B25" s="52" t="s">
        <v>140</v>
      </c>
      <c r="C25" s="53"/>
      <c r="D25" s="54" t="s">
        <v>129</v>
      </c>
      <c r="F25" s="52" t="s">
        <v>140</v>
      </c>
      <c r="G25" s="53"/>
      <c r="H25" s="54" t="s">
        <v>129</v>
      </c>
      <c r="J25" s="52" t="s">
        <v>140</v>
      </c>
      <c r="K25" s="53"/>
      <c r="L25" s="54" t="s">
        <v>129</v>
      </c>
      <c r="N25" s="52" t="s">
        <v>140</v>
      </c>
      <c r="O25" s="53"/>
      <c r="P25" s="54" t="s">
        <v>129</v>
      </c>
      <c r="R25" s="52" t="s">
        <v>140</v>
      </c>
      <c r="S25" s="53"/>
      <c r="T25" s="54" t="s">
        <v>129</v>
      </c>
    </row>
    <row r="26" spans="2:20" ht="15.75">
      <c r="B26" s="55" t="s">
        <v>129</v>
      </c>
      <c r="C26" s="56" t="s">
        <v>130</v>
      </c>
      <c r="D26" s="57">
        <v>2250</v>
      </c>
      <c r="F26" s="55" t="s">
        <v>129</v>
      </c>
      <c r="G26" s="56" t="s">
        <v>130</v>
      </c>
      <c r="H26" s="57">
        <v>2250</v>
      </c>
      <c r="J26" s="55" t="s">
        <v>129</v>
      </c>
      <c r="K26" s="56" t="s">
        <v>130</v>
      </c>
      <c r="L26" s="57">
        <v>2250</v>
      </c>
      <c r="N26" s="55" t="s">
        <v>129</v>
      </c>
      <c r="O26" s="56" t="s">
        <v>130</v>
      </c>
      <c r="P26" s="57">
        <v>2250</v>
      </c>
      <c r="R26" s="55" t="s">
        <v>129</v>
      </c>
      <c r="S26" s="56" t="s">
        <v>130</v>
      </c>
      <c r="T26" s="57">
        <v>2250</v>
      </c>
    </row>
    <row r="27" spans="2:20" ht="15.75">
      <c r="B27" s="55" t="s">
        <v>129</v>
      </c>
      <c r="C27" s="53" t="s">
        <v>44</v>
      </c>
      <c r="D27" s="58" t="s">
        <v>131</v>
      </c>
      <c r="F27" s="55" t="s">
        <v>129</v>
      </c>
      <c r="G27" s="53" t="s">
        <v>44</v>
      </c>
      <c r="H27" s="58" t="s">
        <v>131</v>
      </c>
      <c r="J27" s="55" t="s">
        <v>129</v>
      </c>
      <c r="K27" s="53" t="s">
        <v>44</v>
      </c>
      <c r="L27" s="58" t="s">
        <v>131</v>
      </c>
      <c r="N27" s="55" t="s">
        <v>129</v>
      </c>
      <c r="O27" s="53" t="s">
        <v>44</v>
      </c>
      <c r="P27" s="58" t="s">
        <v>131</v>
      </c>
      <c r="R27" s="55" t="s">
        <v>129</v>
      </c>
      <c r="S27" s="53" t="s">
        <v>44</v>
      </c>
      <c r="T27" s="58" t="s">
        <v>131</v>
      </c>
    </row>
    <row r="28" spans="2:20" ht="15.75">
      <c r="B28" s="55" t="s">
        <v>132</v>
      </c>
      <c r="C28" s="59">
        <v>27.850000000000001</v>
      </c>
      <c r="D28" s="60">
        <f>C28</f>
        <v>27.850000000000001</v>
      </c>
      <c r="F28" s="55" t="s">
        <v>132</v>
      </c>
      <c r="G28" s="59">
        <v>27.850000000000001</v>
      </c>
      <c r="H28" s="60">
        <f>G28</f>
        <v>27.850000000000001</v>
      </c>
      <c r="J28" s="55" t="s">
        <v>132</v>
      </c>
      <c r="K28" s="59">
        <v>27.850000000000001</v>
      </c>
      <c r="L28" s="60">
        <f>K28</f>
        <v>27.850000000000001</v>
      </c>
      <c r="N28" s="55" t="s">
        <v>132</v>
      </c>
      <c r="O28" s="59">
        <v>27.850000000000001</v>
      </c>
      <c r="P28" s="60">
        <f>O28</f>
        <v>27.850000000000001</v>
      </c>
      <c r="R28" s="55" t="s">
        <v>132</v>
      </c>
      <c r="S28" s="59">
        <v>27.850000000000001</v>
      </c>
      <c r="T28" s="60">
        <f>S28</f>
        <v>27.850000000000001</v>
      </c>
    </row>
    <row r="29" spans="2:20" ht="15.75">
      <c r="B29" s="55" t="s">
        <v>133</v>
      </c>
      <c r="C29" s="61">
        <v>0.02903</v>
      </c>
      <c r="D29" s="62">
        <f>D26*C29</f>
        <v>65.317499999999995</v>
      </c>
      <c r="F29" s="55" t="s">
        <v>133</v>
      </c>
      <c r="G29" s="61">
        <v>0.02903</v>
      </c>
      <c r="H29" s="62">
        <f>H26*G29</f>
        <v>65.317499999999995</v>
      </c>
      <c r="J29" s="55" t="s">
        <v>133</v>
      </c>
      <c r="K29" s="61">
        <v>0.02903</v>
      </c>
      <c r="L29" s="62">
        <f>L26*K29</f>
        <v>65.317499999999995</v>
      </c>
      <c r="N29" s="55" t="s">
        <v>133</v>
      </c>
      <c r="O29" s="61">
        <v>0.02903</v>
      </c>
      <c r="P29" s="62">
        <f>P26*O29</f>
        <v>65.317499999999995</v>
      </c>
      <c r="R29" s="55" t="s">
        <v>133</v>
      </c>
      <c r="S29" s="61">
        <v>0.02903</v>
      </c>
      <c r="T29" s="62">
        <f>T26*S29</f>
        <v>65.317499999999995</v>
      </c>
    </row>
    <row r="30" spans="2:20" ht="15.75">
      <c r="B30" s="55" t="s">
        <v>134</v>
      </c>
      <c r="C30" s="61">
        <v>0.073889999999999997</v>
      </c>
      <c r="D30" s="62">
        <f>D26*C30</f>
        <v>166.2525</v>
      </c>
      <c r="F30" s="55" t="s">
        <v>134</v>
      </c>
      <c r="G30" s="61">
        <v>0.073889999999999997</v>
      </c>
      <c r="H30" s="62">
        <f>H26*G30</f>
        <v>166.2525</v>
      </c>
      <c r="J30" s="55" t="s">
        <v>134</v>
      </c>
      <c r="K30" s="61">
        <v>0.073889999999999997</v>
      </c>
      <c r="L30" s="62">
        <f>L26*K30</f>
        <v>166.2525</v>
      </c>
      <c r="N30" s="55" t="s">
        <v>134</v>
      </c>
      <c r="O30" s="61">
        <v>0.073889999999999997</v>
      </c>
      <c r="P30" s="62">
        <f>P26*O30</f>
        <v>166.2525</v>
      </c>
      <c r="R30" s="55" t="s">
        <v>134</v>
      </c>
      <c r="S30" s="61">
        <v>0.073889999999999997</v>
      </c>
      <c r="T30" s="62">
        <f>T26*S30</f>
        <v>166.2525</v>
      </c>
    </row>
    <row r="31" spans="2:20" ht="15.75">
      <c r="B31" s="55" t="s">
        <v>135</v>
      </c>
      <c r="C31" s="61">
        <v>0.00134</v>
      </c>
      <c r="D31" s="62">
        <f>D26*C31</f>
        <v>3.0150000000000001</v>
      </c>
      <c r="F31" s="55" t="s">
        <v>135</v>
      </c>
      <c r="G31" s="61">
        <v>0.00134</v>
      </c>
      <c r="H31" s="62">
        <f>H26*G31</f>
        <v>3.0150000000000001</v>
      </c>
      <c r="J31" s="55" t="s">
        <v>135</v>
      </c>
      <c r="K31" s="61">
        <v>0.00134</v>
      </c>
      <c r="L31" s="62">
        <f>L26*K31</f>
        <v>3.0150000000000001</v>
      </c>
      <c r="N31" s="55" t="s">
        <v>135</v>
      </c>
      <c r="O31" s="61">
        <v>0.00134</v>
      </c>
      <c r="P31" s="62">
        <f>P26*O31</f>
        <v>3.0150000000000001</v>
      </c>
      <c r="R31" s="55" t="s">
        <v>135</v>
      </c>
      <c r="S31" s="61">
        <v>0.00134</v>
      </c>
      <c r="T31" s="62">
        <f>T26*S31</f>
        <v>3.0150000000000001</v>
      </c>
    </row>
    <row r="32" spans="2:20" ht="15.75">
      <c r="B32" s="55" t="s">
        <v>136</v>
      </c>
      <c r="C32" s="61">
        <v>0.012800000000000001</v>
      </c>
      <c r="D32" s="62">
        <f>D26*C32</f>
        <v>28.800000000000001</v>
      </c>
      <c r="F32" s="55" t="s">
        <v>136</v>
      </c>
      <c r="G32" s="61">
        <v>0.012800000000000001</v>
      </c>
      <c r="H32" s="62">
        <f>H26*G32</f>
        <v>28.800000000000001</v>
      </c>
      <c r="J32" s="55" t="s">
        <v>136</v>
      </c>
      <c r="K32" s="61">
        <v>0.012800000000000001</v>
      </c>
      <c r="L32" s="62">
        <f>L26*K32</f>
        <v>28.800000000000001</v>
      </c>
      <c r="N32" s="55" t="s">
        <v>136</v>
      </c>
      <c r="O32" s="61">
        <v>0.012800000000000001</v>
      </c>
      <c r="P32" s="62">
        <f>P26*O32</f>
        <v>28.800000000000001</v>
      </c>
      <c r="R32" s="55" t="s">
        <v>136</v>
      </c>
      <c r="S32" s="61">
        <v>0.012800000000000001</v>
      </c>
      <c r="T32" s="62">
        <f>T26*S32</f>
        <v>28.800000000000001</v>
      </c>
    </row>
    <row r="33" spans="2:20" ht="15.75">
      <c r="B33" s="55" t="s">
        <v>68</v>
      </c>
      <c r="C33" s="61">
        <f>'Uniform Rate Inc'!I13</f>
        <v>0.0025279446378235989</v>
      </c>
      <c r="D33" s="62">
        <f>D26*C33</f>
        <v>5.6878754351030976</v>
      </c>
      <c r="F33" s="55" t="s">
        <v>68</v>
      </c>
      <c r="G33" s="61">
        <f>'Uniform Rate Inc'!I24</f>
        <v>0.003323431119516941</v>
      </c>
      <c r="H33" s="62">
        <f>H26*G33</f>
        <v>7.477720018913117</v>
      </c>
      <c r="J33" s="55" t="s">
        <v>68</v>
      </c>
      <c r="K33" s="61">
        <f>'Uniform Rate Inc'!I35</f>
        <v>0.0058213170226186902</v>
      </c>
      <c r="L33" s="62">
        <f>L26*K33</f>
        <v>13.097963300892053</v>
      </c>
      <c r="N33" s="55" t="s">
        <v>68</v>
      </c>
      <c r="O33" s="61">
        <f>'Uniform Rate Inc'!I46</f>
        <v>0.013439708781800756</v>
      </c>
      <c r="P33" s="62">
        <f>P26*O33</f>
        <v>30.239344759051701</v>
      </c>
      <c r="R33" s="55" t="s">
        <v>68</v>
      </c>
      <c r="S33" s="61">
        <f>'Uniform Rate Inc'!I57</f>
        <v>0.02312017642644754</v>
      </c>
      <c r="T33" s="62">
        <f>T26*S33</f>
        <v>52.020396959506961</v>
      </c>
    </row>
    <row r="34" spans="2:20" ht="15.75">
      <c r="B34" s="55" t="s">
        <v>129</v>
      </c>
      <c r="C34" s="63"/>
      <c r="D34" s="58" t="s">
        <v>129</v>
      </c>
      <c r="F34" s="55" t="s">
        <v>129</v>
      </c>
      <c r="G34" s="63"/>
      <c r="H34" s="58" t="s">
        <v>129</v>
      </c>
      <c r="J34" s="55" t="s">
        <v>129</v>
      </c>
      <c r="K34" s="63"/>
      <c r="L34" s="58" t="s">
        <v>129</v>
      </c>
      <c r="N34" s="55" t="s">
        <v>129</v>
      </c>
      <c r="O34" s="63"/>
      <c r="P34" s="58" t="s">
        <v>129</v>
      </c>
      <c r="R34" s="55" t="s">
        <v>129</v>
      </c>
      <c r="S34" s="63"/>
      <c r="T34" s="58" t="s">
        <v>129</v>
      </c>
    </row>
    <row r="35" spans="2:20" ht="15.75">
      <c r="B35" s="55" t="s">
        <v>129</v>
      </c>
      <c r="C35" s="63"/>
      <c r="D35" s="58" t="s">
        <v>129</v>
      </c>
      <c r="F35" s="55" t="s">
        <v>129</v>
      </c>
      <c r="G35" s="63"/>
      <c r="H35" s="58" t="s">
        <v>129</v>
      </c>
      <c r="J35" s="55" t="s">
        <v>129</v>
      </c>
      <c r="K35" s="63"/>
      <c r="L35" s="58" t="s">
        <v>129</v>
      </c>
      <c r="N35" s="55" t="s">
        <v>129</v>
      </c>
      <c r="O35" s="63"/>
      <c r="P35" s="58" t="s">
        <v>129</v>
      </c>
      <c r="R35" s="55" t="s">
        <v>129</v>
      </c>
      <c r="S35" s="63"/>
      <c r="T35" s="58" t="s">
        <v>129</v>
      </c>
    </row>
    <row r="36" spans="2:20" ht="15.75">
      <c r="B36" s="55" t="s">
        <v>129</v>
      </c>
      <c r="C36" s="63"/>
      <c r="D36" s="58" t="s">
        <v>129</v>
      </c>
      <c r="F36" s="55" t="s">
        <v>129</v>
      </c>
      <c r="G36" s="63"/>
      <c r="H36" s="58" t="s">
        <v>129</v>
      </c>
      <c r="J36" s="55" t="s">
        <v>129</v>
      </c>
      <c r="K36" s="63"/>
      <c r="L36" s="58" t="s">
        <v>129</v>
      </c>
      <c r="N36" s="55" t="s">
        <v>129</v>
      </c>
      <c r="O36" s="63"/>
      <c r="P36" s="58" t="s">
        <v>129</v>
      </c>
      <c r="R36" s="55" t="s">
        <v>129</v>
      </c>
      <c r="S36" s="63"/>
      <c r="T36" s="58" t="s">
        <v>129</v>
      </c>
    </row>
    <row r="37" spans="2:20" ht="15.75">
      <c r="B37" s="55" t="s">
        <v>129</v>
      </c>
      <c r="C37" s="63"/>
      <c r="D37" s="58" t="s">
        <v>129</v>
      </c>
      <c r="F37" s="55" t="s">
        <v>129</v>
      </c>
      <c r="G37" s="63"/>
      <c r="H37" s="58" t="s">
        <v>129</v>
      </c>
      <c r="J37" s="55" t="s">
        <v>129</v>
      </c>
      <c r="K37" s="63"/>
      <c r="L37" s="58" t="s">
        <v>129</v>
      </c>
      <c r="N37" s="55" t="s">
        <v>129</v>
      </c>
      <c r="O37" s="63"/>
      <c r="P37" s="58" t="s">
        <v>129</v>
      </c>
      <c r="R37" s="55" t="s">
        <v>129</v>
      </c>
      <c r="S37" s="63"/>
      <c r="T37" s="58" t="s">
        <v>129</v>
      </c>
    </row>
    <row r="38" spans="2:20" ht="15.75">
      <c r="B38" s="52" t="s">
        <v>129</v>
      </c>
      <c r="C38" s="64" t="s">
        <v>129</v>
      </c>
      <c r="D38" s="65" t="s">
        <v>129</v>
      </c>
      <c r="F38" s="52" t="s">
        <v>129</v>
      </c>
      <c r="G38" s="64" t="s">
        <v>129</v>
      </c>
      <c r="H38" s="65" t="s">
        <v>129</v>
      </c>
      <c r="J38" s="52" t="s">
        <v>129</v>
      </c>
      <c r="K38" s="64" t="s">
        <v>129</v>
      </c>
      <c r="L38" s="65" t="s">
        <v>129</v>
      </c>
      <c r="N38" s="52" t="s">
        <v>129</v>
      </c>
      <c r="O38" s="64" t="s">
        <v>129</v>
      </c>
      <c r="P38" s="65" t="s">
        <v>129</v>
      </c>
      <c r="R38" s="52" t="s">
        <v>129</v>
      </c>
      <c r="S38" s="64" t="s">
        <v>129</v>
      </c>
      <c r="T38" s="65" t="s">
        <v>129</v>
      </c>
    </row>
    <row r="39" spans="2:20" ht="15.75">
      <c r="B39" s="53"/>
      <c r="C39" s="53" t="s">
        <v>137</v>
      </c>
      <c r="D39" s="66">
        <f>SUM(D28:D38)</f>
        <v>296.92287543510304</v>
      </c>
      <c r="F39" s="53"/>
      <c r="G39" s="53" t="s">
        <v>137</v>
      </c>
      <c r="H39" s="66">
        <f>SUM(H28:H38)</f>
        <v>298.71272001891305</v>
      </c>
      <c r="J39" s="53"/>
      <c r="K39" s="53" t="s">
        <v>137</v>
      </c>
      <c r="L39" s="66">
        <f>SUM(L28:L38)</f>
        <v>304.332963300892</v>
      </c>
      <c r="N39" s="53"/>
      <c r="O39" s="53" t="s">
        <v>137</v>
      </c>
      <c r="P39" s="66">
        <f>SUM(P28:P38)</f>
        <v>321.47434475905163</v>
      </c>
      <c r="R39" s="53"/>
      <c r="S39" s="53" t="s">
        <v>137</v>
      </c>
      <c r="T39" s="66">
        <f>SUM(T28:T38)</f>
        <v>343.25539695950692</v>
      </c>
    </row>
    <row r="40" spans="2:20" ht="15.75">
      <c r="B40" s="67"/>
      <c r="C40" s="53" t="s">
        <v>138</v>
      </c>
      <c r="D40" s="66">
        <f>D39*12</f>
        <v>3563.0745052212364</v>
      </c>
      <c r="F40" s="67"/>
      <c r="G40" s="53" t="s">
        <v>138</v>
      </c>
      <c r="H40" s="66">
        <f>H39*12</f>
        <v>3584.5526402269566</v>
      </c>
      <c r="J40" s="67"/>
      <c r="K40" s="53" t="s">
        <v>138</v>
      </c>
      <c r="L40" s="66">
        <f>L39*12</f>
        <v>3651.9955596107038</v>
      </c>
      <c r="N40" s="67"/>
      <c r="O40" s="53" t="s">
        <v>138</v>
      </c>
      <c r="P40" s="66">
        <f>P39*12</f>
        <v>3857.6921371086196</v>
      </c>
      <c r="R40" s="67"/>
      <c r="S40" s="53" t="s">
        <v>138</v>
      </c>
      <c r="T40" s="66">
        <f>T39*12</f>
        <v>4119.0647635140831</v>
      </c>
    </row>
    <row r="41" spans="2:20" ht="15.75">
      <c r="B41" s="67"/>
      <c r="C41" s="68" t="s">
        <v>139</v>
      </c>
      <c r="D41" s="69">
        <f>D33/(D39-D33)</f>
        <v>0.019530191890065062</v>
      </c>
      <c r="F41" s="67"/>
      <c r="G41" s="68" t="s">
        <v>139</v>
      </c>
      <c r="H41" s="69">
        <f>H33/(H39-H33)</f>
        <v>0.025675897536055481</v>
      </c>
      <c r="J41" s="67"/>
      <c r="K41" s="68" t="s">
        <v>139</v>
      </c>
      <c r="L41" s="69">
        <f>L33/(L39-L33)</f>
        <v>0.044973864064731417</v>
      </c>
      <c r="N41" s="67"/>
      <c r="O41" s="68" t="s">
        <v>139</v>
      </c>
      <c r="P41" s="69">
        <f>P33/(P39-P33)</f>
        <v>0.10383142396707712</v>
      </c>
      <c r="R41" s="67"/>
      <c r="S41" s="68" t="s">
        <v>139</v>
      </c>
      <c r="T41" s="69">
        <f>T33/(T39-T33)</f>
        <v>0.17862000432471017</v>
      </c>
    </row>
  </sheetData>
  <mergeCells count="10">
    <mergeCell ref="B4:D4"/>
    <mergeCell ref="B24:D24"/>
    <mergeCell ref="F4:H4"/>
    <mergeCell ref="J4:L4"/>
    <mergeCell ref="N4:P4"/>
    <mergeCell ref="R4:T4"/>
    <mergeCell ref="F24:H24"/>
    <mergeCell ref="J24:L24"/>
    <mergeCell ref="N24:P24"/>
    <mergeCell ref="R24:T2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N58"/>
  <sheetViews>
    <sheetView zoomScale="150" zoomScaleNormal="150" workbookViewId="0" topLeftCell="C27">
      <selection pane="topLeft" activeCell="N40" sqref="N40"/>
    </sheetView>
  </sheetViews>
  <sheetFormatPr defaultColWidth="9.14428571428571" defaultRowHeight="15"/>
  <cols>
    <col min="1" max="1" width="3.28571428571429" style="84" customWidth="1"/>
    <col min="2" max="2" width="48.5714285714286" style="84" customWidth="1"/>
    <col min="3" max="3" width="14.4285714285714" style="84" customWidth="1"/>
    <col min="4" max="4" width="14.1428571428571" style="84" customWidth="1"/>
    <col min="5" max="5" width="15.8571428571429" style="84" hidden="1" customWidth="1"/>
    <col min="6" max="6" width="11.2857142857143" style="84" customWidth="1"/>
    <col min="7" max="7" width="11.8571428571429" style="84" hidden="1" customWidth="1"/>
    <col min="8" max="8" width="12.7142857142857" style="84" customWidth="1"/>
    <col min="9" max="9" width="10.8571428571429" style="84" customWidth="1"/>
    <col min="10" max="10" width="10.5714285714286" style="84" customWidth="1"/>
    <col min="11" max="11" width="11.8571428571429" style="84" bestFit="1" customWidth="1"/>
    <col min="12" max="12" width="11.1428571428571" style="84" customWidth="1"/>
    <col min="13" max="13" width="10.4285714285714" style="84" customWidth="1"/>
    <col min="14" max="14" width="10.8571428571429" style="84" customWidth="1"/>
    <col min="15" max="16384" width="9.14285714285714" style="84"/>
  </cols>
  <sheetData>
    <row r="1" spans="1:12" ht="15" customHeight="1">
      <c r="A1" s="185" t="s">
        <v>67</v>
      </c>
      <c r="B1" s="185"/>
      <c r="C1" s="185"/>
      <c r="D1" s="185"/>
      <c r="E1" s="185"/>
      <c r="L1" s="85"/>
    </row>
    <row r="2" spans="1:12" ht="15">
      <c r="A2" s="186" t="s">
        <v>141</v>
      </c>
      <c r="B2" s="186"/>
      <c r="C2" s="186"/>
      <c r="D2" s="186"/>
      <c r="E2" s="186"/>
      <c r="L2" s="85" t="s">
        <v>142</v>
      </c>
    </row>
    <row r="3" spans="1:12" ht="15">
      <c r="A3" s="186" t="s">
        <v>143</v>
      </c>
      <c r="B3" s="186"/>
      <c r="C3" s="186"/>
      <c r="D3" s="186"/>
      <c r="E3" s="186"/>
      <c r="L3" s="85"/>
    </row>
    <row r="4" spans="1:12" ht="15">
      <c r="A4" s="186" t="s">
        <v>144</v>
      </c>
      <c r="B4" s="186"/>
      <c r="C4" s="186"/>
      <c r="D4" s="186"/>
      <c r="E4" s="186"/>
      <c r="L4" s="85"/>
    </row>
    <row r="5" spans="1:5" ht="15">
      <c r="A5" s="186" t="s">
        <v>145</v>
      </c>
      <c r="B5" s="186"/>
      <c r="C5" s="186"/>
      <c r="D5" s="186"/>
      <c r="E5" s="186"/>
    </row>
    <row r="8" ht="15.75" thickBot="1"/>
    <row r="9" spans="1:14" ht="15.75" thickBot="1">
      <c r="A9" s="86" t="s">
        <v>146</v>
      </c>
      <c r="B9" s="85" t="s">
        <v>147</v>
      </c>
      <c r="C9" s="87"/>
      <c r="D9" s="87"/>
      <c r="E9" s="108"/>
      <c r="F9" s="88">
        <f>'Estimated Rev Req - bs'!E30</f>
        <v>2185082.4166522366</v>
      </c>
      <c r="G9" s="87"/>
      <c r="H9" s="87"/>
      <c r="I9" s="89"/>
      <c r="J9" s="87"/>
      <c r="K9" s="87"/>
      <c r="L9" s="85"/>
      <c r="M9" s="85"/>
      <c r="N9" s="85"/>
    </row>
    <row r="10" spans="1:14" ht="15">
      <c r="A10" s="86"/>
      <c r="B10" s="85" t="s">
        <v>48</v>
      </c>
      <c r="C10" s="90">
        <f>'Cons Dep Rate'!D2</f>
        <v>0.08738745172175022</v>
      </c>
      <c r="D10" s="91">
        <f>F$9*C10</f>
        <v>190948.78419324264</v>
      </c>
      <c r="E10" s="92"/>
      <c r="F10" s="85"/>
      <c r="G10" s="87"/>
      <c r="H10" s="87"/>
      <c r="I10" s="89"/>
      <c r="J10" s="87"/>
      <c r="K10" s="87"/>
      <c r="L10" s="85"/>
      <c r="M10" s="85"/>
      <c r="N10" s="85"/>
    </row>
    <row r="11" spans="1:14" ht="15">
      <c r="A11" s="86"/>
      <c r="B11" s="85" t="s">
        <v>49</v>
      </c>
      <c r="C11" s="90">
        <f>'Cons Dep Rate'!D3</f>
        <v>0.13143658889593543</v>
      </c>
      <c r="D11" s="91">
        <f t="shared" si="0" ref="D11:D16">F$9*C11</f>
        <v>287199.77930125711</v>
      </c>
      <c r="E11" s="92"/>
      <c r="F11" s="85"/>
      <c r="G11" s="87"/>
      <c r="H11" s="87"/>
      <c r="I11" s="89"/>
      <c r="J11" s="87"/>
      <c r="K11" s="87"/>
      <c r="L11" s="85"/>
      <c r="M11" s="85"/>
      <c r="N11" s="85"/>
    </row>
    <row r="12" spans="1:14" ht="15">
      <c r="A12" s="86"/>
      <c r="B12" s="85" t="s">
        <v>50</v>
      </c>
      <c r="C12" s="90">
        <f>'Cons Dep Rate'!D4</f>
        <v>0.26687060101674964</v>
      </c>
      <c r="D12" s="91">
        <f t="shared" si="0"/>
        <v>583134.25780311413</v>
      </c>
      <c r="E12" s="92"/>
      <c r="F12" s="85"/>
      <c r="G12" s="87"/>
      <c r="H12" s="87"/>
      <c r="I12" s="89"/>
      <c r="J12" s="87"/>
      <c r="K12" s="87"/>
      <c r="L12" s="85"/>
      <c r="M12" s="85"/>
      <c r="N12" s="85"/>
    </row>
    <row r="13" spans="1:14" ht="15">
      <c r="A13" s="86"/>
      <c r="B13" s="85" t="s">
        <v>51</v>
      </c>
      <c r="C13" s="90">
        <f>'Cons Dep Rate'!D5</f>
        <v>0.21175145885771704</v>
      </c>
      <c r="D13" s="91">
        <f t="shared" si="0"/>
        <v>462694.38945045701</v>
      </c>
      <c r="E13" s="92"/>
      <c r="F13" s="85"/>
      <c r="G13" s="87"/>
      <c r="H13" s="87"/>
      <c r="I13" s="89"/>
      <c r="J13" s="87"/>
      <c r="K13" s="87"/>
      <c r="L13" s="85"/>
      <c r="M13" s="85"/>
      <c r="N13" s="85"/>
    </row>
    <row r="14" spans="1:14" ht="15">
      <c r="A14" s="86"/>
      <c r="B14" s="85" t="s">
        <v>52</v>
      </c>
      <c r="C14" s="90">
        <f>'Cons Dep Rate'!D6</f>
        <v>0.075787480911102226</v>
      </c>
      <c r="D14" s="91">
        <f t="shared" si="0"/>
        <v>165601.89194121651</v>
      </c>
      <c r="E14" s="92"/>
      <c r="F14" s="85"/>
      <c r="G14" s="87"/>
      <c r="H14" s="87"/>
      <c r="I14" s="89"/>
      <c r="J14" s="87"/>
      <c r="K14" s="87"/>
      <c r="L14" s="85"/>
      <c r="M14" s="85"/>
      <c r="N14" s="85"/>
    </row>
    <row r="15" spans="1:14" ht="15">
      <c r="A15" s="86"/>
      <c r="B15" s="85" t="s">
        <v>53</v>
      </c>
      <c r="C15" s="90">
        <f>'Cons Dep Rate'!D7</f>
        <v>0.097585928179103568</v>
      </c>
      <c r="D15" s="91">
        <f t="shared" si="0"/>
        <v>213233.29577684723</v>
      </c>
      <c r="E15" s="92"/>
      <c r="F15" s="85"/>
      <c r="G15" s="87"/>
      <c r="H15" s="87"/>
      <c r="I15" s="89"/>
      <c r="J15" s="87"/>
      <c r="K15" s="87"/>
      <c r="L15" s="85"/>
      <c r="M15" s="85"/>
      <c r="N15" s="85"/>
    </row>
    <row r="16" spans="1:14" ht="15">
      <c r="A16" s="86"/>
      <c r="B16" s="85" t="s">
        <v>54</v>
      </c>
      <c r="C16" s="90">
        <f>'Cons Dep Rate'!D8</f>
        <v>0.12918049041764196</v>
      </c>
      <c r="D16" s="91">
        <f t="shared" si="0"/>
        <v>282270.01818610216</v>
      </c>
      <c r="E16" s="92"/>
      <c r="F16" s="85"/>
      <c r="G16" s="87"/>
      <c r="H16" s="87"/>
      <c r="I16" s="89"/>
      <c r="J16" s="87"/>
      <c r="K16" s="87"/>
      <c r="L16" s="85"/>
      <c r="M16" s="85"/>
      <c r="N16" s="85"/>
    </row>
    <row r="17" spans="1:14" ht="15.75" thickBot="1">
      <c r="A17" s="85"/>
      <c r="B17" s="85" t="s">
        <v>148</v>
      </c>
      <c r="C17" s="85"/>
      <c r="D17" s="93">
        <f>SUM(D10:D16)</f>
        <v>2185082.4166522371</v>
      </c>
      <c r="E17" s="85"/>
      <c r="F17" s="85"/>
      <c r="G17" s="87"/>
      <c r="H17" s="87"/>
      <c r="I17" s="89"/>
      <c r="J17" s="87"/>
      <c r="K17" s="87"/>
      <c r="L17" s="85"/>
      <c r="M17" s="85"/>
      <c r="N17" s="85"/>
    </row>
    <row r="18" spans="1:14" ht="15.75" thickTop="1">
      <c r="A18" s="86"/>
      <c r="B18" s="85"/>
      <c r="C18" s="87"/>
      <c r="D18" s="91"/>
      <c r="E18" s="92"/>
      <c r="F18" s="85"/>
      <c r="G18" s="87"/>
      <c r="H18" s="87"/>
      <c r="I18" s="87"/>
      <c r="J18" s="87"/>
      <c r="K18" s="87"/>
      <c r="L18" s="85"/>
      <c r="M18" s="85"/>
      <c r="N18" s="85"/>
    </row>
    <row r="19" spans="1:14" ht="15" hidden="1">
      <c r="A19" s="86" t="s">
        <v>149</v>
      </c>
      <c r="B19" s="85" t="s">
        <v>150</v>
      </c>
      <c r="C19" s="87"/>
      <c r="D19" s="91"/>
      <c r="E19" s="88"/>
      <c r="F19" s="85"/>
      <c r="G19" s="87"/>
      <c r="H19" s="87"/>
      <c r="I19" s="87"/>
      <c r="J19" s="87"/>
      <c r="K19" s="87"/>
      <c r="L19" s="85"/>
      <c r="M19" s="85"/>
      <c r="N19" s="85"/>
    </row>
    <row r="20" spans="1:14" ht="15">
      <c r="A20" s="86" t="s">
        <v>149</v>
      </c>
      <c r="B20" s="85" t="s">
        <v>151</v>
      </c>
      <c r="C20" s="87"/>
      <c r="D20" s="91"/>
      <c r="E20" s="88"/>
      <c r="F20" s="88">
        <f>'Estimated Rev Req - bs'!D30</f>
        <v>1661282.8314360657</v>
      </c>
      <c r="G20" s="87"/>
      <c r="H20" s="87"/>
      <c r="I20" s="87" t="s">
        <v>89</v>
      </c>
      <c r="J20" s="87"/>
      <c r="K20" s="87"/>
      <c r="L20" s="85"/>
      <c r="M20" s="85"/>
      <c r="N20" s="85"/>
    </row>
    <row r="21" spans="1:14" ht="15">
      <c r="A21" s="86"/>
      <c r="B21" s="85"/>
      <c r="C21" s="87"/>
      <c r="D21" s="91"/>
      <c r="E21" s="92"/>
      <c r="F21" s="85"/>
      <c r="G21" s="87"/>
      <c r="H21" s="87"/>
      <c r="I21" s="87"/>
      <c r="J21" s="87"/>
      <c r="K21" s="87"/>
      <c r="L21" s="85"/>
      <c r="M21" s="85"/>
      <c r="N21" s="85"/>
    </row>
    <row r="22" spans="1:14" ht="15">
      <c r="A22" s="86" t="s">
        <v>152</v>
      </c>
      <c r="B22" s="85" t="s">
        <v>153</v>
      </c>
      <c r="C22" s="87"/>
      <c r="D22" s="91"/>
      <c r="F22" s="88">
        <f>F9+F20</f>
        <v>3846365.2480883021</v>
      </c>
      <c r="G22" s="87"/>
      <c r="H22" s="87"/>
      <c r="I22" s="87"/>
      <c r="J22" s="87"/>
      <c r="K22" s="87"/>
      <c r="L22" s="85"/>
      <c r="M22" s="85"/>
      <c r="N22" s="85"/>
    </row>
    <row r="23" spans="1:14" ht="15">
      <c r="A23" s="86"/>
      <c r="B23" s="85" t="s">
        <v>48</v>
      </c>
      <c r="C23" s="90">
        <f>C10</f>
        <v>0.08738745172175022</v>
      </c>
      <c r="D23" s="91">
        <f>F$22*C23</f>
        <v>336124.05742153432</v>
      </c>
      <c r="E23" s="92"/>
      <c r="F23" s="85"/>
      <c r="G23" s="87"/>
      <c r="H23" s="87"/>
      <c r="I23" s="87"/>
      <c r="J23" s="87"/>
      <c r="K23" s="87"/>
      <c r="L23" s="85"/>
      <c r="M23" s="85"/>
      <c r="N23" s="85"/>
    </row>
    <row r="24" spans="1:14" ht="15">
      <c r="A24" s="86"/>
      <c r="B24" s="85" t="s">
        <v>49</v>
      </c>
      <c r="C24" s="90">
        <f t="shared" si="1" ref="C24:C29">C11</f>
        <v>0.13143658889593543</v>
      </c>
      <c r="D24" s="91">
        <f t="shared" si="2" ref="D24:D29">F$22*C24</f>
        <v>505553.12785659486</v>
      </c>
      <c r="E24" s="92"/>
      <c r="F24" s="85"/>
      <c r="G24" s="87"/>
      <c r="H24" s="87"/>
      <c r="I24" s="87"/>
      <c r="J24" s="87"/>
      <c r="K24" s="87"/>
      <c r="L24" s="85"/>
      <c r="M24" s="85"/>
      <c r="N24" s="85"/>
    </row>
    <row r="25" spans="1:14" ht="15">
      <c r="A25" s="86"/>
      <c r="B25" s="85" t="s">
        <v>50</v>
      </c>
      <c r="C25" s="90">
        <f t="shared" si="1"/>
        <v>0.26687060101674964</v>
      </c>
      <c r="D25" s="91">
        <f t="shared" si="2"/>
        <v>1026481.8054872645</v>
      </c>
      <c r="E25" s="92"/>
      <c r="F25" s="85"/>
      <c r="G25" s="87"/>
      <c r="H25" s="87"/>
      <c r="I25" s="87"/>
      <c r="J25" s="87"/>
      <c r="K25" s="87"/>
      <c r="L25" s="85"/>
      <c r="M25" s="85"/>
      <c r="N25" s="85"/>
    </row>
    <row r="26" spans="1:14" ht="15">
      <c r="A26" s="86"/>
      <c r="B26" s="85" t="s">
        <v>51</v>
      </c>
      <c r="C26" s="90">
        <f t="shared" si="1"/>
        <v>0.21175145885771704</v>
      </c>
      <c r="D26" s="91">
        <f t="shared" si="2"/>
        <v>814473.45258232264</v>
      </c>
      <c r="E26" s="92"/>
      <c r="F26" s="85"/>
      <c r="G26" s="87"/>
      <c r="H26" s="87"/>
      <c r="I26" s="87"/>
      <c r="J26" s="87"/>
      <c r="K26" s="87"/>
      <c r="L26" s="85"/>
      <c r="M26" s="85"/>
      <c r="N26" s="85"/>
    </row>
    <row r="27" spans="1:14" ht="15">
      <c r="A27" s="86"/>
      <c r="B27" s="85" t="s">
        <v>52</v>
      </c>
      <c r="C27" s="90">
        <f t="shared" si="1"/>
        <v>0.075787480911102226</v>
      </c>
      <c r="D27" s="91">
        <f t="shared" si="2"/>
        <v>291506.33281661919</v>
      </c>
      <c r="E27" s="92"/>
      <c r="F27" s="85"/>
      <c r="G27" s="87"/>
      <c r="H27" s="87"/>
      <c r="I27" s="87"/>
      <c r="J27" s="87"/>
      <c r="K27" s="87"/>
      <c r="L27" s="85"/>
      <c r="M27" s="85"/>
      <c r="N27" s="85"/>
    </row>
    <row r="28" spans="1:14" ht="15">
      <c r="A28" s="86"/>
      <c r="B28" s="85" t="s">
        <v>53</v>
      </c>
      <c r="C28" s="90">
        <f t="shared" si="1"/>
        <v>0.097585928179103568</v>
      </c>
      <c r="D28" s="91">
        <f t="shared" si="2"/>
        <v>375351.12285054493</v>
      </c>
      <c r="E28" s="92"/>
      <c r="F28" s="85"/>
      <c r="G28" s="87"/>
      <c r="H28" s="87"/>
      <c r="I28" s="87"/>
      <c r="J28" s="87"/>
      <c r="K28" s="87"/>
      <c r="L28" s="85"/>
      <c r="M28" s="85"/>
      <c r="N28" s="85"/>
    </row>
    <row r="29" spans="1:14" ht="15">
      <c r="A29" s="86"/>
      <c r="B29" s="85" t="s">
        <v>54</v>
      </c>
      <c r="C29" s="90">
        <f t="shared" si="1"/>
        <v>0.12918049041764196</v>
      </c>
      <c r="D29" s="91">
        <f t="shared" si="2"/>
        <v>496875.34907342197</v>
      </c>
      <c r="E29" s="92"/>
      <c r="F29" s="85"/>
      <c r="G29" s="87"/>
      <c r="H29" s="87"/>
      <c r="I29" s="87"/>
      <c r="J29" s="87"/>
      <c r="K29" s="87"/>
      <c r="L29" s="85"/>
      <c r="M29" s="85"/>
      <c r="N29" s="85"/>
    </row>
    <row r="30" spans="1:14" ht="15.75" thickBot="1">
      <c r="A30" s="86"/>
      <c r="B30" s="85" t="s">
        <v>148</v>
      </c>
      <c r="C30" s="87"/>
      <c r="D30" s="93">
        <f>SUM(D23:D29)</f>
        <v>3846365.2480883021</v>
      </c>
      <c r="E30" s="92"/>
      <c r="F30" s="85"/>
      <c r="G30" s="87"/>
      <c r="H30" s="87"/>
      <c r="I30" s="87"/>
      <c r="J30" s="87"/>
      <c r="K30" s="87"/>
      <c r="L30" s="85"/>
      <c r="M30" s="85"/>
      <c r="N30" s="85"/>
    </row>
    <row r="31" spans="1:14" ht="15.75" thickTop="1">
      <c r="A31" s="85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5"/>
      <c r="M31" s="85"/>
      <c r="N31" s="85"/>
    </row>
    <row r="32" spans="1:14" ht="15">
      <c r="A32" s="85"/>
      <c r="B32" s="87"/>
      <c r="C32" s="87"/>
      <c r="D32" s="87"/>
      <c r="E32" s="87"/>
      <c r="F32" s="87"/>
      <c r="G32" s="94"/>
      <c r="H32" s="95"/>
      <c r="I32" s="87"/>
      <c r="J32" s="87"/>
      <c r="K32" s="87"/>
      <c r="L32" s="85"/>
      <c r="M32" s="85"/>
      <c r="N32" s="85"/>
    </row>
    <row r="33" spans="1:13" ht="15">
      <c r="A33" s="85"/>
      <c r="B33" s="87"/>
      <c r="C33" s="87"/>
      <c r="D33" s="87"/>
      <c r="E33" s="87"/>
      <c r="F33" s="94"/>
      <c r="G33" s="87"/>
      <c r="H33" s="94" t="s">
        <v>154</v>
      </c>
      <c r="I33" s="87"/>
      <c r="J33" s="96" t="s">
        <v>155</v>
      </c>
      <c r="K33" s="96" t="s">
        <v>156</v>
      </c>
      <c r="L33" s="96"/>
      <c r="M33" s="96" t="s">
        <v>157</v>
      </c>
    </row>
    <row r="34" spans="1:14" ht="15">
      <c r="A34" s="85"/>
      <c r="B34" s="94" t="s">
        <v>158</v>
      </c>
      <c r="C34" s="86" t="s">
        <v>159</v>
      </c>
      <c r="D34" s="94" t="s">
        <v>160</v>
      </c>
      <c r="E34" s="94" t="s">
        <v>161</v>
      </c>
      <c r="F34" s="94"/>
      <c r="G34" s="94"/>
      <c r="H34" s="94" t="s">
        <v>162</v>
      </c>
      <c r="I34" s="94" t="s">
        <v>163</v>
      </c>
      <c r="J34" s="96" t="s">
        <v>164</v>
      </c>
      <c r="K34" s="96" t="s">
        <v>165</v>
      </c>
      <c r="L34" s="96" t="s">
        <v>165</v>
      </c>
      <c r="M34" s="96" t="s">
        <v>166</v>
      </c>
      <c r="N34" s="85" t="s">
        <v>167</v>
      </c>
    </row>
    <row r="35" spans="1:14" ht="15">
      <c r="A35" s="85"/>
      <c r="B35" s="97" t="s">
        <v>168</v>
      </c>
      <c r="C35" s="97" t="s">
        <v>113</v>
      </c>
      <c r="D35" s="97" t="s">
        <v>169</v>
      </c>
      <c r="E35" s="97" t="s">
        <v>169</v>
      </c>
      <c r="F35" s="97" t="s">
        <v>170</v>
      </c>
      <c r="G35" s="97" t="s">
        <v>170</v>
      </c>
      <c r="H35" s="97" t="s">
        <v>113</v>
      </c>
      <c r="I35" s="97" t="s">
        <v>171</v>
      </c>
      <c r="J35" s="98" t="s">
        <v>172</v>
      </c>
      <c r="K35" s="98" t="s">
        <v>113</v>
      </c>
      <c r="L35" s="98" t="s">
        <v>173</v>
      </c>
      <c r="M35" s="99" t="s">
        <v>174</v>
      </c>
      <c r="N35" s="143" t="s">
        <v>175</v>
      </c>
    </row>
    <row r="36" spans="1:13" ht="15">
      <c r="A36" s="85"/>
      <c r="B36" s="87"/>
      <c r="C36" s="87"/>
      <c r="D36" s="87"/>
      <c r="E36" s="87"/>
      <c r="F36" s="87"/>
      <c r="G36" s="87"/>
      <c r="H36" s="87"/>
      <c r="I36" s="87"/>
      <c r="J36" s="87"/>
      <c r="K36" s="85"/>
      <c r="L36" s="85"/>
      <c r="M36" s="85"/>
    </row>
    <row r="37" spans="1:14" ht="15">
      <c r="A37" s="85"/>
      <c r="B37" s="87" t="s">
        <v>83</v>
      </c>
      <c r="C37" s="95">
        <f>'Budgeted Volumes and Margins '!F3</f>
        <v>316126849</v>
      </c>
      <c r="D37" s="100">
        <v>0.54224562856741398</v>
      </c>
      <c r="E37" s="100">
        <v>0</v>
      </c>
      <c r="F37" s="92">
        <f>D37*$F$55</f>
        <v>2085674.7416494987</v>
      </c>
      <c r="G37" s="92">
        <f>D37*$F$55</f>
        <v>2085674.7416494987</v>
      </c>
      <c r="H37" s="101">
        <f>G37/C37</f>
        <v>0.0065975881145403717</v>
      </c>
      <c r="I37" s="102">
        <v>1.0007200000000001</v>
      </c>
      <c r="J37" s="101">
        <f>H37*I37</f>
        <v>0.0066023383779828413</v>
      </c>
      <c r="K37" s="95">
        <f>'Annual usage per customer'!E23</f>
        <v>12000</v>
      </c>
      <c r="L37" s="103">
        <f>J37*K37</f>
        <v>79.2280605357941</v>
      </c>
      <c r="M37" s="164">
        <f>L37/12</f>
        <v>6.602338377982842</v>
      </c>
      <c r="N37" s="128"/>
    </row>
    <row r="38" spans="1:13" ht="15">
      <c r="A38" s="85"/>
      <c r="B38" s="87"/>
      <c r="C38" s="95"/>
      <c r="D38" s="100"/>
      <c r="E38" s="100"/>
      <c r="F38" s="92"/>
      <c r="G38" s="92"/>
      <c r="H38" s="87"/>
      <c r="I38" s="87"/>
      <c r="J38" s="87"/>
      <c r="K38" s="95"/>
      <c r="L38" s="85"/>
      <c r="M38" s="85"/>
    </row>
    <row r="39" spans="1:14" ht="15">
      <c r="A39" s="85"/>
      <c r="B39" s="87" t="s">
        <v>176</v>
      </c>
      <c r="C39" s="95">
        <f>'Budgeted Volumes and Margins '!F5</f>
        <v>54762182</v>
      </c>
      <c r="D39" s="100">
        <v>0.10919312586305209</v>
      </c>
      <c r="E39" s="100">
        <v>0</v>
      </c>
      <c r="F39" s="92">
        <f>D39*$F$55</f>
        <v>419996.64464977552</v>
      </c>
      <c r="G39" s="92">
        <f>D39*$F$55</f>
        <v>419996.64464977552</v>
      </c>
      <c r="H39" s="101">
        <f>G39/C39</f>
        <v>0.0076694651182777109</v>
      </c>
      <c r="I39" s="102">
        <v>1.0007200000000001</v>
      </c>
      <c r="J39" s="101">
        <f>H39*I39</f>
        <v>0.0076749871331628708</v>
      </c>
      <c r="K39" s="95">
        <f>'Annual usage per customer'!E25</f>
        <v>15000</v>
      </c>
      <c r="L39" s="103">
        <f>J39*K39</f>
        <v>115.12480699744306</v>
      </c>
      <c r="M39" s="103">
        <f>L39/12</f>
        <v>9.5937339164535889</v>
      </c>
      <c r="N39" s="165">
        <v>0.055</v>
      </c>
    </row>
    <row r="40" spans="1:13" ht="15">
      <c r="A40" s="85"/>
      <c r="B40" s="89"/>
      <c r="C40" s="95"/>
      <c r="D40" s="100"/>
      <c r="E40" s="100"/>
      <c r="F40" s="92"/>
      <c r="G40" s="92"/>
      <c r="H40" s="102"/>
      <c r="I40" s="102"/>
      <c r="J40" s="102"/>
      <c r="K40" s="95"/>
      <c r="L40" s="85"/>
      <c r="M40" s="85"/>
    </row>
    <row r="41" spans="1:14" ht="15">
      <c r="A41" s="85"/>
      <c r="B41" s="89" t="s">
        <v>177</v>
      </c>
      <c r="C41" s="95">
        <f>'Budgeted Volumes and Margins '!F7</f>
        <v>172050339</v>
      </c>
      <c r="D41" s="100">
        <v>0.15718206808731616</v>
      </c>
      <c r="E41" s="100">
        <v>0</v>
      </c>
      <c r="F41" s="92">
        <f>D41*$F$55</f>
        <v>604579.64431370224</v>
      </c>
      <c r="G41" s="92">
        <f>D41*$F$55</f>
        <v>604579.64431370224</v>
      </c>
      <c r="H41" s="101">
        <f>G41/C41</f>
        <v>0.0035139695035050307</v>
      </c>
      <c r="I41" s="102">
        <v>1.0007200000000001</v>
      </c>
      <c r="J41" s="101">
        <f>H41*I41</f>
        <v>0.0035164995615475543</v>
      </c>
      <c r="K41" s="95">
        <f>'Annual usage per customer'!E27</f>
        <v>259000</v>
      </c>
      <c r="L41" s="103">
        <f>J41*K41</f>
        <v>910.77338644081658</v>
      </c>
      <c r="M41" s="103">
        <f>L41/12</f>
        <v>75.897782203401377</v>
      </c>
      <c r="N41" s="165">
        <v>0.023099999999999999</v>
      </c>
    </row>
    <row r="42" spans="1:14" ht="15">
      <c r="A42" s="85"/>
      <c r="B42" s="89"/>
      <c r="C42" s="95"/>
      <c r="D42" s="100"/>
      <c r="E42" s="100"/>
      <c r="F42" s="92"/>
      <c r="G42" s="92"/>
      <c r="H42" s="87"/>
      <c r="I42" s="87"/>
      <c r="J42" s="87"/>
      <c r="K42" s="95"/>
      <c r="L42" s="85"/>
      <c r="M42" s="85"/>
      <c r="N42" s="144"/>
    </row>
    <row r="43" spans="1:14" ht="15">
      <c r="A43" s="85"/>
      <c r="B43" s="104" t="s">
        <v>178</v>
      </c>
      <c r="C43" s="95">
        <f>'Budgeted Volumes and Margins '!F9</f>
        <v>82987816</v>
      </c>
      <c r="D43" s="100">
        <v>0.086131387968694142</v>
      </c>
      <c r="E43" s="100">
        <v>0</v>
      </c>
      <c r="F43" s="92">
        <f>D43*$F$55</f>
        <v>331292.77745239605</v>
      </c>
      <c r="G43" s="92">
        <f>D43*$F$55</f>
        <v>331292.77745239605</v>
      </c>
      <c r="H43" s="101">
        <f>G43/C43</f>
        <v>0.0039920652623560557</v>
      </c>
      <c r="I43" s="102">
        <v>1.0007200000000001</v>
      </c>
      <c r="J43" s="101">
        <f>H43*I43</f>
        <v>0.0039949395493449526</v>
      </c>
      <c r="K43" s="95">
        <f>'Annual usage per customer'!E29</f>
        <v>3074000</v>
      </c>
      <c r="L43" s="103">
        <f>J43*K43</f>
        <v>12280.444174686385</v>
      </c>
      <c r="M43" s="103">
        <f>L43/12</f>
        <v>1023.3703478905321</v>
      </c>
      <c r="N43" s="165">
        <v>0.033599999999999998</v>
      </c>
    </row>
    <row r="44" spans="1:14" ht="15">
      <c r="A44" s="85"/>
      <c r="B44" s="89"/>
      <c r="C44" s="95"/>
      <c r="D44" s="100"/>
      <c r="E44" s="100"/>
      <c r="F44" s="92"/>
      <c r="G44" s="92"/>
      <c r="H44" s="87"/>
      <c r="I44" s="87"/>
      <c r="J44" s="87"/>
      <c r="K44" s="95"/>
      <c r="L44" s="85"/>
      <c r="M44" s="85"/>
      <c r="N44" s="144"/>
    </row>
    <row r="45" spans="1:14" ht="15">
      <c r="A45" s="85"/>
      <c r="B45" s="89" t="s">
        <v>179</v>
      </c>
      <c r="C45" s="95">
        <f>'Budgeted Volumes and Margins '!F11</f>
        <v>24496250</v>
      </c>
      <c r="D45" s="100">
        <v>0.028581612338253102</v>
      </c>
      <c r="E45" s="100">
        <v>0</v>
      </c>
      <c r="F45" s="92">
        <f>D45*$F$55</f>
        <v>109935.32043218857</v>
      </c>
      <c r="G45" s="92">
        <f>D45*$F$55</f>
        <v>109935.32043218857</v>
      </c>
      <c r="H45" s="101">
        <f>G45/C45</f>
        <v>0.0044878428507297476</v>
      </c>
      <c r="I45" s="102">
        <v>1.0007200000000001</v>
      </c>
      <c r="J45" s="101">
        <f>H45*I45</f>
        <v>0.0044910740975822733</v>
      </c>
      <c r="K45" s="95">
        <f>'Annual usage per customer'!E31</f>
        <v>12248000</v>
      </c>
      <c r="L45" s="103">
        <f>J45*K45</f>
        <v>55006.675547187682</v>
      </c>
      <c r="M45" s="103">
        <f>L45/12</f>
        <v>4583.8896289323066</v>
      </c>
      <c r="N45" s="165">
        <v>0.021499999999999998</v>
      </c>
    </row>
    <row r="46" spans="1:14" ht="15">
      <c r="A46" s="85"/>
      <c r="B46" s="89"/>
      <c r="C46" s="95"/>
      <c r="D46" s="100"/>
      <c r="E46" s="100"/>
      <c r="F46" s="92"/>
      <c r="G46" s="92"/>
      <c r="H46" s="87"/>
      <c r="I46" s="87"/>
      <c r="J46" s="87"/>
      <c r="K46" s="95"/>
      <c r="L46" s="85"/>
      <c r="M46" s="85"/>
      <c r="N46" s="144"/>
    </row>
    <row r="47" spans="1:14" ht="15">
      <c r="A47" s="85"/>
      <c r="B47" s="87" t="s">
        <v>180</v>
      </c>
      <c r="C47" s="95">
        <f>'Budgeted Volumes and Margins '!F13</f>
        <v>7527819</v>
      </c>
      <c r="D47" s="100">
        <v>0.076666177175270536</v>
      </c>
      <c r="E47" s="100">
        <v>0</v>
      </c>
      <c r="F47" s="92">
        <f>D47*$F$55</f>
        <v>294886.11959074117</v>
      </c>
      <c r="G47" s="92">
        <f>D47*$F$55</f>
        <v>294886.11959074117</v>
      </c>
      <c r="H47" s="101">
        <f>G47/C47</f>
        <v>0.039172849345971414</v>
      </c>
      <c r="I47" s="102">
        <v>1.0007200000000001</v>
      </c>
      <c r="J47" s="101">
        <f>H47*I47</f>
        <v>0.039201053797500517</v>
      </c>
      <c r="K47" s="95">
        <f>'Annual usage per customer'!E33</f>
        <v>3000</v>
      </c>
      <c r="L47" s="103">
        <f>J47*K47</f>
        <v>117.60316139250155</v>
      </c>
      <c r="M47" s="103">
        <f>L47/12</f>
        <v>9.8002634493751284</v>
      </c>
      <c r="N47" s="144"/>
    </row>
    <row r="48" spans="1:14" ht="15">
      <c r="A48" s="85"/>
      <c r="B48" s="87"/>
      <c r="C48" s="95"/>
      <c r="D48" s="100"/>
      <c r="E48" s="100"/>
      <c r="F48" s="92"/>
      <c r="G48" s="92"/>
      <c r="H48" s="87"/>
      <c r="I48" s="87"/>
      <c r="J48" s="87"/>
      <c r="K48" s="85"/>
      <c r="L48" s="85"/>
      <c r="M48" s="103"/>
      <c r="N48" s="144"/>
    </row>
    <row r="49" spans="1:14" ht="15">
      <c r="A49" s="85"/>
      <c r="B49" s="87"/>
      <c r="C49" s="95"/>
      <c r="D49" s="100"/>
      <c r="E49" s="100"/>
      <c r="F49" s="92"/>
      <c r="G49" s="92"/>
      <c r="H49" s="92"/>
      <c r="I49" s="102"/>
      <c r="J49" s="102"/>
      <c r="K49" s="102"/>
      <c r="L49" s="85"/>
      <c r="M49" s="85"/>
      <c r="N49" s="85"/>
    </row>
    <row r="50" spans="1:14" ht="15">
      <c r="A50" s="85"/>
      <c r="B50" s="87"/>
      <c r="C50" s="95"/>
      <c r="D50" s="100"/>
      <c r="E50" s="100"/>
      <c r="F50" s="92"/>
      <c r="G50" s="92"/>
      <c r="H50" s="92"/>
      <c r="I50" s="87"/>
      <c r="J50" s="87"/>
      <c r="K50" s="87"/>
      <c r="L50" s="85"/>
      <c r="M50" s="85"/>
      <c r="N50" s="85"/>
    </row>
    <row r="51" spans="1:14" ht="15">
      <c r="A51" s="85"/>
      <c r="B51" s="87"/>
      <c r="C51" s="95"/>
      <c r="D51" s="100"/>
      <c r="E51" s="100"/>
      <c r="F51" s="92"/>
      <c r="G51" s="92"/>
      <c r="H51" s="92"/>
      <c r="I51" s="102"/>
      <c r="J51" s="102"/>
      <c r="K51" s="102"/>
      <c r="L51" s="85"/>
      <c r="M51" s="85"/>
      <c r="N51" s="85"/>
    </row>
    <row r="52" spans="1:14" ht="15">
      <c r="A52" s="85"/>
      <c r="B52" s="87"/>
      <c r="C52" s="87"/>
      <c r="D52" s="100"/>
      <c r="E52" s="100"/>
      <c r="F52" s="92"/>
      <c r="G52" s="92"/>
      <c r="H52" s="92"/>
      <c r="I52" s="87"/>
      <c r="J52" s="87"/>
      <c r="K52" s="87"/>
      <c r="L52" s="85"/>
      <c r="M52" s="85"/>
      <c r="N52" s="85"/>
    </row>
    <row r="53" spans="1:14" ht="15">
      <c r="A53" s="85"/>
      <c r="B53" s="87"/>
      <c r="C53" s="95"/>
      <c r="D53" s="100"/>
      <c r="E53" s="100"/>
      <c r="F53" s="92"/>
      <c r="G53" s="92"/>
      <c r="H53" s="92"/>
      <c r="I53" s="102"/>
      <c r="J53" s="102"/>
      <c r="K53" s="102"/>
      <c r="L53" s="85"/>
      <c r="M53" s="85"/>
      <c r="N53" s="85"/>
    </row>
    <row r="54" spans="1:14" ht="15">
      <c r="A54" s="85"/>
      <c r="B54" s="87"/>
      <c r="C54" s="87"/>
      <c r="D54" s="100"/>
      <c r="E54" s="100"/>
      <c r="F54" s="92"/>
      <c r="G54" s="92"/>
      <c r="H54" s="92"/>
      <c r="I54" s="87"/>
      <c r="J54" s="87"/>
      <c r="K54" s="87"/>
      <c r="L54" s="85"/>
      <c r="M54" s="85"/>
      <c r="N54" s="85"/>
    </row>
    <row r="55" spans="1:14" ht="15.75" thickBot="1">
      <c r="A55" s="85"/>
      <c r="B55" s="94" t="s">
        <v>181</v>
      </c>
      <c r="C55" s="105">
        <f>SUM(C37:C48)</f>
        <v>657951255</v>
      </c>
      <c r="D55" s="106">
        <f>SUM(D37:D48)</f>
        <v>1</v>
      </c>
      <c r="E55" s="106">
        <f>SUM(E37:E48)</f>
        <v>0</v>
      </c>
      <c r="F55" s="105">
        <f>D30</f>
        <v>3846365.2480883021</v>
      </c>
      <c r="G55" s="105">
        <f>D23</f>
        <v>336124.05742153432</v>
      </c>
      <c r="H55" s="92"/>
      <c r="I55" s="87"/>
      <c r="J55" s="87"/>
      <c r="K55" s="87"/>
      <c r="L55" s="85"/>
      <c r="M55" s="85"/>
      <c r="N55" s="85"/>
    </row>
    <row r="56" spans="1:14" ht="15.75" thickTop="1">
      <c r="A56" s="85"/>
      <c r="B56" s="87"/>
      <c r="C56" s="87"/>
      <c r="D56" s="87"/>
      <c r="E56" s="87"/>
      <c r="F56" s="87"/>
      <c r="G56" s="87"/>
      <c r="H56" s="92"/>
      <c r="I56" s="87"/>
      <c r="J56" s="87"/>
      <c r="K56" s="107" t="s">
        <v>182</v>
      </c>
      <c r="L56" s="85"/>
      <c r="M56" s="85"/>
      <c r="N56" s="85"/>
    </row>
    <row r="57" spans="1:14" ht="15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</row>
    <row r="58" spans="1:14" ht="15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landscape" scale="64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A2ED36C1B59478AAB1282F80FDD3F" ma:contentTypeVersion="4" ma:contentTypeDescription="Create a new document." ma:contentTypeScope="" ma:versionID="b4d09e4daec296a006cd46561d3689c0">
  <xsd:schema xmlns:xsd="http://www.w3.org/2001/XMLSchema" xmlns:xs="http://www.w3.org/2001/XMLSchema" xmlns:p="http://schemas.microsoft.com/office/2006/metadata/properties" xmlns:ns2="fa0576d1-80e8-4ef1-ac14-2bd075900e7d" targetNamespace="http://schemas.microsoft.com/office/2006/metadata/properties" ma:root="true" ma:fieldsID="6661a9ac0ffec09b559fa06f92e996f4" ns2:_="">
    <xsd:import namespace="fa0576d1-80e8-4ef1-ac14-2bd075900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576d1-80e8-4ef1-ac14-2bd075900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 A C T I V E ! 1 5 0 6 5 4 7 4 . 1 < / d o c u m e n t i d >  
     < s e n d e r i d > K E A B E T < / s e n d e r i d >  
     < s e n d e r e m a i l > B K E A T I N G @ G U N S T E R . C O M < / s e n d e r e m a i l >  
     < l a s t m o d i f i e d > 2 0 2 2 - 0 4 - 1 2 T 1 4 : 5 7 : 1 4 . 0 0 0 0 0 0 0 - 0 4 : 0 0 < / l a s t m o d i f i e d >  
     < d a t a b a s e > A C T I V E < / d a t a b a s e >  
 < / p r o p e r t i e s > 
</file>

<file path=customXml/itemProps1.xml><?xml version="1.0" encoding="utf-8"?>
<ds:datastoreItem xmlns:ds="http://schemas.openxmlformats.org/officeDocument/2006/customXml" ds:itemID="{73C4AECE-8B99-4B61-A4E3-4D5EE834E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D6C84-5A3F-4B52-B812-E556969D83B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9D62ED-6C8D-4E13-8218-61BB878CA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0576d1-80e8-4ef1-ac14-2bd075900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Appendix A</vt:lpstr>
      <vt:lpstr>Estimated Rev Req - bs</vt:lpstr>
      <vt:lpstr>Cons Dep Rate</vt:lpstr>
      <vt:lpstr>FE Cost Rate Cal</vt:lpstr>
      <vt:lpstr>Uniform Rate Inc</vt:lpstr>
      <vt:lpstr>Budgeted Volumes and Margins </vt:lpstr>
      <vt:lpstr>Annual usage per customer</vt:lpstr>
      <vt:lpstr>Typical Bill - V1</vt:lpstr>
      <vt:lpstr>FPUC Surcharge 2022 - 2023 </vt:lpstr>
      <vt:lpstr>FPUC Surcharge 2024</vt:lpstr>
      <vt:lpstr>FPUC Surcharge 2025</vt:lpstr>
      <vt:lpstr>FPUC Surcharge 2026</vt:lpstr>
      <vt:lpstr>Typical Bill - V2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