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ustomProperty5.bin" ContentType="application/vnd.openxmlformats-officedocument.spreadsheetml.customProperty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6.bin" ContentType="application/vnd.openxmlformats-officedocument.spreadsheetml.customPropert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 codeName="ThisWorkbook" defaultThemeVersion="124226"/>
  <xr:revisionPtr revIDLastSave="0" documentId="13_ncr:1_{2A23C553-AC67-4399-8D94-6ACC3C7D05A6}" xr6:coauthVersionLast="47" xr6:coauthVersionMax="47" xr10:uidLastSave="{00000000-0000-0000-0000-000000000000}"/>
  <bookViews>
    <workbookView xWindow="28680" yWindow="-120" windowWidth="29040" windowHeight="15840" tabRatio="917" activeTab="2" xr2:uid="{00000000-000D-0000-FFFF-FFFF00000000}"/>
  </bookViews>
  <sheets>
    <sheet name="A-2 for RS_GS_GSD" sheetId="46" r:id="rId1"/>
    <sheet name="A-2 FOR GSLDPR_GSLDTPR_GSLDSU_G" sheetId="50" r:id="rId2"/>
    <sheet name="E-13a" sheetId="34" r:id="rId3"/>
    <sheet name="E-13c" sheetId="36" r:id="rId4"/>
    <sheet name="Rates" sheetId="68" r:id="rId5"/>
    <sheet name="ECCR Billing Determinants" sheetId="67" r:id="rId6"/>
  </sheets>
  <definedNames>
    <definedName name="BalDatData">#REF!</definedName>
    <definedName name="BegMonth">#REF!</definedName>
    <definedName name="DocketNum">#REF!</definedName>
    <definedName name="HistYear">#REF!</definedName>
    <definedName name="PLine1">#REF!</definedName>
    <definedName name="PLine2">#REF!</definedName>
    <definedName name="PLine3">#REF!</definedName>
    <definedName name="PLine4">#REF!</definedName>
    <definedName name="_xlnm.Print_Area" localSheetId="1">'A-2 FOR GSLDPR_GSLDTPR_GSLDSU_G'!$A$1:$AB$110</definedName>
    <definedName name="_xlnm.Print_Area" localSheetId="0">'A-2 for RS_GS_GSD'!$A$1:$Z$158</definedName>
    <definedName name="_xlnm.Print_Area" localSheetId="2">'E-13a'!$A$4:$R$63</definedName>
    <definedName name="_xlnm.Print_Area" localSheetId="3">'E-13c'!$A$1:$S$1029</definedName>
    <definedName name="PriorYear">#REF!</definedName>
    <definedName name="solver_adj" localSheetId="3" hidden="1">'E-13c'!$V$5</definedName>
    <definedName name="solver_cvg" localSheetId="3" hidden="1">0.0001</definedName>
    <definedName name="solver_drv" localSheetId="3" hidden="1">2</definedName>
    <definedName name="solver_eng" localSheetId="3" hidden="1">1</definedName>
    <definedName name="solver_est" localSheetId="3" hidden="1">1</definedName>
    <definedName name="solver_itr" localSheetId="3" hidden="1">2147483647</definedName>
    <definedName name="solver_mip" localSheetId="3" hidden="1">2147483647</definedName>
    <definedName name="solver_mni" localSheetId="3" hidden="1">30</definedName>
    <definedName name="solver_mrt" localSheetId="3" hidden="1">0.075</definedName>
    <definedName name="solver_msl" localSheetId="3" hidden="1">2</definedName>
    <definedName name="solver_neg" localSheetId="3" hidden="1">1</definedName>
    <definedName name="solver_nod" localSheetId="3" hidden="1">2147483647</definedName>
    <definedName name="solver_num" localSheetId="3" hidden="1">0</definedName>
    <definedName name="solver_nwt" localSheetId="3" hidden="1">1</definedName>
    <definedName name="solver_opt" localSheetId="3" hidden="1">'E-13c'!$V$4</definedName>
    <definedName name="solver_pre" localSheetId="3" hidden="1">0.000001</definedName>
    <definedName name="solver_rbv" localSheetId="3" hidden="1">2</definedName>
    <definedName name="solver_rlx" localSheetId="3" hidden="1">2</definedName>
    <definedName name="solver_rsd" localSheetId="3" hidden="1">0</definedName>
    <definedName name="solver_scl" localSheetId="3" hidden="1">2</definedName>
    <definedName name="solver_sho" localSheetId="3" hidden="1">2</definedName>
    <definedName name="solver_ssz" localSheetId="3" hidden="1">100</definedName>
    <definedName name="solver_tim" localSheetId="3" hidden="1">2147483647</definedName>
    <definedName name="solver_tol" localSheetId="3" hidden="1">0.01</definedName>
    <definedName name="solver_typ" localSheetId="3" hidden="1">3</definedName>
    <definedName name="solver_val" localSheetId="3" hidden="1">10000</definedName>
    <definedName name="solver_ver" localSheetId="3" hidden="1">3</definedName>
    <definedName name="TestYea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46" l="1"/>
  <c r="I40" i="46"/>
  <c r="E245" i="36"/>
  <c r="E260" i="36"/>
  <c r="S1029" i="36" l="1"/>
  <c r="S977" i="36"/>
  <c r="K90" i="50" l="1"/>
  <c r="K91" i="50"/>
  <c r="J92" i="50"/>
  <c r="K92" i="50"/>
  <c r="J93" i="50"/>
  <c r="K93" i="50"/>
  <c r="J94" i="50"/>
  <c r="K94" i="50"/>
  <c r="J95" i="50"/>
  <c r="K95" i="50"/>
  <c r="J96" i="50"/>
  <c r="K96" i="50"/>
  <c r="J97" i="50"/>
  <c r="K97" i="50"/>
  <c r="K89" i="50"/>
  <c r="J89" i="50"/>
  <c r="K78" i="50"/>
  <c r="K74" i="50"/>
  <c r="K70" i="50"/>
  <c r="H78" i="50"/>
  <c r="H74" i="50"/>
  <c r="H70" i="50"/>
  <c r="G78" i="50"/>
  <c r="G74" i="50"/>
  <c r="G70" i="50"/>
  <c r="K77" i="50"/>
  <c r="K76" i="50"/>
  <c r="K73" i="50"/>
  <c r="K72" i="50"/>
  <c r="K69" i="50"/>
  <c r="K68" i="50"/>
  <c r="J78" i="50"/>
  <c r="J77" i="50"/>
  <c r="J76" i="50"/>
  <c r="J74" i="50"/>
  <c r="J73" i="50"/>
  <c r="J72" i="50"/>
  <c r="J70" i="50"/>
  <c r="J69" i="50"/>
  <c r="J68" i="50"/>
  <c r="H77" i="50"/>
  <c r="H76" i="50"/>
  <c r="H73" i="50"/>
  <c r="H72" i="50"/>
  <c r="H69" i="50"/>
  <c r="H68" i="50"/>
  <c r="G77" i="50"/>
  <c r="G76" i="50"/>
  <c r="G73" i="50"/>
  <c r="G72" i="50"/>
  <c r="G69" i="50"/>
  <c r="G68" i="50"/>
  <c r="J35" i="50"/>
  <c r="K35" i="50"/>
  <c r="J36" i="50"/>
  <c r="K36" i="50"/>
  <c r="J37" i="50"/>
  <c r="K37" i="50"/>
  <c r="J38" i="50"/>
  <c r="K38" i="50"/>
  <c r="J39" i="50"/>
  <c r="T17" i="50" s="1"/>
  <c r="K39" i="50"/>
  <c r="J40" i="50"/>
  <c r="K40" i="50"/>
  <c r="J41" i="50"/>
  <c r="K41" i="50"/>
  <c r="J42" i="50"/>
  <c r="K42" i="50"/>
  <c r="K34" i="50"/>
  <c r="J34" i="50"/>
  <c r="K23" i="50"/>
  <c r="K19" i="50"/>
  <c r="K15" i="50"/>
  <c r="H23" i="50"/>
  <c r="H19" i="50"/>
  <c r="H15" i="50"/>
  <c r="E23" i="50"/>
  <c r="E19" i="50"/>
  <c r="E15" i="50"/>
  <c r="K22" i="50"/>
  <c r="K21" i="50"/>
  <c r="K18" i="50"/>
  <c r="K17" i="50"/>
  <c r="K14" i="50"/>
  <c r="K13" i="50"/>
  <c r="J23" i="50"/>
  <c r="J22" i="50"/>
  <c r="J21" i="50"/>
  <c r="J19" i="50"/>
  <c r="J18" i="50"/>
  <c r="J17" i="50"/>
  <c r="J15" i="50"/>
  <c r="J14" i="50"/>
  <c r="J13" i="50"/>
  <c r="H22" i="50"/>
  <c r="H21" i="50"/>
  <c r="H18" i="50"/>
  <c r="H17" i="50"/>
  <c r="H14" i="50"/>
  <c r="H13" i="50"/>
  <c r="G23" i="50"/>
  <c r="G22" i="50"/>
  <c r="G21" i="50"/>
  <c r="G20" i="50"/>
  <c r="G19" i="50"/>
  <c r="G18" i="50"/>
  <c r="G17" i="50"/>
  <c r="G16" i="50"/>
  <c r="G15" i="50"/>
  <c r="G14" i="50"/>
  <c r="G13" i="50"/>
  <c r="E22" i="50"/>
  <c r="E21" i="50"/>
  <c r="E18" i="50"/>
  <c r="E17" i="50"/>
  <c r="E14" i="50"/>
  <c r="E13" i="50"/>
  <c r="O143" i="46"/>
  <c r="O144" i="46"/>
  <c r="O145" i="46"/>
  <c r="O146" i="46"/>
  <c r="O147" i="46"/>
  <c r="O148" i="46"/>
  <c r="O149" i="46"/>
  <c r="O142" i="46"/>
  <c r="M143" i="46"/>
  <c r="M144" i="46"/>
  <c r="M145" i="46"/>
  <c r="M146" i="46"/>
  <c r="M147" i="46"/>
  <c r="M148" i="46"/>
  <c r="M149" i="46"/>
  <c r="M142" i="46"/>
  <c r="L143" i="46"/>
  <c r="L144" i="46"/>
  <c r="L145" i="46"/>
  <c r="L146" i="46"/>
  <c r="L147" i="46"/>
  <c r="L148" i="46"/>
  <c r="L149" i="46"/>
  <c r="L142" i="46"/>
  <c r="I125" i="46"/>
  <c r="I130" i="46"/>
  <c r="I129" i="46"/>
  <c r="I128" i="46"/>
  <c r="I127" i="46"/>
  <c r="I124" i="46"/>
  <c r="I123" i="46"/>
  <c r="I122" i="46"/>
  <c r="I120" i="46"/>
  <c r="I119" i="46"/>
  <c r="I118" i="46"/>
  <c r="I97" i="46"/>
  <c r="R65" i="46" s="1"/>
  <c r="I87" i="46"/>
  <c r="I85" i="46"/>
  <c r="I83" i="46"/>
  <c r="I81" i="46"/>
  <c r="I79" i="46"/>
  <c r="I77" i="46"/>
  <c r="I75" i="46"/>
  <c r="I73" i="46"/>
  <c r="I71" i="46"/>
  <c r="I69" i="46"/>
  <c r="I67" i="46"/>
  <c r="I65" i="46"/>
  <c r="I33" i="46"/>
  <c r="I31" i="46"/>
  <c r="I29" i="46"/>
  <c r="I27" i="46"/>
  <c r="I25" i="46"/>
  <c r="I23" i="46"/>
  <c r="I21" i="46"/>
  <c r="I19" i="46"/>
  <c r="I17" i="46"/>
  <c r="I15" i="46"/>
  <c r="I13" i="46"/>
  <c r="I47" i="46"/>
  <c r="R13" i="46" s="1"/>
  <c r="I43" i="46"/>
  <c r="T18" i="50" l="1"/>
  <c r="T19" i="50"/>
  <c r="T21" i="50"/>
  <c r="T22" i="50"/>
  <c r="T23" i="50"/>
  <c r="T14" i="50"/>
  <c r="T13" i="50"/>
  <c r="T15" i="50"/>
  <c r="J13" i="46" l="1"/>
  <c r="E897" i="36"/>
  <c r="E857" i="36"/>
  <c r="E844" i="36"/>
  <c r="E836" i="36"/>
  <c r="L528" i="36"/>
  <c r="L529" i="36"/>
  <c r="L527" i="36"/>
  <c r="L521" i="36"/>
  <c r="L515" i="36"/>
  <c r="G939" i="36" l="1"/>
  <c r="N939" i="36" s="1"/>
  <c r="E325" i="68" s="1"/>
  <c r="F325" i="68" s="1"/>
  <c r="G937" i="36"/>
  <c r="N937" i="36" s="1"/>
  <c r="E323" i="68" s="1"/>
  <c r="F323" i="68" s="1"/>
  <c r="G894" i="36"/>
  <c r="N894" i="36" s="1"/>
  <c r="G895" i="36"/>
  <c r="N895" i="36" s="1"/>
  <c r="G896" i="36"/>
  <c r="N896" i="36" s="1"/>
  <c r="G893" i="36"/>
  <c r="N893" i="36" s="1"/>
  <c r="G885" i="36"/>
  <c r="N885" i="36" s="1"/>
  <c r="E175" i="68" s="1"/>
  <c r="F175" i="68" s="1"/>
  <c r="G886" i="36"/>
  <c r="N886" i="36" s="1"/>
  <c r="E176" i="68" s="1"/>
  <c r="F176" i="68" s="1"/>
  <c r="G887" i="36"/>
  <c r="N887" i="36" s="1"/>
  <c r="E177" i="68" s="1"/>
  <c r="F177" i="68" s="1"/>
  <c r="G888" i="36"/>
  <c r="N888" i="36" s="1"/>
  <c r="E178" i="68" s="1"/>
  <c r="F178" i="68" s="1"/>
  <c r="G889" i="36"/>
  <c r="N889" i="36" s="1"/>
  <c r="E179" i="68" s="1"/>
  <c r="F179" i="68" s="1"/>
  <c r="G884" i="36"/>
  <c r="N884" i="36" s="1"/>
  <c r="E174" i="68" s="1"/>
  <c r="F174" i="68" s="1"/>
  <c r="G854" i="36"/>
  <c r="N854" i="36" s="1"/>
  <c r="E170" i="68" s="1"/>
  <c r="F170" i="68" s="1"/>
  <c r="G855" i="36"/>
  <c r="N855" i="36" s="1"/>
  <c r="E171" i="68" s="1"/>
  <c r="F171" i="68" s="1"/>
  <c r="G856" i="36"/>
  <c r="N856" i="36" s="1"/>
  <c r="E172" i="68" s="1"/>
  <c r="F172" i="68" s="1"/>
  <c r="G853" i="36"/>
  <c r="N853" i="36" s="1"/>
  <c r="E169" i="68" s="1"/>
  <c r="F169" i="68" s="1"/>
  <c r="G848" i="36"/>
  <c r="N848" i="36" s="1"/>
  <c r="E165" i="68" s="1"/>
  <c r="F165" i="68" s="1"/>
  <c r="G849" i="36"/>
  <c r="N849" i="36" s="1"/>
  <c r="E166" i="68" s="1"/>
  <c r="F166" i="68" s="1"/>
  <c r="G850" i="36"/>
  <c r="N850" i="36" s="1"/>
  <c r="E167" i="68" s="1"/>
  <c r="F167" i="68" s="1"/>
  <c r="G847" i="36"/>
  <c r="N847" i="36" s="1"/>
  <c r="E164" i="68" s="1"/>
  <c r="F164" i="68" s="1"/>
  <c r="G839" i="36"/>
  <c r="N839" i="36" s="1"/>
  <c r="E190" i="68" s="1"/>
  <c r="F190" i="68" s="1"/>
  <c r="G840" i="36"/>
  <c r="N840" i="36" s="1"/>
  <c r="E191" i="68" s="1"/>
  <c r="F191" i="68" s="1"/>
  <c r="G841" i="36"/>
  <c r="N841" i="36" s="1"/>
  <c r="E192" i="68" s="1"/>
  <c r="F192" i="68" s="1"/>
  <c r="G842" i="36"/>
  <c r="N842" i="36" s="1"/>
  <c r="E193" i="68" s="1"/>
  <c r="F193" i="68" s="1"/>
  <c r="G843" i="36"/>
  <c r="N843" i="36" s="1"/>
  <c r="E194" i="68" s="1"/>
  <c r="F194" i="68" s="1"/>
  <c r="G838" i="36"/>
  <c r="N838" i="36" s="1"/>
  <c r="E189" i="68" s="1"/>
  <c r="F189" i="68" s="1"/>
  <c r="G831" i="36"/>
  <c r="N831" i="36" s="1"/>
  <c r="E183" i="68" s="1"/>
  <c r="F183" i="68" s="1"/>
  <c r="G832" i="36"/>
  <c r="N832" i="36" s="1"/>
  <c r="E184" i="68" s="1"/>
  <c r="F184" i="68" s="1"/>
  <c r="G833" i="36"/>
  <c r="N833" i="36" s="1"/>
  <c r="E185" i="68" s="1"/>
  <c r="F185" i="68" s="1"/>
  <c r="G834" i="36"/>
  <c r="N834" i="36" s="1"/>
  <c r="E186" i="68" s="1"/>
  <c r="F186" i="68" s="1"/>
  <c r="G835" i="36"/>
  <c r="N835" i="36" s="1"/>
  <c r="E187" i="68" s="1"/>
  <c r="F187" i="68" s="1"/>
  <c r="G830" i="36"/>
  <c r="N830" i="36" s="1"/>
  <c r="E182" i="68" s="1"/>
  <c r="F182" i="68" s="1"/>
  <c r="G787" i="36"/>
  <c r="N787" i="36" s="1"/>
  <c r="E137" i="68" s="1"/>
  <c r="F137" i="68" s="1"/>
  <c r="G788" i="36"/>
  <c r="N788" i="36" s="1"/>
  <c r="E138" i="68" s="1"/>
  <c r="F138" i="68" s="1"/>
  <c r="G789" i="36"/>
  <c r="N789" i="36" s="1"/>
  <c r="E139" i="68" s="1"/>
  <c r="F139" i="68" s="1"/>
  <c r="G790" i="36"/>
  <c r="N790" i="36" s="1"/>
  <c r="E140" i="68" s="1"/>
  <c r="F140" i="68" s="1"/>
  <c r="G791" i="36"/>
  <c r="N791" i="36" s="1"/>
  <c r="E141" i="68" s="1"/>
  <c r="F141" i="68" s="1"/>
  <c r="G792" i="36"/>
  <c r="N792" i="36" s="1"/>
  <c r="E142" i="68" s="1"/>
  <c r="F142" i="68" s="1"/>
  <c r="G793" i="36"/>
  <c r="N793" i="36" s="1"/>
  <c r="E143" i="68" s="1"/>
  <c r="F143" i="68" s="1"/>
  <c r="G794" i="36"/>
  <c r="N794" i="36" s="1"/>
  <c r="E144" i="68" s="1"/>
  <c r="F144" i="68" s="1"/>
  <c r="G795" i="36"/>
  <c r="N795" i="36" s="1"/>
  <c r="E145" i="68" s="1"/>
  <c r="F145" i="68" s="1"/>
  <c r="G796" i="36"/>
  <c r="N796" i="36" s="1"/>
  <c r="E146" i="68" s="1"/>
  <c r="F146" i="68" s="1"/>
  <c r="G797" i="36"/>
  <c r="N797" i="36" s="1"/>
  <c r="E147" i="68" s="1"/>
  <c r="F147" i="68" s="1"/>
  <c r="G798" i="36"/>
  <c r="N798" i="36" s="1"/>
  <c r="E148" i="68" s="1"/>
  <c r="F148" i="68" s="1"/>
  <c r="G799" i="36"/>
  <c r="N799" i="36" s="1"/>
  <c r="E149" i="68" s="1"/>
  <c r="F149" i="68" s="1"/>
  <c r="G800" i="36"/>
  <c r="N800" i="36" s="1"/>
  <c r="E150" i="68" s="1"/>
  <c r="F150" i="68" s="1"/>
  <c r="G801" i="36"/>
  <c r="N801" i="36" s="1"/>
  <c r="E151" i="68" s="1"/>
  <c r="F151" i="68" s="1"/>
  <c r="G802" i="36"/>
  <c r="N802" i="36" s="1"/>
  <c r="E152" i="68" s="1"/>
  <c r="F152" i="68" s="1"/>
  <c r="G803" i="36"/>
  <c r="N803" i="36" s="1"/>
  <c r="E153" i="68" s="1"/>
  <c r="F153" i="68" s="1"/>
  <c r="G786" i="36"/>
  <c r="N786" i="36" s="1"/>
  <c r="E136" i="68" s="1"/>
  <c r="F136" i="68" s="1"/>
  <c r="G777" i="36"/>
  <c r="N777" i="36" s="1"/>
  <c r="E127" i="68" s="1"/>
  <c r="F127" i="68" s="1"/>
  <c r="G778" i="36"/>
  <c r="N778" i="36" s="1"/>
  <c r="E128" i="68" s="1"/>
  <c r="F128" i="68" s="1"/>
  <c r="G779" i="36"/>
  <c r="N779" i="36" s="1"/>
  <c r="E129" i="68" s="1"/>
  <c r="F129" i="68" s="1"/>
  <c r="G780" i="36"/>
  <c r="N780" i="36" s="1"/>
  <c r="E130" i="68" s="1"/>
  <c r="F130" i="68" s="1"/>
  <c r="G781" i="36"/>
  <c r="N781" i="36" s="1"/>
  <c r="E131" i="68" s="1"/>
  <c r="F131" i="68" s="1"/>
  <c r="G782" i="36"/>
  <c r="N782" i="36" s="1"/>
  <c r="E132" i="68" s="1"/>
  <c r="F132" i="68" s="1"/>
  <c r="G783" i="36"/>
  <c r="N783" i="36" s="1"/>
  <c r="E133" i="68" s="1"/>
  <c r="F133" i="68" s="1"/>
  <c r="G784" i="36"/>
  <c r="N784" i="36" s="1"/>
  <c r="E134" i="68" s="1"/>
  <c r="F134" i="68" s="1"/>
  <c r="G776" i="36"/>
  <c r="N776" i="36" s="1"/>
  <c r="E126" i="68" s="1"/>
  <c r="F126" i="68" s="1"/>
  <c r="G743" i="36"/>
  <c r="N743" i="36" s="1"/>
  <c r="E117" i="68" s="1"/>
  <c r="F117" i="68" s="1"/>
  <c r="G744" i="36"/>
  <c r="N744" i="36" s="1"/>
  <c r="E118" i="68" s="1"/>
  <c r="F118" i="68" s="1"/>
  <c r="G745" i="36"/>
  <c r="N745" i="36" s="1"/>
  <c r="E119" i="68" s="1"/>
  <c r="F119" i="68" s="1"/>
  <c r="G746" i="36"/>
  <c r="N746" i="36" s="1"/>
  <c r="E120" i="68" s="1"/>
  <c r="F120" i="68" s="1"/>
  <c r="G747" i="36"/>
  <c r="N747" i="36" s="1"/>
  <c r="E121" i="68" s="1"/>
  <c r="F121" i="68" s="1"/>
  <c r="G748" i="36"/>
  <c r="N748" i="36" s="1"/>
  <c r="E122" i="68" s="1"/>
  <c r="F122" i="68" s="1"/>
  <c r="G749" i="36"/>
  <c r="N749" i="36" s="1"/>
  <c r="E123" i="68" s="1"/>
  <c r="F123" i="68" s="1"/>
  <c r="G750" i="36"/>
  <c r="N750" i="36" s="1"/>
  <c r="E124" i="68" s="1"/>
  <c r="F124" i="68" s="1"/>
  <c r="G742" i="36"/>
  <c r="N742" i="36" s="1"/>
  <c r="E116" i="68" s="1"/>
  <c r="F116" i="68" s="1"/>
  <c r="G731" i="36"/>
  <c r="N731" i="36" s="1"/>
  <c r="E107" i="68" s="1"/>
  <c r="F107" i="68" s="1"/>
  <c r="G732" i="36"/>
  <c r="N732" i="36" s="1"/>
  <c r="E108" i="68" s="1"/>
  <c r="F108" i="68" s="1"/>
  <c r="G733" i="36"/>
  <c r="N733" i="36" s="1"/>
  <c r="E109" i="68" s="1"/>
  <c r="F109" i="68" s="1"/>
  <c r="G734" i="36"/>
  <c r="N734" i="36" s="1"/>
  <c r="E110" i="68" s="1"/>
  <c r="F110" i="68" s="1"/>
  <c r="G735" i="36"/>
  <c r="N735" i="36" s="1"/>
  <c r="E111" i="68" s="1"/>
  <c r="F111" i="68" s="1"/>
  <c r="G736" i="36"/>
  <c r="N736" i="36" s="1"/>
  <c r="E112" i="68" s="1"/>
  <c r="F112" i="68" s="1"/>
  <c r="G737" i="36"/>
  <c r="N737" i="36" s="1"/>
  <c r="E113" i="68" s="1"/>
  <c r="F113" i="68" s="1"/>
  <c r="G738" i="36"/>
  <c r="N738" i="36" s="1"/>
  <c r="E114" i="68" s="1"/>
  <c r="F114" i="68" s="1"/>
  <c r="G730" i="36"/>
  <c r="N730" i="36" s="1"/>
  <c r="E106" i="68" s="1"/>
  <c r="F106" i="68" s="1"/>
  <c r="G722" i="36"/>
  <c r="N722" i="36" s="1"/>
  <c r="E100" i="68" s="1"/>
  <c r="F100" i="68" s="1"/>
  <c r="G723" i="36"/>
  <c r="N723" i="36" s="1"/>
  <c r="E101" i="68" s="1"/>
  <c r="F101" i="68" s="1"/>
  <c r="G724" i="36"/>
  <c r="N724" i="36" s="1"/>
  <c r="E102" i="68" s="1"/>
  <c r="F102" i="68" s="1"/>
  <c r="G725" i="36"/>
  <c r="N725" i="36" s="1"/>
  <c r="E103" i="68" s="1"/>
  <c r="F103" i="68" s="1"/>
  <c r="G726" i="36"/>
  <c r="N726" i="36" s="1"/>
  <c r="E104" i="68" s="1"/>
  <c r="F104" i="68" s="1"/>
  <c r="G721" i="36"/>
  <c r="N721" i="36" s="1"/>
  <c r="E99" i="68" s="1"/>
  <c r="F99" i="68" s="1"/>
  <c r="G674" i="36"/>
  <c r="N674" i="36" s="1"/>
  <c r="E319" i="68" s="1"/>
  <c r="F319" i="68" s="1"/>
  <c r="G673" i="36"/>
  <c r="N673" i="36" s="1"/>
  <c r="E318" i="68" s="1"/>
  <c r="F318" i="68" s="1"/>
  <c r="G669" i="36"/>
  <c r="N669" i="36" s="1"/>
  <c r="E315" i="68" s="1"/>
  <c r="F315" i="68" s="1"/>
  <c r="G668" i="36"/>
  <c r="N668" i="36" s="1"/>
  <c r="E314" i="68" s="1"/>
  <c r="F314" i="68" s="1"/>
  <c r="G646" i="36"/>
  <c r="N646" i="36" s="1"/>
  <c r="E312" i="68" s="1"/>
  <c r="F312" i="68" s="1"/>
  <c r="G645" i="36"/>
  <c r="N645" i="36" s="1"/>
  <c r="E311" i="68" s="1"/>
  <c r="F311" i="68" s="1"/>
  <c r="G636" i="36"/>
  <c r="N636" i="36" s="1"/>
  <c r="E304" i="68" s="1"/>
  <c r="F304" i="68" s="1"/>
  <c r="G637" i="36"/>
  <c r="N637" i="36" s="1"/>
  <c r="E305" i="68" s="1"/>
  <c r="F305" i="68" s="1"/>
  <c r="G638" i="36"/>
  <c r="N638" i="36" s="1"/>
  <c r="E306" i="68" s="1"/>
  <c r="F306" i="68" s="1"/>
  <c r="G639" i="36"/>
  <c r="N639" i="36" s="1"/>
  <c r="E307" i="68" s="1"/>
  <c r="F307" i="68" s="1"/>
  <c r="G640" i="36"/>
  <c r="N640" i="36" s="1"/>
  <c r="E308" i="68" s="1"/>
  <c r="F308" i="68" s="1"/>
  <c r="G635" i="36"/>
  <c r="N635" i="36" s="1"/>
  <c r="E303" i="68" s="1"/>
  <c r="F303" i="68" s="1"/>
  <c r="G630" i="36"/>
  <c r="N630" i="36" s="1"/>
  <c r="E300" i="68" s="1"/>
  <c r="F300" i="68" s="1"/>
  <c r="G631" i="36"/>
  <c r="N631" i="36" s="1"/>
  <c r="E301" i="68" s="1"/>
  <c r="F301" i="68" s="1"/>
  <c r="G629" i="36"/>
  <c r="N629" i="36" s="1"/>
  <c r="E299" i="68" s="1"/>
  <c r="F299" i="68" s="1"/>
  <c r="G624" i="36"/>
  <c r="N624" i="36" s="1"/>
  <c r="E296" i="68" s="1"/>
  <c r="F296" i="68" s="1"/>
  <c r="G625" i="36"/>
  <c r="N625" i="36" s="1"/>
  <c r="E297" i="68" s="1"/>
  <c r="F297" i="68" s="1"/>
  <c r="G623" i="36"/>
  <c r="N623" i="36" s="1"/>
  <c r="E295" i="68" s="1"/>
  <c r="F295" i="68" s="1"/>
  <c r="G618" i="36"/>
  <c r="N618" i="36" s="1"/>
  <c r="E292" i="68" s="1"/>
  <c r="F292" i="68" s="1"/>
  <c r="G619" i="36"/>
  <c r="N619" i="36" s="1"/>
  <c r="E293" i="68" s="1"/>
  <c r="F293" i="68" s="1"/>
  <c r="G617" i="36"/>
  <c r="N617" i="36" s="1"/>
  <c r="E291" i="68" s="1"/>
  <c r="F291" i="68" s="1"/>
  <c r="G613" i="36"/>
  <c r="N613" i="36" s="1"/>
  <c r="E289" i="68" s="1"/>
  <c r="F289" i="68" s="1"/>
  <c r="G612" i="36"/>
  <c r="N612" i="36" s="1"/>
  <c r="E288" i="68" s="1"/>
  <c r="F288" i="68" s="1"/>
  <c r="G565" i="36"/>
  <c r="N565" i="36" s="1"/>
  <c r="E280" i="68" s="1"/>
  <c r="F280" i="68" s="1"/>
  <c r="G564" i="36"/>
  <c r="N564" i="36" s="1"/>
  <c r="E279" i="68" s="1"/>
  <c r="F279" i="68" s="1"/>
  <c r="G560" i="36"/>
  <c r="N560" i="36" s="1"/>
  <c r="E276" i="68" s="1"/>
  <c r="F276" i="68" s="1"/>
  <c r="G559" i="36"/>
  <c r="N559" i="36" s="1"/>
  <c r="E275" i="68" s="1"/>
  <c r="F275" i="68" s="1"/>
  <c r="G538" i="36"/>
  <c r="N538" i="36" s="1"/>
  <c r="E272" i="68" s="1"/>
  <c r="F272" i="68" s="1"/>
  <c r="G537" i="36"/>
  <c r="N537" i="36" s="1"/>
  <c r="E271" i="68" s="1"/>
  <c r="F271" i="68" s="1"/>
  <c r="G528" i="36"/>
  <c r="N528" i="36" s="1"/>
  <c r="E264" i="68" s="1"/>
  <c r="F264" i="68" s="1"/>
  <c r="G529" i="36"/>
  <c r="N529" i="36" s="1"/>
  <c r="E265" i="68" s="1"/>
  <c r="F265" i="68" s="1"/>
  <c r="G530" i="36"/>
  <c r="N530" i="36" s="1"/>
  <c r="E266" i="68" s="1"/>
  <c r="F266" i="68" s="1"/>
  <c r="G531" i="36"/>
  <c r="N531" i="36" s="1"/>
  <c r="E267" i="68" s="1"/>
  <c r="F267" i="68" s="1"/>
  <c r="G532" i="36"/>
  <c r="N532" i="36" s="1"/>
  <c r="E268" i="68" s="1"/>
  <c r="F268" i="68" s="1"/>
  <c r="G527" i="36"/>
  <c r="N527" i="36" s="1"/>
  <c r="E263" i="68" s="1"/>
  <c r="F263" i="68" s="1"/>
  <c r="G522" i="36"/>
  <c r="N522" i="36" s="1"/>
  <c r="E260" i="68" s="1"/>
  <c r="F260" i="68" s="1"/>
  <c r="G523" i="36"/>
  <c r="N523" i="36" s="1"/>
  <c r="E261" i="68" s="1"/>
  <c r="F261" i="68" s="1"/>
  <c r="G521" i="36"/>
  <c r="N521" i="36" s="1"/>
  <c r="E259" i="68" s="1"/>
  <c r="F259" i="68" s="1"/>
  <c r="G516" i="36"/>
  <c r="N516" i="36" s="1"/>
  <c r="E256" i="68" s="1"/>
  <c r="F256" i="68" s="1"/>
  <c r="G517" i="36"/>
  <c r="N517" i="36" s="1"/>
  <c r="E257" i="68" s="1"/>
  <c r="F257" i="68" s="1"/>
  <c r="G515" i="36"/>
  <c r="N515" i="36" s="1"/>
  <c r="E255" i="68" s="1"/>
  <c r="F255" i="68" s="1"/>
  <c r="G510" i="36"/>
  <c r="N510" i="36" s="1"/>
  <c r="E252" i="68" s="1"/>
  <c r="F252" i="68" s="1"/>
  <c r="G511" i="36"/>
  <c r="N511" i="36" s="1"/>
  <c r="E253" i="68" s="1"/>
  <c r="F253" i="68" s="1"/>
  <c r="G509" i="36"/>
  <c r="N509" i="36" s="1"/>
  <c r="E251" i="68" s="1"/>
  <c r="F251" i="68" s="1"/>
  <c r="G505" i="36"/>
  <c r="N505" i="36" s="1"/>
  <c r="E249" i="68" s="1"/>
  <c r="F249" i="68" s="1"/>
  <c r="G504" i="36"/>
  <c r="N504" i="36" s="1"/>
  <c r="E248" i="68" s="1"/>
  <c r="F248" i="68" s="1"/>
  <c r="G477" i="36"/>
  <c r="N477" i="36" s="1"/>
  <c r="E241" i="68" s="1"/>
  <c r="F241" i="68" s="1"/>
  <c r="G476" i="36"/>
  <c r="N476" i="36" s="1"/>
  <c r="E240" i="68" s="1"/>
  <c r="F240" i="68" s="1"/>
  <c r="G472" i="36"/>
  <c r="N472" i="36" s="1"/>
  <c r="E238" i="68" s="1"/>
  <c r="F238" i="68" s="1"/>
  <c r="G471" i="36"/>
  <c r="N471" i="36" s="1"/>
  <c r="E237" i="68" s="1"/>
  <c r="F237" i="68" s="1"/>
  <c r="G467" i="36"/>
  <c r="N467" i="36" s="1"/>
  <c r="E244" i="68" s="1"/>
  <c r="F244" i="68" s="1"/>
  <c r="G466" i="36"/>
  <c r="N466" i="36" s="1"/>
  <c r="E243" i="68" s="1"/>
  <c r="F243" i="68" s="1"/>
  <c r="G461" i="36"/>
  <c r="H84" i="50" s="1"/>
  <c r="G462" i="36"/>
  <c r="H85" i="50" s="1"/>
  <c r="G460" i="36"/>
  <c r="G83" i="50" s="1"/>
  <c r="G455" i="36"/>
  <c r="H87" i="50" s="1"/>
  <c r="G456" i="36"/>
  <c r="H88" i="50" s="1"/>
  <c r="G454" i="36"/>
  <c r="G86" i="50" s="1"/>
  <c r="G450" i="36"/>
  <c r="H82" i="50" s="1"/>
  <c r="G449" i="36"/>
  <c r="G82" i="50" s="1"/>
  <c r="G423" i="36"/>
  <c r="N423" i="36" s="1"/>
  <c r="E215" i="68" s="1"/>
  <c r="F215" i="68" s="1"/>
  <c r="G422" i="36"/>
  <c r="N422" i="36" s="1"/>
  <c r="E214" i="68" s="1"/>
  <c r="F214" i="68" s="1"/>
  <c r="G418" i="36"/>
  <c r="N418" i="36" s="1"/>
  <c r="E211" i="68" s="1"/>
  <c r="F211" i="68" s="1"/>
  <c r="G417" i="36"/>
  <c r="N417" i="36" s="1"/>
  <c r="E210" i="68" s="1"/>
  <c r="F210" i="68" s="1"/>
  <c r="G413" i="36"/>
  <c r="N413" i="36" s="1"/>
  <c r="E219" i="68" s="1"/>
  <c r="F219" i="68" s="1"/>
  <c r="G412" i="36"/>
  <c r="N412" i="36" s="1"/>
  <c r="E218" i="68" s="1"/>
  <c r="F218" i="68" s="1"/>
  <c r="G407" i="36"/>
  <c r="H29" i="50" s="1"/>
  <c r="G408" i="36"/>
  <c r="H30" i="50" s="1"/>
  <c r="G406" i="36"/>
  <c r="G28" i="50" s="1"/>
  <c r="G401" i="36"/>
  <c r="H32" i="50" s="1"/>
  <c r="G402" i="36"/>
  <c r="H33" i="50" s="1"/>
  <c r="G400" i="36"/>
  <c r="G31" i="50" s="1"/>
  <c r="G396" i="36"/>
  <c r="H27" i="50" s="1"/>
  <c r="G395" i="36"/>
  <c r="G27" i="50" s="1"/>
  <c r="G365" i="36"/>
  <c r="N365" i="36" s="1"/>
  <c r="E90" i="68" s="1"/>
  <c r="F90" i="68" s="1"/>
  <c r="G366" i="36"/>
  <c r="N366" i="36" s="1"/>
  <c r="E91" i="68" s="1"/>
  <c r="F91" i="68" s="1"/>
  <c r="G364" i="36"/>
  <c r="N364" i="36" s="1"/>
  <c r="E89" i="68" s="1"/>
  <c r="F89" i="68" s="1"/>
  <c r="G360" i="36"/>
  <c r="N360" i="36" s="1"/>
  <c r="E82" i="68" s="1"/>
  <c r="F82" i="68" s="1"/>
  <c r="G359" i="36"/>
  <c r="N359" i="36" s="1"/>
  <c r="E81" i="68" s="1"/>
  <c r="F81" i="68" s="1"/>
  <c r="G354" i="36"/>
  <c r="N354" i="36" s="1"/>
  <c r="E63" i="68" s="1"/>
  <c r="G355" i="36"/>
  <c r="N355" i="36" s="1"/>
  <c r="E64" i="68" s="1"/>
  <c r="G353" i="36"/>
  <c r="N353" i="36" s="1"/>
  <c r="E62" i="68" s="1"/>
  <c r="G348" i="36"/>
  <c r="N348" i="36" s="1"/>
  <c r="E50" i="68" s="1"/>
  <c r="F50" i="68" s="1"/>
  <c r="G349" i="36"/>
  <c r="N349" i="36" s="1"/>
  <c r="E51" i="68" s="1"/>
  <c r="F51" i="68" s="1"/>
  <c r="G347" i="36"/>
  <c r="I139" i="46" s="1"/>
  <c r="G343" i="36"/>
  <c r="N343" i="36" s="1"/>
  <c r="E38" i="68" s="1"/>
  <c r="F38" i="68" s="1"/>
  <c r="G342" i="36"/>
  <c r="N342" i="36" s="1"/>
  <c r="E37" i="68" s="1"/>
  <c r="F37" i="68" s="1"/>
  <c r="G341" i="36"/>
  <c r="I135" i="46" s="1"/>
  <c r="G300" i="36"/>
  <c r="N300" i="36" s="1"/>
  <c r="E93" i="68" s="1"/>
  <c r="F93" i="68" s="1"/>
  <c r="G301" i="36"/>
  <c r="N301" i="36" s="1"/>
  <c r="E94" i="68" s="1"/>
  <c r="F94" i="68" s="1"/>
  <c r="G299" i="36"/>
  <c r="N299" i="36" s="1"/>
  <c r="E92" i="68" s="1"/>
  <c r="F92" i="68" s="1"/>
  <c r="G297" i="36"/>
  <c r="N297" i="36" s="1"/>
  <c r="E87" i="68" s="1"/>
  <c r="F87" i="68" s="1"/>
  <c r="G298" i="36"/>
  <c r="N298" i="36" s="1"/>
  <c r="E88" i="68" s="1"/>
  <c r="F88" i="68" s="1"/>
  <c r="G296" i="36"/>
  <c r="N296" i="36" s="1"/>
  <c r="E86" i="68" s="1"/>
  <c r="F86" i="68" s="1"/>
  <c r="G292" i="36"/>
  <c r="N292" i="36" s="1"/>
  <c r="E84" i="68" s="1"/>
  <c r="F84" i="68" s="1"/>
  <c r="G291" i="36"/>
  <c r="N291" i="36" s="1"/>
  <c r="E83" i="68" s="1"/>
  <c r="F83" i="68" s="1"/>
  <c r="G290" i="36"/>
  <c r="N290" i="36" s="1"/>
  <c r="E80" i="68" s="1"/>
  <c r="F80" i="68" s="1"/>
  <c r="G289" i="36"/>
  <c r="N289" i="36" s="1"/>
  <c r="E79" i="68" s="1"/>
  <c r="F79" i="68" s="1"/>
  <c r="G262" i="36"/>
  <c r="N262" i="36" s="1"/>
  <c r="E69" i="68" s="1"/>
  <c r="F69" i="68" s="1"/>
  <c r="G263" i="36"/>
  <c r="N263" i="36" s="1"/>
  <c r="E70" i="68" s="1"/>
  <c r="F70" i="68" s="1"/>
  <c r="G261" i="36"/>
  <c r="G138" i="46" s="1"/>
  <c r="G259" i="36"/>
  <c r="N259" i="36" s="1"/>
  <c r="E66" i="68" s="1"/>
  <c r="F66" i="68" s="1"/>
  <c r="G260" i="36"/>
  <c r="N260" i="36" s="1"/>
  <c r="E67" i="68" s="1"/>
  <c r="F67" i="68" s="1"/>
  <c r="G258" i="36"/>
  <c r="G137" i="46" s="1"/>
  <c r="G256" i="36"/>
  <c r="N256" i="36" s="1"/>
  <c r="E60" i="68" s="1"/>
  <c r="F60" i="68" s="1"/>
  <c r="G257" i="36"/>
  <c r="N257" i="36" s="1"/>
  <c r="E61" i="68" s="1"/>
  <c r="F61" i="68" s="1"/>
  <c r="G255" i="36"/>
  <c r="F136" i="46" s="1"/>
  <c r="G250" i="36"/>
  <c r="N250" i="36" s="1"/>
  <c r="E57" i="68" s="1"/>
  <c r="F57" i="68" s="1"/>
  <c r="G249" i="36"/>
  <c r="N249" i="36" s="1"/>
  <c r="E56" i="68" s="1"/>
  <c r="F56" i="68" s="1"/>
  <c r="G248" i="36"/>
  <c r="G141" i="46" s="1"/>
  <c r="G247" i="36"/>
  <c r="N247" i="36" s="1"/>
  <c r="E54" i="68" s="1"/>
  <c r="F54" i="68" s="1"/>
  <c r="G246" i="36"/>
  <c r="N246" i="36" s="1"/>
  <c r="E53" i="68" s="1"/>
  <c r="F53" i="68" s="1"/>
  <c r="G245" i="36"/>
  <c r="G140" i="46" s="1"/>
  <c r="G244" i="36"/>
  <c r="N244" i="36" s="1"/>
  <c r="E48" i="68" s="1"/>
  <c r="F48" i="68" s="1"/>
  <c r="G243" i="36"/>
  <c r="N243" i="36" s="1"/>
  <c r="E47" i="68" s="1"/>
  <c r="F47" i="68" s="1"/>
  <c r="G242" i="36"/>
  <c r="F139" i="46" s="1"/>
  <c r="G238" i="36"/>
  <c r="N238" i="36" s="1"/>
  <c r="E41" i="68" s="1"/>
  <c r="F41" i="68" s="1"/>
  <c r="G237" i="36"/>
  <c r="N237" i="36" s="1"/>
  <c r="E40" i="68" s="1"/>
  <c r="F40" i="68" s="1"/>
  <c r="G236" i="36"/>
  <c r="N236" i="36" s="1"/>
  <c r="M135" i="46" s="1"/>
  <c r="G235" i="36"/>
  <c r="N235" i="36" s="1"/>
  <c r="E35" i="68" s="1"/>
  <c r="F35" i="68" s="1"/>
  <c r="G234" i="36"/>
  <c r="N234" i="36" s="1"/>
  <c r="E34" i="68" s="1"/>
  <c r="F34" i="68" s="1"/>
  <c r="G233" i="36"/>
  <c r="G184" i="36"/>
  <c r="N184" i="36" s="1"/>
  <c r="E30" i="68" s="1"/>
  <c r="F30" i="68" s="1"/>
  <c r="G180" i="36"/>
  <c r="N180" i="36" s="1"/>
  <c r="E28" i="68" s="1"/>
  <c r="F28" i="68" s="1"/>
  <c r="G141" i="36"/>
  <c r="N141" i="36" s="1"/>
  <c r="E25" i="68" s="1"/>
  <c r="F25" i="68" s="1"/>
  <c r="G140" i="36"/>
  <c r="N140" i="36" s="1"/>
  <c r="E24" i="68" s="1"/>
  <c r="F24" i="68" s="1"/>
  <c r="G135" i="36"/>
  <c r="N135" i="36" s="1"/>
  <c r="E22" i="68" s="1"/>
  <c r="F22" i="68" s="1"/>
  <c r="G134" i="36"/>
  <c r="N134" i="36" s="1"/>
  <c r="E21" i="68" s="1"/>
  <c r="F21" i="68" s="1"/>
  <c r="G133" i="36"/>
  <c r="N133" i="36" s="1"/>
  <c r="E20" i="68" s="1"/>
  <c r="F20" i="68" s="1"/>
  <c r="G132" i="36"/>
  <c r="F93" i="46" s="1"/>
  <c r="G128" i="36"/>
  <c r="N128" i="36" s="1"/>
  <c r="E17" i="68" s="1"/>
  <c r="F17" i="68" s="1"/>
  <c r="G127" i="36"/>
  <c r="N127" i="36" s="1"/>
  <c r="E16" i="68" s="1"/>
  <c r="F16" i="68" s="1"/>
  <c r="G126" i="36"/>
  <c r="F91" i="46" s="1"/>
  <c r="G82" i="36"/>
  <c r="N82" i="36" s="1"/>
  <c r="E11" i="68" s="1"/>
  <c r="F11" i="68" s="1"/>
  <c r="G81" i="36"/>
  <c r="F41" i="46" s="1"/>
  <c r="G80" i="36"/>
  <c r="F40" i="46" s="1"/>
  <c r="G73" i="36"/>
  <c r="N73" i="36" s="1"/>
  <c r="E5" i="68" s="1"/>
  <c r="F5" i="68" s="1"/>
  <c r="G72" i="36"/>
  <c r="F37" i="46" s="1"/>
  <c r="E804" i="36"/>
  <c r="E750" i="36"/>
  <c r="E749" i="36"/>
  <c r="E748" i="36"/>
  <c r="E746" i="36"/>
  <c r="E747" i="36"/>
  <c r="E745" i="36"/>
  <c r="E744" i="36"/>
  <c r="E743" i="36"/>
  <c r="E742" i="36"/>
  <c r="E738" i="36"/>
  <c r="E737" i="36"/>
  <c r="E736" i="36"/>
  <c r="E735" i="36"/>
  <c r="E734" i="36"/>
  <c r="E733" i="36"/>
  <c r="E732" i="36"/>
  <c r="E731" i="36"/>
  <c r="E730" i="36"/>
  <c r="E674" i="36"/>
  <c r="L674" i="36" s="1"/>
  <c r="E673" i="36"/>
  <c r="E669" i="36"/>
  <c r="L669" i="36" s="1"/>
  <c r="E668" i="36"/>
  <c r="F135" i="46" l="1"/>
  <c r="G135" i="46"/>
  <c r="N396" i="36"/>
  <c r="K27" i="50" s="1"/>
  <c r="N450" i="36"/>
  <c r="K82" i="50" s="1"/>
  <c r="N132" i="36"/>
  <c r="I93" i="46" s="1"/>
  <c r="N400" i="36"/>
  <c r="J31" i="50" s="1"/>
  <c r="N454" i="36"/>
  <c r="N245" i="36"/>
  <c r="N347" i="36"/>
  <c r="N402" i="36"/>
  <c r="N456" i="36"/>
  <c r="N401" i="36"/>
  <c r="N406" i="36"/>
  <c r="J28" i="50" s="1"/>
  <c r="N460" i="36"/>
  <c r="J83" i="50" s="1"/>
  <c r="N455" i="36"/>
  <c r="N248" i="36"/>
  <c r="N408" i="36"/>
  <c r="N462" i="36"/>
  <c r="N407" i="36"/>
  <c r="N255" i="36"/>
  <c r="E59" i="68" s="1"/>
  <c r="F59" i="68" s="1"/>
  <c r="N72" i="36"/>
  <c r="N233" i="36"/>
  <c r="L135" i="46" s="1"/>
  <c r="N80" i="36"/>
  <c r="N258" i="36"/>
  <c r="M137" i="46" s="1"/>
  <c r="N81" i="36"/>
  <c r="N461" i="36"/>
  <c r="K84" i="50" s="1"/>
  <c r="N261" i="36"/>
  <c r="M138" i="46" s="1"/>
  <c r="N242" i="36"/>
  <c r="N341" i="36"/>
  <c r="O135" i="46" s="1"/>
  <c r="N395" i="36"/>
  <c r="N449" i="36"/>
  <c r="E39" i="68"/>
  <c r="F39" i="68" s="1"/>
  <c r="E751" i="36"/>
  <c r="N126" i="36"/>
  <c r="I91" i="46" s="1"/>
  <c r="E229" i="68" l="1"/>
  <c r="F229" i="68" s="1"/>
  <c r="K87" i="50"/>
  <c r="E198" i="68"/>
  <c r="F198" i="68" s="1"/>
  <c r="J27" i="50"/>
  <c r="E230" i="68"/>
  <c r="F230" i="68" s="1"/>
  <c r="K88" i="50"/>
  <c r="E225" i="68"/>
  <c r="F225" i="68" s="1"/>
  <c r="J82" i="50"/>
  <c r="E202" i="68"/>
  <c r="F202" i="68" s="1"/>
  <c r="K32" i="50"/>
  <c r="E9" i="68"/>
  <c r="F9" i="68" s="1"/>
  <c r="E55" i="68"/>
  <c r="F55" i="68" s="1"/>
  <c r="M141" i="46"/>
  <c r="E49" i="68"/>
  <c r="F49" i="68" s="1"/>
  <c r="O139" i="46"/>
  <c r="E52" i="68"/>
  <c r="F52" i="68" s="1"/>
  <c r="M140" i="46"/>
  <c r="E206" i="68"/>
  <c r="F206" i="68" s="1"/>
  <c r="K29" i="50"/>
  <c r="E46" i="68"/>
  <c r="F46" i="68" s="1"/>
  <c r="L139" i="46"/>
  <c r="E10" i="68"/>
  <c r="F10" i="68" s="1"/>
  <c r="E228" i="68"/>
  <c r="F228" i="68" s="1"/>
  <c r="J86" i="50"/>
  <c r="E234" i="68"/>
  <c r="F234" i="68" s="1"/>
  <c r="K85" i="50"/>
  <c r="E203" i="68"/>
  <c r="F203" i="68" s="1"/>
  <c r="K33" i="50"/>
  <c r="E4" i="68"/>
  <c r="F4" i="68" s="1"/>
  <c r="I37" i="46"/>
  <c r="E207" i="68"/>
  <c r="F207" i="68" s="1"/>
  <c r="K30" i="50"/>
  <c r="E36" i="68"/>
  <c r="F36" i="68" s="1"/>
  <c r="L136" i="46"/>
  <c r="E232" i="68"/>
  <c r="F232" i="68" s="1"/>
  <c r="E205" i="68"/>
  <c r="F205" i="68" s="1"/>
  <c r="E19" i="68"/>
  <c r="F19" i="68" s="1"/>
  <c r="E68" i="68"/>
  <c r="F68" i="68" s="1"/>
  <c r="E226" i="68"/>
  <c r="F226" i="68" s="1"/>
  <c r="E33" i="68"/>
  <c r="F33" i="68" s="1"/>
  <c r="E199" i="68"/>
  <c r="F199" i="68" s="1"/>
  <c r="E65" i="68"/>
  <c r="F65" i="68" s="1"/>
  <c r="E201" i="68"/>
  <c r="F201" i="68" s="1"/>
  <c r="E233" i="68"/>
  <c r="F233" i="68" s="1"/>
  <c r="E15" i="68"/>
  <c r="F15" i="68" s="1"/>
  <c r="S704" i="36"/>
  <c r="E646" i="36"/>
  <c r="L646" i="36" s="1"/>
  <c r="E645" i="36"/>
  <c r="E640" i="36"/>
  <c r="L640" i="36" s="1"/>
  <c r="E639" i="36"/>
  <c r="L639" i="36" s="1"/>
  <c r="E638" i="36"/>
  <c r="L638" i="36" s="1"/>
  <c r="E637" i="36"/>
  <c r="L637" i="36" s="1"/>
  <c r="E636" i="36"/>
  <c r="L636" i="36" s="1"/>
  <c r="E635" i="36"/>
  <c r="E631" i="36"/>
  <c r="L631" i="36" s="1"/>
  <c r="E630" i="36"/>
  <c r="L630" i="36" s="1"/>
  <c r="E629" i="36"/>
  <c r="E625" i="36"/>
  <c r="L625" i="36" s="1"/>
  <c r="E624" i="36"/>
  <c r="L624" i="36" s="1"/>
  <c r="E623" i="36"/>
  <c r="L623" i="36" s="1"/>
  <c r="E619" i="36"/>
  <c r="L619" i="36" s="1"/>
  <c r="E618" i="36"/>
  <c r="L618" i="36" s="1"/>
  <c r="E617" i="36"/>
  <c r="E939" i="36"/>
  <c r="L939" i="36" s="1"/>
  <c r="E565" i="36"/>
  <c r="L565" i="36" s="1"/>
  <c r="E564" i="36"/>
  <c r="L564" i="36" s="1"/>
  <c r="E255" i="36"/>
  <c r="L255" i="36" s="1"/>
  <c r="E242" i="36"/>
  <c r="L242" i="36" s="1"/>
  <c r="E560" i="36"/>
  <c r="L560" i="36" s="1"/>
  <c r="E559" i="36"/>
  <c r="L559" i="36" s="1"/>
  <c r="E538" i="36"/>
  <c r="L538" i="36" s="1"/>
  <c r="E537" i="36"/>
  <c r="E532" i="36"/>
  <c r="L532" i="36" s="1"/>
  <c r="E531" i="36"/>
  <c r="L531" i="36" s="1"/>
  <c r="E530" i="36"/>
  <c r="L530" i="36" s="1"/>
  <c r="E523" i="36"/>
  <c r="L523" i="36" s="1"/>
  <c r="E522" i="36"/>
  <c r="E517" i="36"/>
  <c r="L517" i="36" s="1"/>
  <c r="E516" i="36"/>
  <c r="L516" i="36" s="1"/>
  <c r="E511" i="36"/>
  <c r="L511" i="36" s="1"/>
  <c r="E510" i="36"/>
  <c r="L510" i="36" s="1"/>
  <c r="E477" i="36"/>
  <c r="L477" i="36" s="1"/>
  <c r="E476" i="36"/>
  <c r="L476" i="36" s="1"/>
  <c r="E472" i="36"/>
  <c r="L472" i="36" s="1"/>
  <c r="E471" i="36"/>
  <c r="L471" i="36" s="1"/>
  <c r="E467" i="36"/>
  <c r="L467" i="36" s="1"/>
  <c r="E466" i="36"/>
  <c r="L466" i="36" s="1"/>
  <c r="E462" i="36"/>
  <c r="L462" i="36" s="1"/>
  <c r="E461" i="36"/>
  <c r="L461" i="36" s="1"/>
  <c r="E460" i="36"/>
  <c r="E456" i="36"/>
  <c r="L456" i="36" s="1"/>
  <c r="E455" i="36"/>
  <c r="L455" i="36" s="1"/>
  <c r="E454" i="36"/>
  <c r="L454" i="36" s="1"/>
  <c r="N68" i="50" l="1"/>
  <c r="L468" i="36"/>
  <c r="L478" i="36"/>
  <c r="L566" i="36"/>
  <c r="L457" i="36"/>
  <c r="L561" i="36"/>
  <c r="E647" i="36"/>
  <c r="L518" i="36"/>
  <c r="E641" i="36"/>
  <c r="L635" i="36"/>
  <c r="L641" i="36" s="1"/>
  <c r="E524" i="36"/>
  <c r="L522" i="36"/>
  <c r="L524" i="36" s="1"/>
  <c r="E463" i="36"/>
  <c r="L460" i="36"/>
  <c r="L463" i="36" s="1"/>
  <c r="L473" i="36"/>
  <c r="E632" i="36"/>
  <c r="E423" i="36"/>
  <c r="L423" i="36" s="1"/>
  <c r="E422" i="36"/>
  <c r="L422" i="36" s="1"/>
  <c r="E418" i="36"/>
  <c r="L418" i="36" s="1"/>
  <c r="E417" i="36"/>
  <c r="L417" i="36" s="1"/>
  <c r="E413" i="36"/>
  <c r="L413" i="36" s="1"/>
  <c r="E412" i="36"/>
  <c r="L412" i="36" s="1"/>
  <c r="L424" i="36" l="1"/>
  <c r="L419" i="36"/>
  <c r="L533" i="36"/>
  <c r="L414" i="36"/>
  <c r="E408" i="36"/>
  <c r="L408" i="36" s="1"/>
  <c r="E407" i="36"/>
  <c r="L407" i="36" s="1"/>
  <c r="E406" i="36"/>
  <c r="L406" i="36" s="1"/>
  <c r="E402" i="36"/>
  <c r="L402" i="36" s="1"/>
  <c r="E401" i="36"/>
  <c r="L401" i="36" s="1"/>
  <c r="E400" i="36"/>
  <c r="L400" i="36" s="1"/>
  <c r="E366" i="36"/>
  <c r="L366" i="36" s="1"/>
  <c r="E365" i="36"/>
  <c r="L365" i="36" s="1"/>
  <c r="E364" i="36"/>
  <c r="L364" i="36" s="1"/>
  <c r="E360" i="36"/>
  <c r="L360" i="36" s="1"/>
  <c r="E359" i="36"/>
  <c r="L359" i="36" s="1"/>
  <c r="L361" i="36" s="1"/>
  <c r="E355" i="36"/>
  <c r="L355" i="36" s="1"/>
  <c r="E354" i="36"/>
  <c r="L354" i="36" s="1"/>
  <c r="E353" i="36"/>
  <c r="L353" i="36" s="1"/>
  <c r="E349" i="36"/>
  <c r="L349" i="36" s="1"/>
  <c r="E348" i="36"/>
  <c r="L348" i="36" s="1"/>
  <c r="E347" i="36"/>
  <c r="L347" i="36" s="1"/>
  <c r="L403" i="36" l="1"/>
  <c r="L367" i="36"/>
  <c r="L356" i="36"/>
  <c r="L409" i="36"/>
  <c r="L350" i="36"/>
  <c r="E367" i="36"/>
  <c r="E350" i="36"/>
  <c r="E403" i="36"/>
  <c r="E301" i="36"/>
  <c r="L301" i="36" s="1"/>
  <c r="E300" i="36"/>
  <c r="L300" i="36" s="1"/>
  <c r="E299" i="36"/>
  <c r="L299" i="36" s="1"/>
  <c r="E298" i="36"/>
  <c r="L298" i="36" s="1"/>
  <c r="E297" i="36"/>
  <c r="L297" i="36" s="1"/>
  <c r="E296" i="36"/>
  <c r="L296" i="36" s="1"/>
  <c r="E292" i="36"/>
  <c r="L292" i="36" s="1"/>
  <c r="E291" i="36"/>
  <c r="L291" i="36" s="1"/>
  <c r="E290" i="36"/>
  <c r="L290" i="36" s="1"/>
  <c r="E289" i="36"/>
  <c r="L289" i="36" s="1"/>
  <c r="E263" i="36"/>
  <c r="L263" i="36" s="1"/>
  <c r="E262" i="36"/>
  <c r="L262" i="36" s="1"/>
  <c r="E261" i="36"/>
  <c r="L261" i="36" s="1"/>
  <c r="L260" i="36"/>
  <c r="E259" i="36"/>
  <c r="L259" i="36" s="1"/>
  <c r="E258" i="36"/>
  <c r="L258" i="36" s="1"/>
  <c r="E257" i="36"/>
  <c r="L257" i="36" s="1"/>
  <c r="E256" i="36"/>
  <c r="L256" i="36" s="1"/>
  <c r="E250" i="36"/>
  <c r="L250" i="36" s="1"/>
  <c r="E249" i="36"/>
  <c r="L249" i="36" s="1"/>
  <c r="E248" i="36"/>
  <c r="L248" i="36" s="1"/>
  <c r="E247" i="36"/>
  <c r="L247" i="36" s="1"/>
  <c r="E246" i="36"/>
  <c r="L246" i="36" s="1"/>
  <c r="L302" i="36" l="1"/>
  <c r="L264" i="36"/>
  <c r="L293" i="36"/>
  <c r="E302" i="36"/>
  <c r="L245" i="36"/>
  <c r="E244" i="36"/>
  <c r="L244" i="36" s="1"/>
  <c r="E243" i="36"/>
  <c r="L243" i="36" s="1"/>
  <c r="E184" i="36"/>
  <c r="L184" i="36" s="1"/>
  <c r="L185" i="36" s="1"/>
  <c r="E141" i="36"/>
  <c r="L141" i="36" s="1"/>
  <c r="E140" i="36"/>
  <c r="L140" i="36" s="1"/>
  <c r="E135" i="36"/>
  <c r="L135" i="36" s="1"/>
  <c r="E134" i="36"/>
  <c r="L134" i="36" s="1"/>
  <c r="E133" i="36"/>
  <c r="L133" i="36" s="1"/>
  <c r="E132" i="36"/>
  <c r="E82" i="36"/>
  <c r="E81" i="36"/>
  <c r="E80" i="36"/>
  <c r="E72" i="36"/>
  <c r="C333" i="67"/>
  <c r="C332" i="67"/>
  <c r="C328" i="67"/>
  <c r="C327" i="67"/>
  <c r="C307" i="67"/>
  <c r="E613" i="36" s="1"/>
  <c r="L613" i="36" s="1"/>
  <c r="C286" i="67"/>
  <c r="E505" i="36" s="1"/>
  <c r="L505" i="36" s="1"/>
  <c r="C272" i="67"/>
  <c r="E612" i="36" s="1"/>
  <c r="L612" i="36" s="1"/>
  <c r="C258" i="67"/>
  <c r="E504" i="36" s="1"/>
  <c r="L504" i="36" s="1"/>
  <c r="C246" i="67"/>
  <c r="E450" i="36" s="1"/>
  <c r="L450" i="36" s="1"/>
  <c r="C235" i="67"/>
  <c r="C234" i="67"/>
  <c r="E396" i="36" s="1"/>
  <c r="L396" i="36" s="1"/>
  <c r="C226" i="67"/>
  <c r="E449" i="36" s="1"/>
  <c r="L449" i="36" s="1"/>
  <c r="C218" i="67"/>
  <c r="E395" i="36" s="1"/>
  <c r="L395" i="36" s="1"/>
  <c r="L397" i="36" s="1"/>
  <c r="C157" i="67"/>
  <c r="E726" i="36" s="1"/>
  <c r="C156" i="67"/>
  <c r="E725" i="36" s="1"/>
  <c r="L725" i="36" s="1"/>
  <c r="C155" i="67"/>
  <c r="E724" i="36" s="1"/>
  <c r="C154" i="67"/>
  <c r="C113" i="67"/>
  <c r="E723" i="36" s="1"/>
  <c r="C112" i="67"/>
  <c r="E722" i="36" s="1"/>
  <c r="C111" i="67"/>
  <c r="E721" i="36" s="1"/>
  <c r="C110" i="67"/>
  <c r="C91" i="67"/>
  <c r="E343" i="36" s="1"/>
  <c r="L343" i="36" s="1"/>
  <c r="C90" i="67"/>
  <c r="E342" i="36" s="1"/>
  <c r="L342" i="36" s="1"/>
  <c r="C89" i="67"/>
  <c r="E341" i="36" s="1"/>
  <c r="C88" i="67"/>
  <c r="C54" i="67"/>
  <c r="E238" i="36" s="1"/>
  <c r="L238" i="36" s="1"/>
  <c r="C53" i="67"/>
  <c r="E237" i="36" s="1"/>
  <c r="L237" i="36" s="1"/>
  <c r="C52" i="67"/>
  <c r="E236" i="36" s="1"/>
  <c r="L236" i="36" s="1"/>
  <c r="C51" i="67"/>
  <c r="C32" i="67"/>
  <c r="E235" i="36" s="1"/>
  <c r="L235" i="36" s="1"/>
  <c r="C31" i="67"/>
  <c r="E234" i="36" s="1"/>
  <c r="L234" i="36" s="1"/>
  <c r="C30" i="67"/>
  <c r="E233" i="36" s="1"/>
  <c r="L233" i="36" s="1"/>
  <c r="C29" i="67"/>
  <c r="C19" i="67"/>
  <c r="E128" i="36" s="1"/>
  <c r="L128" i="36" s="1"/>
  <c r="C18" i="67"/>
  <c r="E127" i="36" s="1"/>
  <c r="L127" i="36" s="1"/>
  <c r="C17" i="67"/>
  <c r="E126" i="36" s="1"/>
  <c r="C14" i="67"/>
  <c r="E180" i="36" s="1"/>
  <c r="L180" i="36" s="1"/>
  <c r="L181" i="36" s="1"/>
  <c r="C10" i="67"/>
  <c r="C4" i="67"/>
  <c r="E73" i="36" s="1"/>
  <c r="C3" i="67"/>
  <c r="L614" i="36" l="1"/>
  <c r="L142" i="36"/>
  <c r="L82" i="36"/>
  <c r="L80" i="36"/>
  <c r="L81" i="36"/>
  <c r="L239" i="36"/>
  <c r="L132" i="36"/>
  <c r="L136" i="36" s="1"/>
  <c r="E136" i="36"/>
  <c r="L72" i="36"/>
  <c r="L73" i="36"/>
  <c r="L451" i="36"/>
  <c r="E344" i="36"/>
  <c r="L341" i="36"/>
  <c r="L344" i="36" s="1"/>
  <c r="L506" i="36"/>
  <c r="L126" i="36"/>
  <c r="L129" i="36" s="1"/>
  <c r="I126" i="36"/>
  <c r="E937" i="36"/>
  <c r="L937" i="36" s="1"/>
  <c r="L251" i="36"/>
  <c r="L74" i="36" l="1"/>
  <c r="L83" i="36"/>
  <c r="E74" i="36"/>
  <c r="T68" i="50" l="1"/>
  <c r="T77" i="50" l="1"/>
  <c r="T78" i="50"/>
  <c r="T76" i="50"/>
  <c r="T73" i="50"/>
  <c r="T74" i="50"/>
  <c r="T72" i="50"/>
  <c r="T69" i="50"/>
  <c r="T70" i="50"/>
  <c r="R130" i="46"/>
  <c r="R129" i="46"/>
  <c r="R128" i="46"/>
  <c r="R125" i="46"/>
  <c r="R124" i="46"/>
  <c r="R123" i="46"/>
  <c r="R122" i="46"/>
  <c r="R127" i="46"/>
  <c r="R119" i="46"/>
  <c r="R120" i="46"/>
  <c r="R118" i="46"/>
  <c r="S119" i="46"/>
  <c r="S118" i="46"/>
  <c r="R23" i="46" l="1"/>
  <c r="R87" i="46" l="1"/>
  <c r="R81" i="46"/>
  <c r="R77" i="46"/>
  <c r="R73" i="46"/>
  <c r="R69" i="46"/>
  <c r="R71" i="46"/>
  <c r="R75" i="46"/>
  <c r="R79" i="46"/>
  <c r="R83" i="46"/>
  <c r="R85" i="46"/>
  <c r="R67" i="46"/>
  <c r="R17" i="46"/>
  <c r="R19" i="46"/>
  <c r="R21" i="46"/>
  <c r="R25" i="46"/>
  <c r="R27" i="46"/>
  <c r="R29" i="46"/>
  <c r="R31" i="46"/>
  <c r="R33" i="46"/>
  <c r="R15" i="46"/>
  <c r="B773" i="36" l="1"/>
  <c r="B665" i="36"/>
  <c r="B556" i="36"/>
  <c r="B286" i="36"/>
  <c r="H30" i="36"/>
  <c r="H29" i="36"/>
  <c r="H28" i="36"/>
  <c r="H27" i="36"/>
  <c r="H26" i="36"/>
  <c r="H25" i="36"/>
  <c r="H23" i="36"/>
  <c r="H22" i="36"/>
  <c r="H21" i="36"/>
  <c r="H20" i="36"/>
  <c r="S327" i="36"/>
  <c r="S923" i="36"/>
  <c r="S868" i="36"/>
  <c r="S814" i="36"/>
  <c r="S760" i="36"/>
  <c r="S706" i="36"/>
  <c r="S652" i="36"/>
  <c r="S597" i="36"/>
  <c r="S543" i="36"/>
  <c r="S489" i="36"/>
  <c r="S435" i="36"/>
  <c r="S381" i="36"/>
  <c r="S273" i="36"/>
  <c r="S219" i="36"/>
  <c r="S165" i="36"/>
  <c r="S111" i="36"/>
  <c r="S163" i="36"/>
  <c r="S57" i="36"/>
  <c r="S3" i="36" l="1"/>
  <c r="M675" i="36"/>
  <c r="J124" i="46" l="1"/>
  <c r="J123" i="46"/>
  <c r="J119" i="46"/>
  <c r="J118" i="46"/>
  <c r="J120" i="46"/>
  <c r="J130" i="46"/>
  <c r="J129" i="46"/>
  <c r="J128" i="46"/>
  <c r="J125" i="46"/>
  <c r="S130" i="46"/>
  <c r="S129" i="46"/>
  <c r="S128" i="46"/>
  <c r="S125" i="46"/>
  <c r="S124" i="46"/>
  <c r="S123" i="46"/>
  <c r="S120" i="46"/>
  <c r="L890" i="36" l="1"/>
  <c r="L839" i="36"/>
  <c r="L840" i="36"/>
  <c r="L841" i="36"/>
  <c r="L842" i="36"/>
  <c r="L843" i="36"/>
  <c r="L831" i="36"/>
  <c r="L832" i="36"/>
  <c r="L833" i="36"/>
  <c r="L834" i="36"/>
  <c r="L835" i="36"/>
  <c r="L777" i="36"/>
  <c r="L778" i="36"/>
  <c r="L779" i="36"/>
  <c r="L780" i="36"/>
  <c r="L781" i="36"/>
  <c r="L782" i="36"/>
  <c r="L783" i="36"/>
  <c r="L784" i="36"/>
  <c r="L734" i="36"/>
  <c r="L735" i="36"/>
  <c r="L736" i="36"/>
  <c r="L737" i="36"/>
  <c r="L738" i="36"/>
  <c r="E72" i="50" l="1"/>
  <c r="E68" i="50"/>
  <c r="O72" i="50"/>
  <c r="E77" i="50"/>
  <c r="O69" i="50"/>
  <c r="E76" i="50"/>
  <c r="E69" i="50"/>
  <c r="E73" i="50"/>
  <c r="O76" i="50"/>
  <c r="O73" i="50"/>
  <c r="O68" i="50"/>
  <c r="O77" i="50"/>
  <c r="P835" i="36" l="1"/>
  <c r="I835" i="36"/>
  <c r="P834" i="36"/>
  <c r="I834" i="36"/>
  <c r="P833" i="36"/>
  <c r="I833" i="36"/>
  <c r="P832" i="36"/>
  <c r="I832" i="36"/>
  <c r="P831" i="36"/>
  <c r="I831" i="36"/>
  <c r="L830" i="36"/>
  <c r="I830" i="36"/>
  <c r="I839" i="36"/>
  <c r="I840" i="36"/>
  <c r="I841" i="36"/>
  <c r="I842" i="36"/>
  <c r="I843" i="36"/>
  <c r="I838" i="36"/>
  <c r="I528" i="36"/>
  <c r="I529" i="36"/>
  <c r="I527" i="36"/>
  <c r="I515" i="36"/>
  <c r="L854" i="36"/>
  <c r="I836" i="36" l="1"/>
  <c r="R835" i="36"/>
  <c r="S835" i="36" s="1"/>
  <c r="R831" i="36"/>
  <c r="S831" i="36" s="1"/>
  <c r="R834" i="36"/>
  <c r="S834" i="36" s="1"/>
  <c r="R832" i="36"/>
  <c r="S832" i="36" s="1"/>
  <c r="R833" i="36"/>
  <c r="S833" i="36" s="1"/>
  <c r="P830" i="36"/>
  <c r="L836" i="36"/>
  <c r="I844" i="36"/>
  <c r="L793" i="36"/>
  <c r="L788" i="36"/>
  <c r="L790" i="36"/>
  <c r="L789" i="36"/>
  <c r="L791" i="36"/>
  <c r="L787" i="36"/>
  <c r="L792" i="36"/>
  <c r="L786" i="36"/>
  <c r="I790" i="36"/>
  <c r="P527" i="36"/>
  <c r="R527" i="36" s="1"/>
  <c r="S527" i="36" s="1"/>
  <c r="P515" i="36"/>
  <c r="R515" i="36" s="1"/>
  <c r="S515" i="36" s="1"/>
  <c r="I636" i="36"/>
  <c r="R636" i="36" s="1"/>
  <c r="S636" i="36" s="1"/>
  <c r="I637" i="36"/>
  <c r="R637" i="36" s="1"/>
  <c r="S637" i="36" s="1"/>
  <c r="I635" i="36"/>
  <c r="R635" i="36" s="1"/>
  <c r="S635" i="36" s="1"/>
  <c r="P623" i="36"/>
  <c r="I623" i="36"/>
  <c r="R623" i="36" l="1"/>
  <c r="S623" i="36" s="1"/>
  <c r="P836" i="36"/>
  <c r="R836" i="36" s="1"/>
  <c r="S836" i="36" s="1"/>
  <c r="R830" i="36"/>
  <c r="S830" i="36" s="1"/>
  <c r="I789" i="36"/>
  <c r="I791" i="36"/>
  <c r="I793" i="36"/>
  <c r="I787" i="36"/>
  <c r="I786" i="36"/>
  <c r="I788" i="36"/>
  <c r="I792" i="36"/>
  <c r="I854" i="36"/>
  <c r="L853" i="36"/>
  <c r="I853" i="36"/>
  <c r="I423" i="36" l="1"/>
  <c r="E424" i="36"/>
  <c r="J73" i="46"/>
  <c r="J71" i="46"/>
  <c r="J69" i="46"/>
  <c r="J67" i="46"/>
  <c r="J87" i="46"/>
  <c r="J85" i="46"/>
  <c r="J83" i="46"/>
  <c r="J81" i="46"/>
  <c r="J79" i="46"/>
  <c r="J77" i="46"/>
  <c r="J75" i="46"/>
  <c r="J33" i="46"/>
  <c r="J31" i="46"/>
  <c r="J29" i="46"/>
  <c r="J27" i="46"/>
  <c r="J25" i="46"/>
  <c r="J23" i="46"/>
  <c r="J21" i="46"/>
  <c r="J19" i="46"/>
  <c r="J17" i="46"/>
  <c r="J15" i="46"/>
  <c r="L743" i="36" l="1"/>
  <c r="L742" i="36" l="1"/>
  <c r="I742" i="36"/>
  <c r="I743" i="36"/>
  <c r="K877" i="36"/>
  <c r="K823" i="36"/>
  <c r="K769" i="36"/>
  <c r="R78" i="50" l="1"/>
  <c r="Q69" i="50"/>
  <c r="C78" i="50"/>
  <c r="C77" i="50"/>
  <c r="C76" i="50"/>
  <c r="C74" i="50"/>
  <c r="C73" i="50"/>
  <c r="C72" i="50"/>
  <c r="C70" i="50"/>
  <c r="C69" i="50"/>
  <c r="C68" i="50"/>
  <c r="F68" i="50" l="1"/>
  <c r="I68" i="50"/>
  <c r="D68" i="50"/>
  <c r="I69" i="50"/>
  <c r="F69" i="50"/>
  <c r="D69" i="50"/>
  <c r="L69" i="50" s="1"/>
  <c r="M69" i="50" s="1"/>
  <c r="I70" i="50"/>
  <c r="F70" i="50"/>
  <c r="D70" i="50"/>
  <c r="I72" i="50"/>
  <c r="F72" i="50"/>
  <c r="D72" i="50"/>
  <c r="I73" i="50"/>
  <c r="F73" i="50"/>
  <c r="D73" i="50"/>
  <c r="L73" i="50" s="1"/>
  <c r="M73" i="50" s="1"/>
  <c r="I74" i="50"/>
  <c r="F74" i="50"/>
  <c r="D74" i="50"/>
  <c r="I76" i="50"/>
  <c r="F76" i="50"/>
  <c r="D76" i="50"/>
  <c r="L76" i="50" s="1"/>
  <c r="M76" i="50" s="1"/>
  <c r="F77" i="50"/>
  <c r="I77" i="50"/>
  <c r="D77" i="50"/>
  <c r="L77" i="50" s="1"/>
  <c r="M77" i="50" s="1"/>
  <c r="I78" i="50"/>
  <c r="F78" i="50"/>
  <c r="D78" i="50"/>
  <c r="P74" i="50"/>
  <c r="P78" i="50"/>
  <c r="P70" i="50"/>
  <c r="E78" i="50"/>
  <c r="O70" i="50"/>
  <c r="O74" i="50"/>
  <c r="E70" i="50"/>
  <c r="E74" i="50"/>
  <c r="O78" i="50"/>
  <c r="P68" i="50"/>
  <c r="S68" i="50"/>
  <c r="P69" i="50"/>
  <c r="P72" i="50"/>
  <c r="U77" i="50"/>
  <c r="U72" i="50"/>
  <c r="U76" i="50"/>
  <c r="U69" i="50"/>
  <c r="U73" i="50"/>
  <c r="U68" i="50"/>
  <c r="S73" i="50"/>
  <c r="Q72" i="50"/>
  <c r="Q76" i="50"/>
  <c r="P76" i="50"/>
  <c r="S77" i="50"/>
  <c r="S74" i="50"/>
  <c r="Q77" i="50"/>
  <c r="R74" i="50"/>
  <c r="S72" i="50"/>
  <c r="P73" i="50"/>
  <c r="Q74" i="50"/>
  <c r="R69" i="50"/>
  <c r="P77" i="50"/>
  <c r="R76" i="50"/>
  <c r="Q68" i="50"/>
  <c r="Q73" i="50"/>
  <c r="R72" i="50"/>
  <c r="R77" i="50"/>
  <c r="S76" i="50"/>
  <c r="R70" i="50"/>
  <c r="S69" i="50"/>
  <c r="R68" i="50"/>
  <c r="R73" i="50"/>
  <c r="L72" i="50" l="1"/>
  <c r="M72" i="50" s="1"/>
  <c r="L78" i="50"/>
  <c r="M78" i="50" s="1"/>
  <c r="L68" i="50"/>
  <c r="M68" i="50" s="1"/>
  <c r="L70" i="50"/>
  <c r="M70" i="50" s="1"/>
  <c r="L74" i="50"/>
  <c r="M74" i="50" s="1"/>
  <c r="U70" i="50"/>
  <c r="U74" i="50"/>
  <c r="U78" i="50"/>
  <c r="S78" i="50"/>
  <c r="S70" i="50"/>
  <c r="Q70" i="50"/>
  <c r="Q78" i="50"/>
  <c r="I673" i="36" l="1"/>
  <c r="L537" i="36"/>
  <c r="L539" i="36" s="1"/>
  <c r="E620" i="36" l="1"/>
  <c r="I674" i="36"/>
  <c r="I675" i="36" s="1"/>
  <c r="L509" i="36" l="1"/>
  <c r="L512" i="36" s="1"/>
  <c r="I418" i="36"/>
  <c r="E419" i="36"/>
  <c r="N78" i="50" l="1"/>
  <c r="V78" i="50" s="1"/>
  <c r="W78" i="50" s="1"/>
  <c r="AA78" i="50" s="1"/>
  <c r="N70" i="50"/>
  <c r="E518" i="36"/>
  <c r="V68" i="50"/>
  <c r="W68" i="50" s="1"/>
  <c r="AA68" i="50" s="1"/>
  <c r="N77" i="50"/>
  <c r="V77" i="50" s="1"/>
  <c r="W77" i="50" s="1"/>
  <c r="N69" i="50"/>
  <c r="N72" i="50"/>
  <c r="N73" i="50"/>
  <c r="N76" i="50"/>
  <c r="N74" i="50"/>
  <c r="V74" i="50" s="1"/>
  <c r="W74" i="50" s="1"/>
  <c r="AA74" i="50" s="1"/>
  <c r="E533" i="36"/>
  <c r="P472" i="36"/>
  <c r="I417" i="36"/>
  <c r="I419" i="36" s="1"/>
  <c r="P423" i="36"/>
  <c r="R423" i="36" s="1"/>
  <c r="S423" i="36" s="1"/>
  <c r="E512" i="36"/>
  <c r="P417" i="36"/>
  <c r="R417" i="36" s="1"/>
  <c r="S417" i="36" s="1"/>
  <c r="P454" i="36"/>
  <c r="I454" i="36"/>
  <c r="I467" i="36"/>
  <c r="I477" i="36"/>
  <c r="P477" i="36"/>
  <c r="P462" i="36"/>
  <c r="I460" i="36"/>
  <c r="I456" i="36"/>
  <c r="I476" i="36"/>
  <c r="E478" i="36"/>
  <c r="E457" i="36"/>
  <c r="P456" i="36"/>
  <c r="P418" i="36"/>
  <c r="R418" i="36" s="1"/>
  <c r="S418" i="36" s="1"/>
  <c r="I455" i="36"/>
  <c r="E468" i="36"/>
  <c r="P455" i="36"/>
  <c r="I471" i="36"/>
  <c r="P461" i="36"/>
  <c r="P471" i="36"/>
  <c r="I466" i="36"/>
  <c r="E473" i="36"/>
  <c r="I472" i="36"/>
  <c r="I462" i="36"/>
  <c r="I461" i="36"/>
  <c r="R455" i="36" l="1"/>
  <c r="S455" i="36" s="1"/>
  <c r="R477" i="36"/>
  <c r="S477" i="36" s="1"/>
  <c r="R472" i="36"/>
  <c r="S472" i="36" s="1"/>
  <c r="R456" i="36"/>
  <c r="S456" i="36" s="1"/>
  <c r="AA77" i="50"/>
  <c r="X77" i="50"/>
  <c r="R462" i="36"/>
  <c r="S462" i="36" s="1"/>
  <c r="I468" i="36"/>
  <c r="R461" i="36"/>
  <c r="S461" i="36" s="1"/>
  <c r="R454" i="36"/>
  <c r="S454" i="36" s="1"/>
  <c r="I457" i="36"/>
  <c r="I473" i="36"/>
  <c r="I478" i="36"/>
  <c r="I463" i="36"/>
  <c r="V72" i="50"/>
  <c r="W72" i="50" s="1"/>
  <c r="V76" i="50"/>
  <c r="W76" i="50" s="1"/>
  <c r="P460" i="36"/>
  <c r="V70" i="50"/>
  <c r="W70" i="50" s="1"/>
  <c r="AA70" i="50" s="1"/>
  <c r="V69" i="50"/>
  <c r="W69" i="50" s="1"/>
  <c r="AA69" i="50" s="1"/>
  <c r="V73" i="50"/>
  <c r="W73" i="50" s="1"/>
  <c r="AA73" i="50" s="1"/>
  <c r="P473" i="36"/>
  <c r="P419" i="36"/>
  <c r="R419" i="36" s="1"/>
  <c r="S419" i="36" s="1"/>
  <c r="P457" i="36"/>
  <c r="P396" i="36"/>
  <c r="I396" i="36"/>
  <c r="K661" i="36"/>
  <c r="K552" i="36"/>
  <c r="R396" i="36" l="1"/>
  <c r="S396" i="36" s="1"/>
  <c r="R473" i="36"/>
  <c r="S473" i="36" s="1"/>
  <c r="P463" i="36"/>
  <c r="R463" i="36" s="1"/>
  <c r="S463" i="36" s="1"/>
  <c r="R460" i="36"/>
  <c r="S460" i="36" s="1"/>
  <c r="R457" i="36"/>
  <c r="S457" i="36" s="1"/>
  <c r="AA76" i="50"/>
  <c r="E409" i="36"/>
  <c r="E414" i="36"/>
  <c r="P449" i="36"/>
  <c r="E451" i="36"/>
  <c r="I408" i="36"/>
  <c r="I413" i="36"/>
  <c r="I412" i="36"/>
  <c r="E397" i="36"/>
  <c r="I395" i="36"/>
  <c r="I397" i="36" s="1"/>
  <c r="I449" i="36"/>
  <c r="I407" i="36"/>
  <c r="I400" i="36"/>
  <c r="I406" i="36"/>
  <c r="I450" i="36"/>
  <c r="I402" i="36"/>
  <c r="I401" i="36"/>
  <c r="P400" i="36"/>
  <c r="R449" i="36" l="1"/>
  <c r="S449" i="36" s="1"/>
  <c r="R400" i="36"/>
  <c r="S400" i="36" s="1"/>
  <c r="I409" i="36"/>
  <c r="I414" i="36"/>
  <c r="I403" i="36"/>
  <c r="I451" i="36"/>
  <c r="I482" i="36" s="1"/>
  <c r="G22" i="34" s="1"/>
  <c r="P406" i="36"/>
  <c r="R406" i="36" s="1"/>
  <c r="S406" i="36" s="1"/>
  <c r="P408" i="36"/>
  <c r="R408" i="36" s="1"/>
  <c r="S408" i="36" s="1"/>
  <c r="X78" i="50" l="1"/>
  <c r="Y78" i="50" s="1"/>
  <c r="Z78" i="50"/>
  <c r="X70" i="50"/>
  <c r="Y70" i="50" s="1"/>
  <c r="Z70" i="50"/>
  <c r="X74" i="50"/>
  <c r="Y74" i="50" s="1"/>
  <c r="Z74" i="50"/>
  <c r="Z68" i="50"/>
  <c r="X68" i="50"/>
  <c r="Y68" i="50" s="1"/>
  <c r="Z76" i="50"/>
  <c r="X76" i="50"/>
  <c r="Y76" i="50" s="1"/>
  <c r="Z77" i="50"/>
  <c r="Y77" i="50"/>
  <c r="X69" i="50" l="1"/>
  <c r="Y69" i="50" s="1"/>
  <c r="Z69" i="50"/>
  <c r="Z72" i="50"/>
  <c r="X73" i="50"/>
  <c r="Y73" i="50" s="1"/>
  <c r="Z73" i="50"/>
  <c r="M674" i="36"/>
  <c r="M673" i="36"/>
  <c r="E675" i="36"/>
  <c r="L645" i="36"/>
  <c r="L647" i="36" s="1"/>
  <c r="L629" i="36"/>
  <c r="L632" i="36" s="1"/>
  <c r="S650" i="36"/>
  <c r="L617" i="36"/>
  <c r="E614" i="36"/>
  <c r="S595" i="36"/>
  <c r="M565" i="36"/>
  <c r="M564" i="36"/>
  <c r="P523" i="36"/>
  <c r="P522" i="36"/>
  <c r="S541" i="36"/>
  <c r="L620" i="36" l="1"/>
  <c r="L626" i="36" s="1"/>
  <c r="P521" i="36"/>
  <c r="L673" i="36"/>
  <c r="L675" i="36" s="1"/>
  <c r="I613" i="36"/>
  <c r="I629" i="36"/>
  <c r="I646" i="36"/>
  <c r="P669" i="36"/>
  <c r="I669" i="36"/>
  <c r="I617" i="36"/>
  <c r="I625" i="36"/>
  <c r="P629" i="36"/>
  <c r="P631" i="36"/>
  <c r="I619" i="36"/>
  <c r="I612" i="36"/>
  <c r="I630" i="36"/>
  <c r="I631" i="36"/>
  <c r="I638" i="36"/>
  <c r="I639" i="36"/>
  <c r="I640" i="36"/>
  <c r="I645" i="36"/>
  <c r="I668" i="36"/>
  <c r="I618" i="36"/>
  <c r="I624" i="36"/>
  <c r="P617" i="36"/>
  <c r="P625" i="36"/>
  <c r="L668" i="36"/>
  <c r="L670" i="36" s="1"/>
  <c r="P630" i="36"/>
  <c r="P618" i="36"/>
  <c r="P624" i="36"/>
  <c r="P613" i="36"/>
  <c r="P646" i="36"/>
  <c r="P645" i="36"/>
  <c r="E670" i="36"/>
  <c r="E626" i="36"/>
  <c r="E566" i="36"/>
  <c r="E561" i="36"/>
  <c r="E539" i="36"/>
  <c r="I516" i="36"/>
  <c r="I538" i="36"/>
  <c r="P504" i="36"/>
  <c r="I510" i="36"/>
  <c r="I522" i="36"/>
  <c r="R522" i="36" s="1"/>
  <c r="S522" i="36" s="1"/>
  <c r="P560" i="36"/>
  <c r="I509" i="36"/>
  <c r="I523" i="36"/>
  <c r="R523" i="36" s="1"/>
  <c r="S523" i="36" s="1"/>
  <c r="I530" i="36"/>
  <c r="I531" i="36"/>
  <c r="P538" i="36"/>
  <c r="I559" i="36"/>
  <c r="I560" i="36"/>
  <c r="I504" i="36"/>
  <c r="I505" i="36"/>
  <c r="P510" i="36"/>
  <c r="P516" i="36"/>
  <c r="I521" i="36"/>
  <c r="I532" i="36"/>
  <c r="I537" i="36"/>
  <c r="I565" i="36"/>
  <c r="P509" i="36"/>
  <c r="P537" i="36"/>
  <c r="P505" i="36"/>
  <c r="I511" i="36"/>
  <c r="I517" i="36"/>
  <c r="I564" i="36"/>
  <c r="P511" i="36"/>
  <c r="P517" i="36"/>
  <c r="E506" i="36"/>
  <c r="P530" i="36"/>
  <c r="P559" i="36"/>
  <c r="R537" i="36" l="1"/>
  <c r="S537" i="36" s="1"/>
  <c r="R618" i="36"/>
  <c r="S618" i="36" s="1"/>
  <c r="R516" i="36"/>
  <c r="S516" i="36" s="1"/>
  <c r="R505" i="36"/>
  <c r="S505" i="36" s="1"/>
  <c r="R629" i="36"/>
  <c r="S629" i="36" s="1"/>
  <c r="I539" i="36"/>
  <c r="R631" i="36"/>
  <c r="S631" i="36" s="1"/>
  <c r="R560" i="36"/>
  <c r="S560" i="36" s="1"/>
  <c r="R504" i="36"/>
  <c r="S504" i="36" s="1"/>
  <c r="R625" i="36"/>
  <c r="S625" i="36" s="1"/>
  <c r="R630" i="36"/>
  <c r="S630" i="36" s="1"/>
  <c r="R559" i="36"/>
  <c r="S559" i="36" s="1"/>
  <c r="R530" i="36"/>
  <c r="S530" i="36" s="1"/>
  <c r="R517" i="36"/>
  <c r="S517" i="36" s="1"/>
  <c r="R511" i="36"/>
  <c r="S511" i="36" s="1"/>
  <c r="R509" i="36"/>
  <c r="S509" i="36" s="1"/>
  <c r="R669" i="36"/>
  <c r="S669" i="36" s="1"/>
  <c r="R645" i="36"/>
  <c r="S645" i="36" s="1"/>
  <c r="P524" i="36"/>
  <c r="R521" i="36"/>
  <c r="S521" i="36" s="1"/>
  <c r="R538" i="36"/>
  <c r="S538" i="36" s="1"/>
  <c r="R646" i="36"/>
  <c r="S646" i="36" s="1"/>
  <c r="P626" i="36"/>
  <c r="R624" i="36"/>
  <c r="S624" i="36" s="1"/>
  <c r="R617" i="36"/>
  <c r="S617" i="36" s="1"/>
  <c r="R510" i="36"/>
  <c r="S510" i="36" s="1"/>
  <c r="R613" i="36"/>
  <c r="S613" i="36" s="1"/>
  <c r="I614" i="36"/>
  <c r="I533" i="36"/>
  <c r="I561" i="36"/>
  <c r="I641" i="36"/>
  <c r="I566" i="36"/>
  <c r="I512" i="36"/>
  <c r="I620" i="36"/>
  <c r="I626" i="36"/>
  <c r="I632" i="36"/>
  <c r="I524" i="36"/>
  <c r="I518" i="36"/>
  <c r="I647" i="36"/>
  <c r="I670" i="36"/>
  <c r="P632" i="36"/>
  <c r="P619" i="36"/>
  <c r="P518" i="36"/>
  <c r="P561" i="36"/>
  <c r="P512" i="36"/>
  <c r="P647" i="36"/>
  <c r="P506" i="36"/>
  <c r="I506" i="36"/>
  <c r="P638" i="36"/>
  <c r="R638" i="36" s="1"/>
  <c r="S638" i="36" s="1"/>
  <c r="P668" i="36"/>
  <c r="P612" i="36"/>
  <c r="P539" i="36"/>
  <c r="R632" i="36" l="1"/>
  <c r="S632" i="36" s="1"/>
  <c r="R626" i="36"/>
  <c r="S626" i="36" s="1"/>
  <c r="R539" i="36"/>
  <c r="S539" i="36" s="1"/>
  <c r="R518" i="36"/>
  <c r="S518" i="36" s="1"/>
  <c r="R647" i="36"/>
  <c r="S647" i="36" s="1"/>
  <c r="R506" i="36"/>
  <c r="S506" i="36" s="1"/>
  <c r="R512" i="36"/>
  <c r="S512" i="36" s="1"/>
  <c r="R561" i="36"/>
  <c r="S561" i="36" s="1"/>
  <c r="P614" i="36"/>
  <c r="R614" i="36" s="1"/>
  <c r="S614" i="36" s="1"/>
  <c r="R612" i="36"/>
  <c r="S612" i="36" s="1"/>
  <c r="P670" i="36"/>
  <c r="R670" i="36" s="1"/>
  <c r="S670" i="36" s="1"/>
  <c r="R668" i="36"/>
  <c r="S668" i="36" s="1"/>
  <c r="I678" i="36"/>
  <c r="G25" i="34" s="1"/>
  <c r="G54" i="34" s="1"/>
  <c r="R524" i="36"/>
  <c r="S524" i="36" s="1"/>
  <c r="P620" i="36"/>
  <c r="R620" i="36" s="1"/>
  <c r="S620" i="36" s="1"/>
  <c r="R619" i="36"/>
  <c r="S619" i="36" s="1"/>
  <c r="I570" i="36"/>
  <c r="G24" i="34" s="1"/>
  <c r="I422" i="36" l="1"/>
  <c r="I424" i="36" s="1"/>
  <c r="I428" i="36" s="1"/>
  <c r="P422" i="36"/>
  <c r="P424" i="36" l="1"/>
  <c r="R424" i="36" s="1"/>
  <c r="S424" i="36" s="1"/>
  <c r="R422" i="36"/>
  <c r="S422" i="36" s="1"/>
  <c r="G21" i="34"/>
  <c r="G53" i="34" s="1"/>
  <c r="P476" i="36"/>
  <c r="P478" i="36" l="1"/>
  <c r="R478" i="36" s="1"/>
  <c r="S478" i="36" s="1"/>
  <c r="R476" i="36"/>
  <c r="S476" i="36" s="1"/>
  <c r="L799" i="36"/>
  <c r="L801" i="36"/>
  <c r="L745" i="36"/>
  <c r="L803" i="36"/>
  <c r="L746" i="36"/>
  <c r="L800" i="36"/>
  <c r="L747" i="36"/>
  <c r="L798" i="36"/>
  <c r="L802" i="36"/>
  <c r="I342" i="36"/>
  <c r="I343" i="36"/>
  <c r="L888" i="36"/>
  <c r="L889" i="36"/>
  <c r="L887" i="36"/>
  <c r="L885" i="36"/>
  <c r="L886" i="36"/>
  <c r="L856" i="36"/>
  <c r="L855" i="36"/>
  <c r="L848" i="36" l="1"/>
  <c r="L849" i="36"/>
  <c r="L796" i="36"/>
  <c r="L795" i="36"/>
  <c r="L850" i="36"/>
  <c r="L748" i="36"/>
  <c r="L750" i="36"/>
  <c r="L749" i="36"/>
  <c r="E83" i="36"/>
  <c r="I349" i="36"/>
  <c r="I347" i="36"/>
  <c r="I341" i="36"/>
  <c r="I344" i="36" s="1"/>
  <c r="I348" i="36"/>
  <c r="I350" i="36" l="1"/>
  <c r="I359" i="36"/>
  <c r="I886" i="36"/>
  <c r="I360" i="36"/>
  <c r="I889" i="36"/>
  <c r="I885" i="36"/>
  <c r="I888" i="36"/>
  <c r="E361" i="36"/>
  <c r="L884" i="36"/>
  <c r="I884" i="36"/>
  <c r="I887" i="36"/>
  <c r="I366" i="36"/>
  <c r="E356" i="36"/>
  <c r="I353" i="36"/>
  <c r="P354" i="36"/>
  <c r="I354" i="36"/>
  <c r="I355" i="36"/>
  <c r="I364" i="36"/>
  <c r="I365" i="36"/>
  <c r="P355" i="36"/>
  <c r="R355" i="36" l="1"/>
  <c r="S355" i="36" s="1"/>
  <c r="R354" i="36"/>
  <c r="S354" i="36" s="1"/>
  <c r="I890" i="36"/>
  <c r="I356" i="36"/>
  <c r="I361" i="36"/>
  <c r="I367" i="36"/>
  <c r="P353" i="36"/>
  <c r="P450" i="36"/>
  <c r="R450" i="36" s="1"/>
  <c r="S450" i="36" s="1"/>
  <c r="P356" i="36" l="1"/>
  <c r="R356" i="36" s="1"/>
  <c r="S356" i="36" s="1"/>
  <c r="R353" i="36"/>
  <c r="S353" i="36" s="1"/>
  <c r="L797" i="36"/>
  <c r="P402" i="36"/>
  <c r="R402" i="36" s="1"/>
  <c r="S402" i="36" s="1"/>
  <c r="P395" i="36"/>
  <c r="P401" i="36"/>
  <c r="R401" i="36" s="1"/>
  <c r="S401" i="36" s="1"/>
  <c r="P407" i="36"/>
  <c r="P451" i="36"/>
  <c r="R451" i="36" s="1"/>
  <c r="S451" i="36" s="1"/>
  <c r="P397" i="36" l="1"/>
  <c r="R397" i="36" s="1"/>
  <c r="S397" i="36" s="1"/>
  <c r="R395" i="36"/>
  <c r="S395" i="36" s="1"/>
  <c r="P409" i="36"/>
  <c r="R409" i="36" s="1"/>
  <c r="S409" i="36" s="1"/>
  <c r="R407" i="36"/>
  <c r="S407" i="36" s="1"/>
  <c r="L794" i="36"/>
  <c r="I794" i="36"/>
  <c r="L744" i="36"/>
  <c r="L751" i="36" s="1"/>
  <c r="I744" i="36"/>
  <c r="P403" i="36"/>
  <c r="R403" i="36" s="1"/>
  <c r="S403" i="36" s="1"/>
  <c r="I371" i="36" l="1"/>
  <c r="G20" i="34" s="1"/>
  <c r="U22" i="50"/>
  <c r="U21" i="50"/>
  <c r="U18" i="50"/>
  <c r="U17" i="50"/>
  <c r="U14" i="50"/>
  <c r="U13" i="50"/>
  <c r="I99" i="46"/>
  <c r="I49" i="46"/>
  <c r="U23" i="50" l="1"/>
  <c r="U15" i="50"/>
  <c r="U19" i="50"/>
  <c r="S19" i="46"/>
  <c r="S13" i="46"/>
  <c r="S73" i="46"/>
  <c r="S65" i="46"/>
  <c r="S85" i="46"/>
  <c r="S79" i="46"/>
  <c r="S25" i="46"/>
  <c r="S71" i="46"/>
  <c r="S87" i="46"/>
  <c r="S69" i="46"/>
  <c r="S23" i="46"/>
  <c r="S17" i="46"/>
  <c r="S33" i="46"/>
  <c r="S31" i="46"/>
  <c r="S77" i="46"/>
  <c r="S29" i="46"/>
  <c r="S21" i="46"/>
  <c r="S83" i="46"/>
  <c r="S75" i="46"/>
  <c r="S15" i="46"/>
  <c r="S27" i="46"/>
  <c r="S67" i="46"/>
  <c r="S81" i="46"/>
  <c r="Q19" i="50" l="1"/>
  <c r="Q22" i="50"/>
  <c r="Q18" i="50"/>
  <c r="Q17" i="50"/>
  <c r="Q21" i="50"/>
  <c r="Q16" i="50"/>
  <c r="Q15" i="50"/>
  <c r="Q14" i="50"/>
  <c r="Q23" i="50"/>
  <c r="Q13" i="50"/>
  <c r="Q20" i="50"/>
  <c r="R14" i="50"/>
  <c r="R13" i="50"/>
  <c r="R21" i="50"/>
  <c r="R17" i="50"/>
  <c r="R22" i="50"/>
  <c r="R18" i="50"/>
  <c r="R23" i="50" l="1"/>
  <c r="R15" i="50"/>
  <c r="R19" i="50"/>
  <c r="P343" i="36" l="1"/>
  <c r="R343" i="36" s="1"/>
  <c r="S343" i="36" s="1"/>
  <c r="P342" i="36"/>
  <c r="R342" i="36" s="1"/>
  <c r="S342" i="36" s="1"/>
  <c r="P341" i="36"/>
  <c r="R341" i="36" s="1"/>
  <c r="S341" i="36" s="1"/>
  <c r="P344" i="36" l="1"/>
  <c r="R344" i="36" s="1"/>
  <c r="S344" i="36" s="1"/>
  <c r="O21" i="50" l="1"/>
  <c r="O22" i="50"/>
  <c r="O18" i="50"/>
  <c r="O14" i="50"/>
  <c r="O17" i="50"/>
  <c r="O13" i="50"/>
  <c r="O23" i="50" l="1"/>
  <c r="O19" i="50"/>
  <c r="O15" i="50"/>
  <c r="I98" i="46" l="1"/>
  <c r="I96" i="46"/>
  <c r="I95" i="46"/>
  <c r="I94" i="46"/>
  <c r="I48" i="46"/>
  <c r="I46" i="46"/>
  <c r="I45" i="46"/>
  <c r="I44" i="46"/>
  <c r="P119" i="46" l="1"/>
  <c r="O130" i="46" l="1"/>
  <c r="O125" i="46"/>
  <c r="O120" i="46"/>
  <c r="O129" i="46"/>
  <c r="O124" i="46"/>
  <c r="O119" i="46"/>
  <c r="O128" i="46"/>
  <c r="O123" i="46"/>
  <c r="O118" i="46"/>
  <c r="X72" i="50"/>
  <c r="Y72" i="50" s="1"/>
  <c r="AA72" i="50"/>
  <c r="P853" i="36" l="1"/>
  <c r="R853" i="36" s="1"/>
  <c r="S853" i="36" s="1"/>
  <c r="P744" i="36" l="1"/>
  <c r="R744" i="36" s="1"/>
  <c r="S744" i="36" s="1"/>
  <c r="P742" i="36"/>
  <c r="R742" i="36" s="1"/>
  <c r="S742" i="36" s="1"/>
  <c r="P743" i="36"/>
  <c r="R743" i="36" s="1"/>
  <c r="S743" i="36" s="1"/>
  <c r="P854" i="36" l="1"/>
  <c r="R854" i="36" s="1"/>
  <c r="S854" i="36" s="1"/>
  <c r="P790" i="36" l="1"/>
  <c r="R790" i="36" s="1"/>
  <c r="S790" i="36" s="1"/>
  <c r="P528" i="36"/>
  <c r="R528" i="36" s="1"/>
  <c r="S528" i="36" s="1"/>
  <c r="P529" i="36"/>
  <c r="R529" i="36" s="1"/>
  <c r="S529" i="36" s="1"/>
  <c r="P788" i="36"/>
  <c r="R788" i="36" s="1"/>
  <c r="S788" i="36" s="1"/>
  <c r="P791" i="36"/>
  <c r="R791" i="36" s="1"/>
  <c r="S791" i="36" s="1"/>
  <c r="P793" i="36"/>
  <c r="R793" i="36" s="1"/>
  <c r="S793" i="36" s="1"/>
  <c r="P787" i="36"/>
  <c r="R787" i="36" s="1"/>
  <c r="S787" i="36" s="1"/>
  <c r="P786" i="36"/>
  <c r="R786" i="36" s="1"/>
  <c r="S786" i="36" s="1"/>
  <c r="P792" i="36" l="1"/>
  <c r="R792" i="36" s="1"/>
  <c r="S792" i="36" s="1"/>
  <c r="P789" i="36"/>
  <c r="R789" i="36" s="1"/>
  <c r="S789" i="36" s="1"/>
  <c r="P794" i="36"/>
  <c r="R794" i="36" s="1"/>
  <c r="S794" i="36" s="1"/>
  <c r="P531" i="36"/>
  <c r="R531" i="36" s="1"/>
  <c r="S531" i="36" s="1"/>
  <c r="P532" i="36"/>
  <c r="R532" i="36" s="1"/>
  <c r="S532" i="36" s="1"/>
  <c r="P639" i="36"/>
  <c r="R639" i="36" s="1"/>
  <c r="S639" i="36" s="1"/>
  <c r="P640" i="36"/>
  <c r="R640" i="36" s="1"/>
  <c r="S640" i="36" s="1"/>
  <c r="P641" i="36" l="1"/>
  <c r="R641" i="36" s="1"/>
  <c r="S641" i="36" s="1"/>
  <c r="P533" i="36"/>
  <c r="R533" i="36" s="1"/>
  <c r="S533" i="36" s="1"/>
  <c r="P130" i="46"/>
  <c r="P125" i="46"/>
  <c r="P120" i="46"/>
  <c r="G130" i="46"/>
  <c r="F130" i="46"/>
  <c r="G125" i="46"/>
  <c r="F125" i="46"/>
  <c r="G120" i="46"/>
  <c r="F120" i="46"/>
  <c r="P129" i="46"/>
  <c r="P124" i="46"/>
  <c r="G129" i="46"/>
  <c r="F129" i="46"/>
  <c r="G124" i="46"/>
  <c r="F124" i="46"/>
  <c r="G119" i="46"/>
  <c r="F119" i="46"/>
  <c r="P128" i="46"/>
  <c r="P123" i="46"/>
  <c r="P118" i="46"/>
  <c r="G128" i="46"/>
  <c r="F128" i="46"/>
  <c r="G123" i="46"/>
  <c r="F123" i="46"/>
  <c r="G118" i="46"/>
  <c r="F118" i="46"/>
  <c r="C119" i="46"/>
  <c r="C118" i="46"/>
  <c r="G77" i="46"/>
  <c r="H87" i="46"/>
  <c r="G87" i="46"/>
  <c r="F87" i="46"/>
  <c r="E87" i="46"/>
  <c r="H85" i="46"/>
  <c r="G85" i="46"/>
  <c r="F85" i="46"/>
  <c r="E85" i="46"/>
  <c r="H83" i="46"/>
  <c r="G83" i="46"/>
  <c r="F83" i="46"/>
  <c r="E83" i="46"/>
  <c r="H81" i="46"/>
  <c r="G81" i="46"/>
  <c r="F81" i="46"/>
  <c r="E81" i="46"/>
  <c r="H79" i="46"/>
  <c r="G79" i="46"/>
  <c r="F79" i="46"/>
  <c r="E79" i="46"/>
  <c r="H77" i="46"/>
  <c r="F77" i="46"/>
  <c r="E77" i="46"/>
  <c r="H75" i="46"/>
  <c r="G75" i="46"/>
  <c r="F75" i="46"/>
  <c r="E75" i="46"/>
  <c r="H73" i="46"/>
  <c r="G73" i="46"/>
  <c r="F73" i="46"/>
  <c r="E73" i="46"/>
  <c r="H71" i="46"/>
  <c r="G71" i="46"/>
  <c r="F71" i="46"/>
  <c r="E71" i="46"/>
  <c r="H69" i="46"/>
  <c r="G69" i="46"/>
  <c r="F69" i="46"/>
  <c r="E69" i="46"/>
  <c r="H67" i="46"/>
  <c r="G67" i="46"/>
  <c r="F67" i="46"/>
  <c r="E67" i="46"/>
  <c r="H65" i="46"/>
  <c r="G65" i="46"/>
  <c r="F65" i="46"/>
  <c r="E65" i="46"/>
  <c r="Q79" i="46"/>
  <c r="P83" i="46"/>
  <c r="O87" i="46"/>
  <c r="N83" i="46"/>
  <c r="H33" i="46"/>
  <c r="H31" i="46"/>
  <c r="H29" i="46"/>
  <c r="H27" i="46"/>
  <c r="H25" i="46"/>
  <c r="H23" i="46"/>
  <c r="H21" i="46"/>
  <c r="H19" i="46"/>
  <c r="H17" i="46"/>
  <c r="H15" i="46"/>
  <c r="H13" i="46"/>
  <c r="G33" i="46"/>
  <c r="G31" i="46"/>
  <c r="G29" i="46"/>
  <c r="G27" i="46"/>
  <c r="G25" i="46"/>
  <c r="G23" i="46"/>
  <c r="G21" i="46"/>
  <c r="G19" i="46"/>
  <c r="G17" i="46"/>
  <c r="G15" i="46"/>
  <c r="G13" i="46"/>
  <c r="F15" i="46"/>
  <c r="F17" i="46"/>
  <c r="F19" i="46"/>
  <c r="F21" i="46"/>
  <c r="F23" i="46"/>
  <c r="F25" i="46"/>
  <c r="F27" i="46"/>
  <c r="F29" i="46"/>
  <c r="F31" i="46"/>
  <c r="F33" i="46"/>
  <c r="F13" i="46"/>
  <c r="E33" i="46"/>
  <c r="E31" i="46"/>
  <c r="E29" i="46"/>
  <c r="E27" i="46"/>
  <c r="E25" i="46"/>
  <c r="E23" i="46"/>
  <c r="E21" i="46"/>
  <c r="E19" i="46"/>
  <c r="E17" i="46"/>
  <c r="E15" i="46"/>
  <c r="E13" i="46"/>
  <c r="O29" i="46"/>
  <c r="P33" i="46"/>
  <c r="Q29" i="46"/>
  <c r="N33" i="46"/>
  <c r="L722" i="36"/>
  <c r="L721" i="36"/>
  <c r="P842" i="36"/>
  <c r="R842" i="36" s="1"/>
  <c r="S842" i="36" s="1"/>
  <c r="L733" i="36"/>
  <c r="L724" i="36"/>
  <c r="L731" i="36"/>
  <c r="P839" i="36"/>
  <c r="R839" i="36" s="1"/>
  <c r="S839" i="36" s="1"/>
  <c r="L732" i="36"/>
  <c r="L776" i="36"/>
  <c r="L804" i="36" s="1"/>
  <c r="L838" i="36"/>
  <c r="P126" i="36"/>
  <c r="R126" i="36" s="1"/>
  <c r="S126" i="36" s="1"/>
  <c r="P180" i="36"/>
  <c r="P234" i="36"/>
  <c r="P236" i="36"/>
  <c r="C23" i="50"/>
  <c r="C22" i="50"/>
  <c r="C21" i="50"/>
  <c r="C19" i="50"/>
  <c r="C18" i="50"/>
  <c r="C17" i="50"/>
  <c r="C15" i="50"/>
  <c r="C14" i="50"/>
  <c r="C13" i="50"/>
  <c r="C130" i="46"/>
  <c r="C129" i="46"/>
  <c r="C128" i="46"/>
  <c r="C127" i="46"/>
  <c r="Q127" i="46" s="1"/>
  <c r="C125" i="46"/>
  <c r="C124" i="46"/>
  <c r="C123" i="46"/>
  <c r="C122" i="46"/>
  <c r="C120" i="46"/>
  <c r="D120" i="46" s="1"/>
  <c r="C117" i="46"/>
  <c r="I117" i="46" s="1"/>
  <c r="S217" i="36"/>
  <c r="S271" i="36"/>
  <c r="K282" i="36"/>
  <c r="S325" i="36"/>
  <c r="S758" i="36"/>
  <c r="S812" i="36"/>
  <c r="S866" i="36"/>
  <c r="S920" i="36"/>
  <c r="M939" i="36"/>
  <c r="R4" i="34"/>
  <c r="I80" i="36"/>
  <c r="F13" i="50" l="1"/>
  <c r="I13" i="50"/>
  <c r="D13" i="50"/>
  <c r="N13" i="50"/>
  <c r="S13" i="50"/>
  <c r="P13" i="50"/>
  <c r="F14" i="50"/>
  <c r="I14" i="50"/>
  <c r="D14" i="50"/>
  <c r="L14" i="50" s="1"/>
  <c r="M14" i="50" s="1"/>
  <c r="N14" i="50"/>
  <c r="S14" i="50"/>
  <c r="P14" i="50"/>
  <c r="F15" i="50"/>
  <c r="I15" i="50"/>
  <c r="D15" i="50"/>
  <c r="N15" i="50"/>
  <c r="S15" i="50"/>
  <c r="P15" i="50"/>
  <c r="F17" i="50"/>
  <c r="I17" i="50"/>
  <c r="D17" i="50"/>
  <c r="N17" i="50"/>
  <c r="S17" i="50"/>
  <c r="P17" i="50"/>
  <c r="I18" i="50"/>
  <c r="F18" i="50"/>
  <c r="D18" i="50"/>
  <c r="N18" i="50"/>
  <c r="S18" i="50"/>
  <c r="P18" i="50"/>
  <c r="F19" i="50"/>
  <c r="I19" i="50"/>
  <c r="D19" i="50"/>
  <c r="N19" i="50"/>
  <c r="S19" i="50"/>
  <c r="P19" i="50"/>
  <c r="I22" i="50"/>
  <c r="F22" i="50"/>
  <c r="D22" i="50"/>
  <c r="N22" i="50"/>
  <c r="S22" i="50"/>
  <c r="P22" i="50"/>
  <c r="I21" i="50"/>
  <c r="F21" i="50"/>
  <c r="D21" i="50"/>
  <c r="L21" i="50" s="1"/>
  <c r="M21" i="50" s="1"/>
  <c r="N21" i="50"/>
  <c r="S21" i="50"/>
  <c r="P21" i="50"/>
  <c r="F23" i="50"/>
  <c r="I23" i="50"/>
  <c r="D23" i="50"/>
  <c r="N23" i="50"/>
  <c r="S23" i="50"/>
  <c r="P23" i="50"/>
  <c r="P838" i="36"/>
  <c r="R838" i="36" s="1"/>
  <c r="S838" i="36" s="1"/>
  <c r="L844" i="36"/>
  <c r="R117" i="46"/>
  <c r="S117" i="46"/>
  <c r="I937" i="36"/>
  <c r="J122" i="46"/>
  <c r="S122" i="46"/>
  <c r="O122" i="46"/>
  <c r="O127" i="46"/>
  <c r="S127" i="46"/>
  <c r="J127" i="46"/>
  <c r="P117" i="46"/>
  <c r="J117" i="46"/>
  <c r="O117" i="46"/>
  <c r="L730" i="36"/>
  <c r="L739" i="36" s="1"/>
  <c r="E739" i="36"/>
  <c r="P800" i="36"/>
  <c r="I73" i="36"/>
  <c r="I234" i="36"/>
  <c r="R234" i="36" s="1"/>
  <c r="S234" i="36" s="1"/>
  <c r="I235" i="36"/>
  <c r="N125" i="46"/>
  <c r="Q125" i="46"/>
  <c r="Q122" i="46"/>
  <c r="Q118" i="46"/>
  <c r="N120" i="46"/>
  <c r="N130" i="46"/>
  <c r="Q130" i="46"/>
  <c r="N123" i="46"/>
  <c r="N128" i="46"/>
  <c r="Q128" i="46"/>
  <c r="E119" i="46"/>
  <c r="Q117" i="46"/>
  <c r="N124" i="46"/>
  <c r="Q124" i="46"/>
  <c r="N129" i="46"/>
  <c r="Q129" i="46"/>
  <c r="G117" i="46"/>
  <c r="H124" i="46"/>
  <c r="Q123" i="46"/>
  <c r="G122" i="46"/>
  <c r="P122" i="46"/>
  <c r="H123" i="46"/>
  <c r="H117" i="46"/>
  <c r="G127" i="46"/>
  <c r="P127" i="46"/>
  <c r="H128" i="46"/>
  <c r="H129" i="46"/>
  <c r="H120" i="46"/>
  <c r="H125" i="46"/>
  <c r="H130" i="46"/>
  <c r="H118" i="46"/>
  <c r="H119" i="46"/>
  <c r="E125" i="46"/>
  <c r="E130" i="46"/>
  <c r="E120" i="46"/>
  <c r="Q120" i="46"/>
  <c r="E117" i="46"/>
  <c r="E122" i="46"/>
  <c r="E127" i="46"/>
  <c r="N117" i="46"/>
  <c r="N122" i="46"/>
  <c r="N127" i="46"/>
  <c r="E118" i="46"/>
  <c r="E123" i="46"/>
  <c r="E128" i="46"/>
  <c r="N118" i="46"/>
  <c r="E124" i="46"/>
  <c r="E129" i="46"/>
  <c r="N119" i="46"/>
  <c r="Q119" i="46"/>
  <c r="H122" i="46"/>
  <c r="H127" i="46"/>
  <c r="F117" i="46"/>
  <c r="F122" i="46"/>
  <c r="F127" i="46"/>
  <c r="N71" i="46"/>
  <c r="Q17" i="46"/>
  <c r="N79" i="46"/>
  <c r="Q25" i="46"/>
  <c r="N87" i="46"/>
  <c r="Q33" i="46"/>
  <c r="P19" i="46"/>
  <c r="Q67" i="46"/>
  <c r="Q75" i="46"/>
  <c r="Q83" i="46"/>
  <c r="P23" i="46"/>
  <c r="Q23" i="46"/>
  <c r="N69" i="46"/>
  <c r="N85" i="46"/>
  <c r="O69" i="46"/>
  <c r="O77" i="46"/>
  <c r="O85" i="46"/>
  <c r="P27" i="46"/>
  <c r="Q69" i="46"/>
  <c r="Q77" i="46"/>
  <c r="Q85" i="46"/>
  <c r="P15" i="46"/>
  <c r="P31" i="46"/>
  <c r="Q15" i="46"/>
  <c r="Q31" i="46"/>
  <c r="N77" i="46"/>
  <c r="O65" i="46"/>
  <c r="O73" i="46"/>
  <c r="O81" i="46"/>
  <c r="P233" i="36"/>
  <c r="P799" i="36"/>
  <c r="D127" i="46"/>
  <c r="P244" i="36"/>
  <c r="P257" i="36"/>
  <c r="P798" i="36"/>
  <c r="P803" i="36"/>
  <c r="P802" i="36"/>
  <c r="P256" i="36"/>
  <c r="P748" i="36"/>
  <c r="P747" i="36"/>
  <c r="P745" i="36"/>
  <c r="P250" i="36"/>
  <c r="P249" i="36"/>
  <c r="Q65" i="46"/>
  <c r="Q71" i="46"/>
  <c r="Q81" i="46"/>
  <c r="Q87" i="46"/>
  <c r="Q73" i="46"/>
  <c r="P71" i="46"/>
  <c r="P77" i="46"/>
  <c r="P87" i="46"/>
  <c r="P65" i="46"/>
  <c r="P75" i="46"/>
  <c r="P81" i="46"/>
  <c r="P69" i="46"/>
  <c r="P79" i="46"/>
  <c r="P85" i="46"/>
  <c r="P67" i="46"/>
  <c r="P73" i="46"/>
  <c r="O67" i="46"/>
  <c r="O75" i="46"/>
  <c r="O83" i="46"/>
  <c r="O71" i="46"/>
  <c r="O79" i="46"/>
  <c r="N65" i="46"/>
  <c r="N73" i="46"/>
  <c r="N81" i="46"/>
  <c r="N67" i="46"/>
  <c r="N75" i="46"/>
  <c r="Q19" i="46"/>
  <c r="Q27" i="46"/>
  <c r="Q13" i="46"/>
  <c r="Q21" i="46"/>
  <c r="P13" i="46"/>
  <c r="P21" i="46"/>
  <c r="P29" i="46"/>
  <c r="P17" i="46"/>
  <c r="P25" i="46"/>
  <c r="O15" i="46"/>
  <c r="O31" i="46"/>
  <c r="O17" i="46"/>
  <c r="O33" i="46"/>
  <c r="O23" i="46"/>
  <c r="O25" i="46"/>
  <c r="O19" i="46"/>
  <c r="O27" i="46"/>
  <c r="O13" i="46"/>
  <c r="O21" i="46"/>
  <c r="N19" i="46"/>
  <c r="N27" i="46"/>
  <c r="N13" i="46"/>
  <c r="N21" i="46"/>
  <c r="N15" i="46"/>
  <c r="N23" i="46"/>
  <c r="N31" i="46"/>
  <c r="N29" i="46"/>
  <c r="N17" i="46"/>
  <c r="N25" i="46"/>
  <c r="P255" i="36"/>
  <c r="I784" i="36"/>
  <c r="I180" i="36"/>
  <c r="I181" i="36" s="1"/>
  <c r="I802" i="36"/>
  <c r="I732" i="36"/>
  <c r="P722" i="36"/>
  <c r="I800" i="36"/>
  <c r="I250" i="36"/>
  <c r="I262" i="36"/>
  <c r="P855" i="36"/>
  <c r="P778" i="36"/>
  <c r="I735" i="36"/>
  <c r="I259" i="36"/>
  <c r="P937" i="36"/>
  <c r="I721" i="36"/>
  <c r="I257" i="36"/>
  <c r="P736" i="36"/>
  <c r="I799" i="36"/>
  <c r="I135" i="36"/>
  <c r="I249" i="36"/>
  <c r="I797" i="36"/>
  <c r="I803" i="36"/>
  <c r="I128" i="36"/>
  <c r="I258" i="36"/>
  <c r="I296" i="36"/>
  <c r="I746" i="36"/>
  <c r="I298" i="36"/>
  <c r="I263" i="36"/>
  <c r="I260" i="36"/>
  <c r="P732" i="36"/>
  <c r="I725" i="36"/>
  <c r="E264" i="36"/>
  <c r="P237" i="36"/>
  <c r="P776" i="36"/>
  <c r="I781" i="36"/>
  <c r="I849" i="36"/>
  <c r="I244" i="36"/>
  <c r="P797" i="36"/>
  <c r="I141" i="36"/>
  <c r="P724" i="36"/>
  <c r="I289" i="36"/>
  <c r="I750" i="36"/>
  <c r="P796" i="36"/>
  <c r="I731" i="36"/>
  <c r="I778" i="36"/>
  <c r="I783" i="36"/>
  <c r="I796" i="36"/>
  <c r="I747" i="36"/>
  <c r="P721" i="36"/>
  <c r="I730" i="36"/>
  <c r="I776" i="36"/>
  <c r="P725" i="36"/>
  <c r="I722" i="36"/>
  <c r="I291" i="36"/>
  <c r="I261" i="36"/>
  <c r="I292" i="36"/>
  <c r="I245" i="36"/>
  <c r="I256" i="36"/>
  <c r="I297" i="36"/>
  <c r="I300" i="36"/>
  <c r="I132" i="36"/>
  <c r="I736" i="36"/>
  <c r="I738" i="36"/>
  <c r="P738" i="36"/>
  <c r="I734" i="36"/>
  <c r="P238" i="36"/>
  <c r="I238" i="36"/>
  <c r="I236" i="36"/>
  <c r="R236" i="36" s="1"/>
  <c r="S236" i="36" s="1"/>
  <c r="P777" i="36"/>
  <c r="P746" i="36"/>
  <c r="I133" i="36"/>
  <c r="I237" i="36"/>
  <c r="I255" i="36"/>
  <c r="I780" i="36"/>
  <c r="I246" i="36"/>
  <c r="I290" i="36"/>
  <c r="E293" i="36"/>
  <c r="P243" i="36"/>
  <c r="I243" i="36"/>
  <c r="I856" i="36"/>
  <c r="P841" i="36"/>
  <c r="R841" i="36" s="1"/>
  <c r="S841" i="36" s="1"/>
  <c r="I798" i="36"/>
  <c r="I247" i="36"/>
  <c r="I733" i="36"/>
  <c r="I134" i="36"/>
  <c r="L847" i="36"/>
  <c r="L857" i="36" s="1"/>
  <c r="I847" i="36"/>
  <c r="I850" i="36"/>
  <c r="L723" i="36"/>
  <c r="P723" i="36" s="1"/>
  <c r="I723" i="36"/>
  <c r="I795" i="36"/>
  <c r="I82" i="36"/>
  <c r="E142" i="36"/>
  <c r="E727" i="36"/>
  <c r="I779" i="36"/>
  <c r="I140" i="36"/>
  <c r="I242" i="36"/>
  <c r="I724" i="36"/>
  <c r="I855" i="36"/>
  <c r="P801" i="36"/>
  <c r="I801" i="36"/>
  <c r="I848" i="36"/>
  <c r="P737" i="36"/>
  <c r="I737" i="36"/>
  <c r="I782" i="36"/>
  <c r="P843" i="36"/>
  <c r="R843" i="36" s="1"/>
  <c r="S843" i="36" s="1"/>
  <c r="E251" i="36"/>
  <c r="I777" i="36"/>
  <c r="I299" i="36"/>
  <c r="I184" i="36"/>
  <c r="I185" i="36" s="1"/>
  <c r="P235" i="36"/>
  <c r="P840" i="36"/>
  <c r="R840" i="36" s="1"/>
  <c r="S840" i="36" s="1"/>
  <c r="E185" i="36"/>
  <c r="I248" i="36"/>
  <c r="P248" i="36"/>
  <c r="L726" i="36"/>
  <c r="P726" i="36" s="1"/>
  <c r="I726" i="36"/>
  <c r="P731" i="36"/>
  <c r="I301" i="36"/>
  <c r="I749" i="36"/>
  <c r="P749" i="36"/>
  <c r="E181" i="36"/>
  <c r="I748" i="36"/>
  <c r="I745" i="36"/>
  <c r="L15" i="50" l="1"/>
  <c r="M15" i="50" s="1"/>
  <c r="L18" i="50"/>
  <c r="M18" i="50" s="1"/>
  <c r="L22" i="50"/>
  <c r="M22" i="50" s="1"/>
  <c r="L17" i="50"/>
  <c r="M17" i="50" s="1"/>
  <c r="L23" i="50"/>
  <c r="M23" i="50" s="1"/>
  <c r="L13" i="50"/>
  <c r="M13" i="50" s="1"/>
  <c r="L19" i="50"/>
  <c r="M19" i="50" s="1"/>
  <c r="R732" i="36"/>
  <c r="S732" i="36" s="1"/>
  <c r="R937" i="36"/>
  <c r="S937" i="36" s="1"/>
  <c r="R749" i="36"/>
  <c r="S749" i="36" s="1"/>
  <c r="R797" i="36"/>
  <c r="S797" i="36" s="1"/>
  <c r="R737" i="36"/>
  <c r="S737" i="36" s="1"/>
  <c r="R776" i="36"/>
  <c r="S776" i="36" s="1"/>
  <c r="R721" i="36"/>
  <c r="S721" i="36" s="1"/>
  <c r="R738" i="36"/>
  <c r="S738" i="36" s="1"/>
  <c r="R243" i="36"/>
  <c r="S243" i="36" s="1"/>
  <c r="I136" i="36"/>
  <c r="R799" i="36"/>
  <c r="S799" i="36" s="1"/>
  <c r="R796" i="36"/>
  <c r="S796" i="36" s="1"/>
  <c r="R238" i="36"/>
  <c r="S238" i="36" s="1"/>
  <c r="R855" i="36"/>
  <c r="S855" i="36" s="1"/>
  <c r="R249" i="36"/>
  <c r="S249" i="36" s="1"/>
  <c r="R722" i="36"/>
  <c r="S722" i="36" s="1"/>
  <c r="R747" i="36"/>
  <c r="S747" i="36" s="1"/>
  <c r="R731" i="36"/>
  <c r="S731" i="36" s="1"/>
  <c r="R745" i="36"/>
  <c r="S745" i="36" s="1"/>
  <c r="R237" i="36"/>
  <c r="S237" i="36" s="1"/>
  <c r="R255" i="36"/>
  <c r="S255" i="36" s="1"/>
  <c r="R798" i="36"/>
  <c r="S798" i="36" s="1"/>
  <c r="R257" i="36"/>
  <c r="S257" i="36" s="1"/>
  <c r="R235" i="36"/>
  <c r="S235" i="36" s="1"/>
  <c r="R244" i="36"/>
  <c r="S244" i="36" s="1"/>
  <c r="R778" i="36"/>
  <c r="S778" i="36" s="1"/>
  <c r="R724" i="36"/>
  <c r="S724" i="36" s="1"/>
  <c r="R250" i="36"/>
  <c r="S250" i="36" s="1"/>
  <c r="R723" i="36"/>
  <c r="S723" i="36" s="1"/>
  <c r="R746" i="36"/>
  <c r="S746" i="36" s="1"/>
  <c r="R777" i="36"/>
  <c r="S777" i="36" s="1"/>
  <c r="R748" i="36"/>
  <c r="S748" i="36" s="1"/>
  <c r="R726" i="36"/>
  <c r="S726" i="36" s="1"/>
  <c r="R801" i="36"/>
  <c r="S801" i="36" s="1"/>
  <c r="R725" i="36"/>
  <c r="S725" i="36" s="1"/>
  <c r="R256" i="36"/>
  <c r="S256" i="36" s="1"/>
  <c r="R800" i="36"/>
  <c r="S800" i="36" s="1"/>
  <c r="R248" i="36"/>
  <c r="S248" i="36" s="1"/>
  <c r="R802" i="36"/>
  <c r="S802" i="36" s="1"/>
  <c r="R180" i="36"/>
  <c r="S180" i="36" s="1"/>
  <c r="R803" i="36"/>
  <c r="S803" i="36" s="1"/>
  <c r="I251" i="36"/>
  <c r="R736" i="36"/>
  <c r="S736" i="36" s="1"/>
  <c r="I142" i="36"/>
  <c r="I751" i="36"/>
  <c r="I739" i="36"/>
  <c r="R739" i="36" s="1"/>
  <c r="S739" i="36" s="1"/>
  <c r="I804" i="36"/>
  <c r="I857" i="36"/>
  <c r="I293" i="36"/>
  <c r="I727" i="36"/>
  <c r="I302" i="36"/>
  <c r="I264" i="36"/>
  <c r="I189" i="36"/>
  <c r="G18" i="34" s="1"/>
  <c r="M119" i="46"/>
  <c r="M118" i="46"/>
  <c r="P730" i="36"/>
  <c r="R730" i="36" s="1"/>
  <c r="S730" i="36" s="1"/>
  <c r="V23" i="50"/>
  <c r="V18" i="50"/>
  <c r="V21" i="50"/>
  <c r="K120" i="46"/>
  <c r="L120" i="46" s="1"/>
  <c r="K127" i="46"/>
  <c r="L127" i="46" s="1"/>
  <c r="I896" i="36"/>
  <c r="I894" i="36"/>
  <c r="I72" i="36"/>
  <c r="I74" i="36" s="1"/>
  <c r="V13" i="50"/>
  <c r="W13" i="50" s="1"/>
  <c r="AA13" i="50" s="1"/>
  <c r="V19" i="50"/>
  <c r="W19" i="50" s="1"/>
  <c r="P242" i="36"/>
  <c r="M124" i="46"/>
  <c r="E239" i="36"/>
  <c r="P750" i="36"/>
  <c r="R750" i="36" s="1"/>
  <c r="S750" i="36" s="1"/>
  <c r="P360" i="36"/>
  <c r="R360" i="36" s="1"/>
  <c r="S360" i="36" s="1"/>
  <c r="P359" i="36"/>
  <c r="R359" i="36" s="1"/>
  <c r="S359" i="36" s="1"/>
  <c r="I895" i="36"/>
  <c r="I893" i="36"/>
  <c r="P844" i="36"/>
  <c r="R844" i="36" s="1"/>
  <c r="S844" i="36" s="1"/>
  <c r="P127" i="36"/>
  <c r="E129" i="36"/>
  <c r="P289" i="36"/>
  <c r="R289" i="36" s="1"/>
  <c r="S289" i="36" s="1"/>
  <c r="D122" i="46"/>
  <c r="D128" i="46"/>
  <c r="D124" i="46"/>
  <c r="D129" i="46"/>
  <c r="D119" i="46"/>
  <c r="D123" i="46"/>
  <c r="D118" i="46"/>
  <c r="D130" i="46"/>
  <c r="D125" i="46"/>
  <c r="D117" i="46"/>
  <c r="P296" i="36"/>
  <c r="R296" i="36" s="1"/>
  <c r="S296" i="36" s="1"/>
  <c r="P290" i="36"/>
  <c r="R290" i="36" s="1"/>
  <c r="S290" i="36" s="1"/>
  <c r="I233" i="36"/>
  <c r="I239" i="36" s="1"/>
  <c r="I127" i="36"/>
  <c r="I129" i="36" s="1"/>
  <c r="P239" i="36"/>
  <c r="P181" i="36"/>
  <c r="R181" i="36" s="1"/>
  <c r="S181" i="36" s="1"/>
  <c r="P727" i="36"/>
  <c r="P795" i="36"/>
  <c r="R795" i="36" s="1"/>
  <c r="S795" i="36" s="1"/>
  <c r="P856" i="36"/>
  <c r="R856" i="36" s="1"/>
  <c r="S856" i="36" s="1"/>
  <c r="D83" i="46"/>
  <c r="K83" i="46" s="1"/>
  <c r="D77" i="46"/>
  <c r="K77" i="46" s="1"/>
  <c r="D81" i="46"/>
  <c r="K81" i="46" s="1"/>
  <c r="D75" i="46"/>
  <c r="K75" i="46" s="1"/>
  <c r="D69" i="46"/>
  <c r="D87" i="46"/>
  <c r="K87" i="46" s="1"/>
  <c r="D73" i="46"/>
  <c r="D79" i="46"/>
  <c r="K79" i="46" s="1"/>
  <c r="D71" i="46"/>
  <c r="K71" i="46" s="1"/>
  <c r="D85" i="46"/>
  <c r="K85" i="46" s="1"/>
  <c r="D67" i="46"/>
  <c r="K67" i="46" s="1"/>
  <c r="D65" i="46"/>
  <c r="K65" i="46" s="1"/>
  <c r="L727" i="36"/>
  <c r="R727" i="36" l="1"/>
  <c r="S727" i="36" s="1"/>
  <c r="R239" i="36"/>
  <c r="S239" i="36" s="1"/>
  <c r="R127" i="36"/>
  <c r="S127" i="36" s="1"/>
  <c r="R233" i="36"/>
  <c r="S233" i="36" s="1"/>
  <c r="R242" i="36"/>
  <c r="S242" i="36" s="1"/>
  <c r="I897" i="36"/>
  <c r="I901" i="36" s="1"/>
  <c r="G23" i="34" s="1"/>
  <c r="K69" i="46"/>
  <c r="L69" i="46" s="1"/>
  <c r="X69" i="46" s="1"/>
  <c r="K117" i="46"/>
  <c r="L117" i="46" s="1"/>
  <c r="K123" i="46"/>
  <c r="L123" i="46" s="1"/>
  <c r="X123" i="46" s="1"/>
  <c r="K128" i="46"/>
  <c r="L128" i="46" s="1"/>
  <c r="X128" i="46" s="1"/>
  <c r="K125" i="46"/>
  <c r="L125" i="46" s="1"/>
  <c r="X125" i="46" s="1"/>
  <c r="K119" i="46"/>
  <c r="L119" i="46" s="1"/>
  <c r="K122" i="46"/>
  <c r="L122" i="46" s="1"/>
  <c r="L67" i="46"/>
  <c r="X67" i="46" s="1"/>
  <c r="K73" i="46"/>
  <c r="L73" i="46" s="1"/>
  <c r="X73" i="46" s="1"/>
  <c r="K130" i="46"/>
  <c r="L130" i="46" s="1"/>
  <c r="X130" i="46" s="1"/>
  <c r="K129" i="46"/>
  <c r="L129" i="46" s="1"/>
  <c r="X129" i="46" s="1"/>
  <c r="K118" i="46"/>
  <c r="L118" i="46" s="1"/>
  <c r="X118" i="46" s="1"/>
  <c r="K124" i="46"/>
  <c r="L124" i="46" s="1"/>
  <c r="X124" i="46" s="1"/>
  <c r="T124" i="46"/>
  <c r="U124" i="46" s="1"/>
  <c r="Y124" i="46" s="1"/>
  <c r="M129" i="46"/>
  <c r="M128" i="46"/>
  <c r="M123" i="46"/>
  <c r="X120" i="46"/>
  <c r="Z23" i="50"/>
  <c r="Z15" i="50"/>
  <c r="P782" i="36"/>
  <c r="R782" i="36" s="1"/>
  <c r="S782" i="36" s="1"/>
  <c r="P364" i="36"/>
  <c r="R364" i="36" s="1"/>
  <c r="S364" i="36" s="1"/>
  <c r="P361" i="36"/>
  <c r="R361" i="36" s="1"/>
  <c r="S361" i="36" s="1"/>
  <c r="P884" i="36"/>
  <c r="R884" i="36" s="1"/>
  <c r="S884" i="36" s="1"/>
  <c r="P365" i="36"/>
  <c r="R365" i="36" s="1"/>
  <c r="S365" i="36" s="1"/>
  <c r="P140" i="36"/>
  <c r="R140" i="36" s="1"/>
  <c r="S140" i="36" s="1"/>
  <c r="V15" i="50"/>
  <c r="W15" i="50" s="1"/>
  <c r="V22" i="50"/>
  <c r="W22" i="50" s="1"/>
  <c r="P291" i="36"/>
  <c r="R291" i="36" s="1"/>
  <c r="S291" i="36" s="1"/>
  <c r="P297" i="36"/>
  <c r="R297" i="36" s="1"/>
  <c r="S297" i="36" s="1"/>
  <c r="P292" i="36"/>
  <c r="R292" i="36" s="1"/>
  <c r="S292" i="36" s="1"/>
  <c r="P261" i="36"/>
  <c r="R261" i="36" s="1"/>
  <c r="S261" i="36" s="1"/>
  <c r="P245" i="36"/>
  <c r="R245" i="36" s="1"/>
  <c r="S245" i="36" s="1"/>
  <c r="D27" i="46"/>
  <c r="D31" i="46"/>
  <c r="D13" i="46"/>
  <c r="K13" i="46" s="1"/>
  <c r="D21" i="46"/>
  <c r="D17" i="46"/>
  <c r="D23" i="46"/>
  <c r="D33" i="46"/>
  <c r="D19" i="46"/>
  <c r="D15" i="46"/>
  <c r="K15" i="46" s="1"/>
  <c r="D25" i="46"/>
  <c r="D29" i="46"/>
  <c r="K29" i="46" s="1"/>
  <c r="L65" i="46"/>
  <c r="L75" i="46"/>
  <c r="X75" i="46" s="1"/>
  <c r="L85" i="46"/>
  <c r="X85" i="46" s="1"/>
  <c r="L87" i="46"/>
  <c r="X87" i="46" s="1"/>
  <c r="L77" i="46"/>
  <c r="X77" i="46" s="1"/>
  <c r="L79" i="46"/>
  <c r="X79" i="46" s="1"/>
  <c r="L81" i="46"/>
  <c r="X81" i="46" s="1"/>
  <c r="L71" i="46"/>
  <c r="X71" i="46" s="1"/>
  <c r="L83" i="46"/>
  <c r="X83" i="46" s="1"/>
  <c r="L15" i="46" l="1"/>
  <c r="X15" i="46" s="1"/>
  <c r="K19" i="46"/>
  <c r="L19" i="46" s="1"/>
  <c r="X19" i="46" s="1"/>
  <c r="K21" i="46"/>
  <c r="L21" i="46" s="1"/>
  <c r="X21" i="46" s="1"/>
  <c r="K27" i="46"/>
  <c r="L27" i="46" s="1"/>
  <c r="X27" i="46" s="1"/>
  <c r="K31" i="46"/>
  <c r="L31" i="46" s="1"/>
  <c r="X31" i="46" s="1"/>
  <c r="K33" i="46"/>
  <c r="L33" i="46" s="1"/>
  <c r="X33" i="46" s="1"/>
  <c r="K17" i="46"/>
  <c r="L17" i="46" s="1"/>
  <c r="X17" i="46" s="1"/>
  <c r="K25" i="46"/>
  <c r="L25" i="46" s="1"/>
  <c r="X25" i="46" s="1"/>
  <c r="K23" i="46"/>
  <c r="L23" i="46" s="1"/>
  <c r="X23" i="46" s="1"/>
  <c r="Z19" i="50"/>
  <c r="T119" i="46"/>
  <c r="U119" i="46" s="1"/>
  <c r="Y119" i="46" s="1"/>
  <c r="T129" i="46"/>
  <c r="U129" i="46" s="1"/>
  <c r="T123" i="46"/>
  <c r="U123" i="46" s="1"/>
  <c r="Y123" i="46" s="1"/>
  <c r="T118" i="46"/>
  <c r="U118" i="46" s="1"/>
  <c r="V118" i="46" s="1"/>
  <c r="W118" i="46" s="1"/>
  <c r="T128" i="46"/>
  <c r="U128" i="46" s="1"/>
  <c r="P733" i="36"/>
  <c r="R733" i="36" s="1"/>
  <c r="S733" i="36" s="1"/>
  <c r="P300" i="36"/>
  <c r="R300" i="36" s="1"/>
  <c r="S300" i="36" s="1"/>
  <c r="P299" i="36"/>
  <c r="R299" i="36" s="1"/>
  <c r="S299" i="36" s="1"/>
  <c r="P141" i="36"/>
  <c r="R141" i="36" s="1"/>
  <c r="S141" i="36" s="1"/>
  <c r="P849" i="36"/>
  <c r="R849" i="36" s="1"/>
  <c r="S849" i="36" s="1"/>
  <c r="P366" i="36"/>
  <c r="P885" i="36"/>
  <c r="R885" i="36" s="1"/>
  <c r="S885" i="36" s="1"/>
  <c r="P298" i="36"/>
  <c r="R298" i="36" s="1"/>
  <c r="S298" i="36" s="1"/>
  <c r="V124" i="46"/>
  <c r="W124" i="46" s="1"/>
  <c r="W18" i="50"/>
  <c r="AA18" i="50" s="1"/>
  <c r="V14" i="50"/>
  <c r="W14" i="50" s="1"/>
  <c r="W21" i="50"/>
  <c r="AA21" i="50" s="1"/>
  <c r="V17" i="50"/>
  <c r="W17" i="50" s="1"/>
  <c r="AA17" i="50" s="1"/>
  <c r="P847" i="36"/>
  <c r="R847" i="36" s="1"/>
  <c r="S847" i="36" s="1"/>
  <c r="P293" i="36"/>
  <c r="R293" i="36" s="1"/>
  <c r="S293" i="36" s="1"/>
  <c r="P848" i="36"/>
  <c r="R848" i="36" s="1"/>
  <c r="S848" i="36" s="1"/>
  <c r="P246" i="36"/>
  <c r="R246" i="36" s="1"/>
  <c r="S246" i="36" s="1"/>
  <c r="P262" i="36"/>
  <c r="R262" i="36" s="1"/>
  <c r="S262" i="36" s="1"/>
  <c r="P783" i="36"/>
  <c r="R783" i="36" s="1"/>
  <c r="S783" i="36" s="1"/>
  <c r="P734" i="36"/>
  <c r="R734" i="36" s="1"/>
  <c r="S734" i="36" s="1"/>
  <c r="X119" i="46"/>
  <c r="L29" i="46"/>
  <c r="L13" i="46"/>
  <c r="Z22" i="50"/>
  <c r="AA22" i="50"/>
  <c r="Z17" i="50"/>
  <c r="P367" i="36" l="1"/>
  <c r="R367" i="36" s="1"/>
  <c r="S367" i="36" s="1"/>
  <c r="R366" i="36"/>
  <c r="S366" i="36" s="1"/>
  <c r="P142" i="36"/>
  <c r="R142" i="36" s="1"/>
  <c r="S142" i="36" s="1"/>
  <c r="Y129" i="46"/>
  <c r="V129" i="46"/>
  <c r="W129" i="46" s="1"/>
  <c r="Y128" i="46"/>
  <c r="V128" i="46"/>
  <c r="W128" i="46" s="1"/>
  <c r="V123" i="46"/>
  <c r="W123" i="46" s="1"/>
  <c r="AA14" i="50"/>
  <c r="Y118" i="46"/>
  <c r="V119" i="46"/>
  <c r="W119" i="46" s="1"/>
  <c r="P466" i="36"/>
  <c r="R466" i="36" s="1"/>
  <c r="S466" i="36" s="1"/>
  <c r="P886" i="36"/>
  <c r="R886" i="36" s="1"/>
  <c r="S886" i="36" s="1"/>
  <c r="P412" i="36"/>
  <c r="R412" i="36" s="1"/>
  <c r="S412" i="36" s="1"/>
  <c r="P564" i="36"/>
  <c r="R564" i="36" s="1"/>
  <c r="S564" i="36" s="1"/>
  <c r="P301" i="36"/>
  <c r="P887" i="36"/>
  <c r="R887" i="36" s="1"/>
  <c r="S887" i="36" s="1"/>
  <c r="L893" i="36"/>
  <c r="X13" i="50"/>
  <c r="Y13" i="50" s="1"/>
  <c r="X21" i="50"/>
  <c r="Y21" i="50" s="1"/>
  <c r="X22" i="50"/>
  <c r="Y22" i="50" s="1"/>
  <c r="X18" i="50"/>
  <c r="Y18" i="50" s="1"/>
  <c r="X17" i="50"/>
  <c r="Y17" i="50" s="1"/>
  <c r="P850" i="36"/>
  <c r="R850" i="36" s="1"/>
  <c r="S850" i="36" s="1"/>
  <c r="P263" i="36"/>
  <c r="R263" i="36" s="1"/>
  <c r="S263" i="36" s="1"/>
  <c r="P247" i="36"/>
  <c r="R247" i="36" s="1"/>
  <c r="S247" i="36" s="1"/>
  <c r="P784" i="36"/>
  <c r="R784" i="36" s="1"/>
  <c r="S784" i="36" s="1"/>
  <c r="P735" i="36"/>
  <c r="R735" i="36" s="1"/>
  <c r="S735" i="36" s="1"/>
  <c r="X29" i="46"/>
  <c r="X127" i="46"/>
  <c r="Z13" i="50"/>
  <c r="Z21" i="50"/>
  <c r="X117" i="46"/>
  <c r="Z14" i="50"/>
  <c r="Z18" i="50"/>
  <c r="X122" i="46"/>
  <c r="P251" i="36" l="1"/>
  <c r="R251" i="36" s="1"/>
  <c r="S251" i="36" s="1"/>
  <c r="P302" i="36"/>
  <c r="R302" i="36" s="1"/>
  <c r="S302" i="36" s="1"/>
  <c r="R301" i="36"/>
  <c r="S301" i="36" s="1"/>
  <c r="P893" i="36"/>
  <c r="R893" i="36" s="1"/>
  <c r="S893" i="36" s="1"/>
  <c r="X14" i="50"/>
  <c r="Y14" i="50" s="1"/>
  <c r="L894" i="36"/>
  <c r="P894" i="36" s="1"/>
  <c r="R894" i="36" s="1"/>
  <c r="S894" i="36" s="1"/>
  <c r="P673" i="36"/>
  <c r="R673" i="36" s="1"/>
  <c r="S673" i="36" s="1"/>
  <c r="P413" i="36"/>
  <c r="R413" i="36" s="1"/>
  <c r="S413" i="36" s="1"/>
  <c r="P888" i="36"/>
  <c r="R888" i="36" s="1"/>
  <c r="S888" i="36" s="1"/>
  <c r="P857" i="36"/>
  <c r="R857" i="36" s="1"/>
  <c r="S857" i="36" s="1"/>
  <c r="X19" i="50"/>
  <c r="X15" i="50"/>
  <c r="W23" i="50"/>
  <c r="X23" i="50" s="1"/>
  <c r="P751" i="36"/>
  <c r="R751" i="36" s="1"/>
  <c r="S751" i="36" s="1"/>
  <c r="G55" i="34" l="1"/>
  <c r="P414" i="36"/>
  <c r="P467" i="36"/>
  <c r="R467" i="36" s="1"/>
  <c r="S467" i="36" s="1"/>
  <c r="P889" i="36"/>
  <c r="R889" i="36" s="1"/>
  <c r="S889" i="36" s="1"/>
  <c r="Y15" i="50"/>
  <c r="AA15" i="50"/>
  <c r="Y19" i="50"/>
  <c r="AA19" i="50"/>
  <c r="Y23" i="50"/>
  <c r="AA23" i="50"/>
  <c r="P428" i="36" l="1"/>
  <c r="R414" i="36"/>
  <c r="S414" i="36" s="1"/>
  <c r="P468" i="36"/>
  <c r="P565" i="36"/>
  <c r="R565" i="36" s="1"/>
  <c r="S565" i="36" s="1"/>
  <c r="P890" i="36"/>
  <c r="R890" i="36" s="1"/>
  <c r="S890" i="36" s="1"/>
  <c r="I939" i="36"/>
  <c r="I942" i="36" s="1"/>
  <c r="G26" i="34" s="1"/>
  <c r="P482" i="36" l="1"/>
  <c r="R482" i="36" s="1"/>
  <c r="S482" i="36" s="1"/>
  <c r="R468" i="36"/>
  <c r="S468" i="36" s="1"/>
  <c r="I21" i="34"/>
  <c r="L21" i="34" s="1"/>
  <c r="R428" i="36"/>
  <c r="S428" i="36" s="1"/>
  <c r="P566" i="36"/>
  <c r="R566" i="36" s="1"/>
  <c r="S566" i="36" s="1"/>
  <c r="P674" i="36"/>
  <c r="R674" i="36" s="1"/>
  <c r="S674" i="36" s="1"/>
  <c r="I22" i="34" l="1"/>
  <c r="L22" i="34" s="1"/>
  <c r="P675" i="36"/>
  <c r="G57" i="34"/>
  <c r="P678" i="36" l="1"/>
  <c r="R675" i="36"/>
  <c r="S675" i="36" s="1"/>
  <c r="M22" i="34"/>
  <c r="I25" i="34" l="1"/>
  <c r="R678" i="36"/>
  <c r="S678" i="36" s="1"/>
  <c r="P570" i="36"/>
  <c r="M21" i="34"/>
  <c r="L25" i="34" l="1"/>
  <c r="L54" i="34" s="1"/>
  <c r="M54" i="34" s="1"/>
  <c r="I54" i="34"/>
  <c r="I24" i="34"/>
  <c r="R570" i="36"/>
  <c r="S570" i="36" s="1"/>
  <c r="M25" i="34" l="1"/>
  <c r="I53" i="34"/>
  <c r="I55" i="34" s="1"/>
  <c r="L24" i="34"/>
  <c r="P128" i="36"/>
  <c r="R128" i="36" s="1"/>
  <c r="S128" i="36" s="1"/>
  <c r="M24" i="34" l="1"/>
  <c r="L53" i="34"/>
  <c r="L55" i="34" s="1"/>
  <c r="P129" i="36"/>
  <c r="R129" i="36" s="1"/>
  <c r="S129" i="36" s="1"/>
  <c r="P939" i="36" l="1"/>
  <c r="R939" i="36" s="1"/>
  <c r="S939" i="36" s="1"/>
  <c r="P942" i="36" l="1"/>
  <c r="I26" i="34" l="1"/>
  <c r="I57" i="34" s="1"/>
  <c r="R942" i="36"/>
  <c r="S942" i="36" s="1"/>
  <c r="I81" i="36"/>
  <c r="I83" i="36" s="1"/>
  <c r="L26" i="34" l="1"/>
  <c r="M26" i="34" l="1"/>
  <c r="L57" i="34"/>
  <c r="M57" i="34" s="1"/>
  <c r="X35" i="34" l="1"/>
  <c r="M53" i="34" l="1"/>
  <c r="P135" i="36"/>
  <c r="R135" i="36" s="1"/>
  <c r="S135" i="36" s="1"/>
  <c r="P73" i="36" l="1"/>
  <c r="R73" i="36" s="1"/>
  <c r="S73" i="36" s="1"/>
  <c r="P72" i="36"/>
  <c r="R72" i="36" l="1"/>
  <c r="S72" i="36" s="1"/>
  <c r="P74" i="36"/>
  <c r="R74" i="36" s="1"/>
  <c r="S74" i="36" s="1"/>
  <c r="M17" i="46" l="1"/>
  <c r="T17" i="46" s="1"/>
  <c r="U17" i="46" s="1"/>
  <c r="P82" i="36"/>
  <c r="R82" i="36" s="1"/>
  <c r="S82" i="36" s="1"/>
  <c r="M31" i="46" l="1"/>
  <c r="T31" i="46" s="1"/>
  <c r="U31" i="46" s="1"/>
  <c r="V31" i="46" s="1"/>
  <c r="W31" i="46" s="1"/>
  <c r="M23" i="46"/>
  <c r="T23" i="46" s="1"/>
  <c r="U23" i="46" s="1"/>
  <c r="V23" i="46" s="1"/>
  <c r="W23" i="46" s="1"/>
  <c r="M15" i="46"/>
  <c r="T15" i="46" s="1"/>
  <c r="U15" i="46" s="1"/>
  <c r="V15" i="46" s="1"/>
  <c r="W15" i="46" s="1"/>
  <c r="M13" i="46"/>
  <c r="T13" i="46" s="1"/>
  <c r="U13" i="46" s="1"/>
  <c r="V13" i="46" s="1"/>
  <c r="W13" i="46" s="1"/>
  <c r="M19" i="46"/>
  <c r="T19" i="46" s="1"/>
  <c r="U19" i="46" s="1"/>
  <c r="V19" i="46" s="1"/>
  <c r="W19" i="46" s="1"/>
  <c r="M21" i="46"/>
  <c r="T21" i="46" s="1"/>
  <c r="U21" i="46" s="1"/>
  <c r="V21" i="46" s="1"/>
  <c r="W21" i="46" s="1"/>
  <c r="M29" i="46"/>
  <c r="T29" i="46" s="1"/>
  <c r="U29" i="46" s="1"/>
  <c r="Y29" i="46" s="1"/>
  <c r="M33" i="46"/>
  <c r="T33" i="46" s="1"/>
  <c r="U33" i="46" s="1"/>
  <c r="V33" i="46" s="1"/>
  <c r="W33" i="46" s="1"/>
  <c r="M25" i="46"/>
  <c r="T25" i="46" s="1"/>
  <c r="U25" i="46" s="1"/>
  <c r="Y25" i="46" s="1"/>
  <c r="M27" i="46"/>
  <c r="T27" i="46" s="1"/>
  <c r="U27" i="46" s="1"/>
  <c r="Y27" i="46" s="1"/>
  <c r="V17" i="46"/>
  <c r="W17" i="46" s="1"/>
  <c r="Y17" i="46"/>
  <c r="P81" i="36"/>
  <c r="R81" i="36" s="1"/>
  <c r="S81" i="36" s="1"/>
  <c r="P132" i="36"/>
  <c r="R132" i="36" s="1"/>
  <c r="S132" i="36" s="1"/>
  <c r="P80" i="36"/>
  <c r="R80" i="36" s="1"/>
  <c r="S80" i="36" s="1"/>
  <c r="P348" i="36"/>
  <c r="R348" i="36" s="1"/>
  <c r="S348" i="36" s="1"/>
  <c r="P134" i="36"/>
  <c r="R134" i="36" s="1"/>
  <c r="S134" i="36" s="1"/>
  <c r="P347" i="36"/>
  <c r="R347" i="36" s="1"/>
  <c r="S347" i="36" s="1"/>
  <c r="P184" i="36"/>
  <c r="R184" i="36" s="1"/>
  <c r="S184" i="36" s="1"/>
  <c r="P83" i="36" l="1"/>
  <c r="R83" i="36" s="1"/>
  <c r="S83" i="36" s="1"/>
  <c r="P185" i="36"/>
  <c r="R185" i="36" s="1"/>
  <c r="S185" i="36" s="1"/>
  <c r="Y31" i="46"/>
  <c r="Y23" i="46"/>
  <c r="Y21" i="46"/>
  <c r="Y33" i="46"/>
  <c r="Y19" i="46"/>
  <c r="Y15" i="46"/>
  <c r="V29" i="46"/>
  <c r="W29" i="46" s="1"/>
  <c r="V25" i="46"/>
  <c r="W25" i="46" s="1"/>
  <c r="V27" i="46"/>
  <c r="W27" i="46" s="1"/>
  <c r="P349" i="36"/>
  <c r="R349" i="36" s="1"/>
  <c r="S349" i="36" s="1"/>
  <c r="P133" i="36"/>
  <c r="R133" i="36" s="1"/>
  <c r="S133" i="36" s="1"/>
  <c r="P136" i="36" l="1"/>
  <c r="R136" i="36" s="1"/>
  <c r="S136" i="36" s="1"/>
  <c r="P189" i="36"/>
  <c r="R189" i="36" s="1"/>
  <c r="S189" i="36" s="1"/>
  <c r="M117" i="46"/>
  <c r="M127" i="46"/>
  <c r="M122" i="46"/>
  <c r="M75" i="46"/>
  <c r="M69" i="46"/>
  <c r="M77" i="46"/>
  <c r="M65" i="46"/>
  <c r="M87" i="46"/>
  <c r="M83" i="46"/>
  <c r="M79" i="46"/>
  <c r="M67" i="46"/>
  <c r="M81" i="46"/>
  <c r="M85" i="46"/>
  <c r="M73" i="46"/>
  <c r="M71" i="46"/>
  <c r="T71" i="46" s="1"/>
  <c r="U71" i="46" s="1"/>
  <c r="P350" i="36"/>
  <c r="R350" i="36" s="1"/>
  <c r="S350" i="36" s="1"/>
  <c r="P146" i="36" l="1"/>
  <c r="I17" i="34" s="1"/>
  <c r="I18" i="34"/>
  <c r="L18" i="34" s="1"/>
  <c r="T65" i="46"/>
  <c r="U65" i="46" s="1"/>
  <c r="V65" i="46" s="1"/>
  <c r="W65" i="46" s="1"/>
  <c r="P371" i="36"/>
  <c r="R371" i="36" s="1"/>
  <c r="S371" i="36" s="1"/>
  <c r="T122" i="46"/>
  <c r="U122" i="46" s="1"/>
  <c r="T127" i="46"/>
  <c r="U127" i="46" s="1"/>
  <c r="T117" i="46"/>
  <c r="U117" i="46" s="1"/>
  <c r="T77" i="46"/>
  <c r="U77" i="46" s="1"/>
  <c r="V71" i="46"/>
  <c r="W71" i="46" s="1"/>
  <c r="Y71" i="46"/>
  <c r="T67" i="46"/>
  <c r="U67" i="46" s="1"/>
  <c r="T79" i="46"/>
  <c r="U79" i="46" s="1"/>
  <c r="T85" i="46"/>
  <c r="U85" i="46" s="1"/>
  <c r="T83" i="46"/>
  <c r="U83" i="46" s="1"/>
  <c r="T69" i="46"/>
  <c r="U69" i="46" s="1"/>
  <c r="T73" i="46"/>
  <c r="U73" i="46" s="1"/>
  <c r="T81" i="46"/>
  <c r="U81" i="46" s="1"/>
  <c r="T87" i="46"/>
  <c r="U87" i="46" s="1"/>
  <c r="T75" i="46"/>
  <c r="U75" i="46" s="1"/>
  <c r="I48" i="34" l="1"/>
  <c r="I20" i="34"/>
  <c r="M18" i="34"/>
  <c r="Y117" i="46"/>
  <c r="V117" i="46"/>
  <c r="W117" i="46" s="1"/>
  <c r="V127" i="46"/>
  <c r="W127" i="46" s="1"/>
  <c r="Y127" i="46"/>
  <c r="Y122" i="46"/>
  <c r="V122" i="46"/>
  <c r="W122" i="46" s="1"/>
  <c r="Y83" i="46"/>
  <c r="V83" i="46"/>
  <c r="W83" i="46" s="1"/>
  <c r="Y87" i="46"/>
  <c r="V87" i="46"/>
  <c r="W87" i="46" s="1"/>
  <c r="V79" i="46"/>
  <c r="W79" i="46" s="1"/>
  <c r="Y79" i="46"/>
  <c r="Y75" i="46"/>
  <c r="V75" i="46"/>
  <c r="W75" i="46" s="1"/>
  <c r="V81" i="46"/>
  <c r="W81" i="46" s="1"/>
  <c r="Y81" i="46"/>
  <c r="Y69" i="46"/>
  <c r="V69" i="46"/>
  <c r="W69" i="46" s="1"/>
  <c r="V85" i="46"/>
  <c r="W85" i="46" s="1"/>
  <c r="Y85" i="46"/>
  <c r="Y67" i="46"/>
  <c r="V67" i="46"/>
  <c r="W67" i="46" s="1"/>
  <c r="V77" i="46"/>
  <c r="W77" i="46" s="1"/>
  <c r="Y77" i="46"/>
  <c r="Y73" i="46"/>
  <c r="V73" i="46"/>
  <c r="W73" i="46" s="1"/>
  <c r="L20" i="34" l="1"/>
  <c r="M20" i="34" s="1"/>
  <c r="P259" i="36" l="1"/>
  <c r="R259" i="36" s="1"/>
  <c r="S259" i="36" s="1"/>
  <c r="P780" i="36"/>
  <c r="P258" i="36"/>
  <c r="R258" i="36" s="1"/>
  <c r="S258" i="36" s="1"/>
  <c r="P260" i="36"/>
  <c r="R260" i="36" s="1"/>
  <c r="S260" i="36" s="1"/>
  <c r="L896" i="36" l="1"/>
  <c r="R780" i="36"/>
  <c r="S780" i="36" s="1"/>
  <c r="P781" i="36"/>
  <c r="R781" i="36" s="1"/>
  <c r="S781" i="36" s="1"/>
  <c r="P264" i="36"/>
  <c r="R264" i="36" s="1"/>
  <c r="S264" i="36" s="1"/>
  <c r="P779" i="36"/>
  <c r="R779" i="36" s="1"/>
  <c r="S779" i="36" s="1"/>
  <c r="L895" i="36" l="1"/>
  <c r="P804" i="36"/>
  <c r="R804" i="36" s="1"/>
  <c r="S804" i="36" s="1"/>
  <c r="M130" i="46"/>
  <c r="M120" i="46"/>
  <c r="P896" i="36"/>
  <c r="R896" i="36" s="1"/>
  <c r="S896" i="36" s="1"/>
  <c r="M125" i="46"/>
  <c r="P895" i="36" l="1"/>
  <c r="L897" i="36"/>
  <c r="T125" i="46"/>
  <c r="U125" i="46" s="1"/>
  <c r="T120" i="46"/>
  <c r="U120" i="46" s="1"/>
  <c r="T130" i="46"/>
  <c r="U130" i="46" s="1"/>
  <c r="P897" i="36" l="1"/>
  <c r="R895" i="36"/>
  <c r="S895" i="36" s="1"/>
  <c r="V130" i="46"/>
  <c r="W130" i="46" s="1"/>
  <c r="Y130" i="46"/>
  <c r="Y125" i="46"/>
  <c r="V125" i="46"/>
  <c r="W125" i="46" s="1"/>
  <c r="V120" i="46"/>
  <c r="W120" i="46" s="1"/>
  <c r="Y120" i="46"/>
  <c r="P901" i="36" l="1"/>
  <c r="R897" i="36"/>
  <c r="S897" i="36" s="1"/>
  <c r="P87" i="36"/>
  <c r="I87" i="36"/>
  <c r="G16" i="34" s="1"/>
  <c r="R87" i="36" l="1"/>
  <c r="S87" i="36" s="1"/>
  <c r="I23" i="34"/>
  <c r="L23" i="34" s="1"/>
  <c r="R901" i="36"/>
  <c r="S901" i="36" s="1"/>
  <c r="G47" i="34"/>
  <c r="I16" i="34"/>
  <c r="I47" i="34" l="1"/>
  <c r="I49" i="34" s="1"/>
  <c r="L16" i="34"/>
  <c r="L47" i="34" l="1"/>
  <c r="M16" i="34"/>
  <c r="I146" i="36"/>
  <c r="R146" i="36" s="1"/>
  <c r="S146" i="36" s="1"/>
  <c r="G17" i="34" l="1"/>
  <c r="L17" i="34" l="1"/>
  <c r="G48" i="34"/>
  <c r="G49" i="34" s="1"/>
  <c r="M17" i="34" l="1"/>
  <c r="L48" i="34"/>
  <c r="L49" i="34" s="1"/>
  <c r="M49" i="34" l="1"/>
  <c r="P305" i="36"/>
  <c r="I305" i="36"/>
  <c r="G19" i="34" l="1"/>
  <c r="G27" i="34" s="1"/>
  <c r="I991" i="36"/>
  <c r="I19" i="34"/>
  <c r="I51" i="34" s="1"/>
  <c r="I60" i="34" s="1"/>
  <c r="R305" i="36"/>
  <c r="S305" i="36" s="1"/>
  <c r="P991" i="36"/>
  <c r="G51" i="34" l="1"/>
  <c r="G60" i="34" s="1"/>
  <c r="L19" i="34"/>
  <c r="L27" i="34" s="1"/>
  <c r="I27" i="34"/>
  <c r="V4" i="36" s="1"/>
  <c r="R991" i="36"/>
  <c r="S991" i="36" s="1"/>
  <c r="M19" i="34" l="1"/>
  <c r="L51" i="34"/>
  <c r="M51" i="34" s="1"/>
  <c r="M27" i="34"/>
  <c r="I38" i="34"/>
  <c r="L60" i="34" l="1"/>
  <c r="M60" i="34" s="1"/>
</calcChain>
</file>

<file path=xl/sharedStrings.xml><?xml version="1.0" encoding="utf-8"?>
<sst xmlns="http://schemas.openxmlformats.org/spreadsheetml/2006/main" count="2890" uniqueCount="771">
  <si>
    <t>SCHEDULE E-13a</t>
  </si>
  <si>
    <t>Rate</t>
  </si>
  <si>
    <t>Dollars</t>
  </si>
  <si>
    <t>(2) - (1)</t>
  </si>
  <si>
    <t>Increase</t>
  </si>
  <si>
    <t>Type of</t>
  </si>
  <si>
    <t>Proposed</t>
  </si>
  <si>
    <t>SCHEDULE E-13c</t>
  </si>
  <si>
    <t>Present Revenue Calculation</t>
  </si>
  <si>
    <t>Proposed Revenue Calculation</t>
  </si>
  <si>
    <t>Charges</t>
  </si>
  <si>
    <t>Units</t>
  </si>
  <si>
    <t>Charge/Unit</t>
  </si>
  <si>
    <t>$ Revenue</t>
  </si>
  <si>
    <t xml:space="preserve">                  Rate Schedule</t>
  </si>
  <si>
    <t xml:space="preserve">   Standard</t>
  </si>
  <si>
    <t xml:space="preserve">      Total</t>
  </si>
  <si>
    <t>$</t>
  </si>
  <si>
    <t>(5)</t>
  </si>
  <si>
    <t>(6)</t>
  </si>
  <si>
    <t>($000)</t>
  </si>
  <si>
    <t>FLORIDA PUBLIC SERVICE COMMISSION</t>
  </si>
  <si>
    <t>(1)</t>
  </si>
  <si>
    <t>(2)</t>
  </si>
  <si>
    <t>(3)</t>
  </si>
  <si>
    <t>(4)</t>
  </si>
  <si>
    <t>Line</t>
  </si>
  <si>
    <t>Total</t>
  </si>
  <si>
    <t>No.</t>
  </si>
  <si>
    <t>COMPANY: TAMPA ELECTRIC COMPANY</t>
  </si>
  <si>
    <t xml:space="preserve">       Type of data shown:</t>
  </si>
  <si>
    <t>Percent</t>
  </si>
  <si>
    <t>RS</t>
  </si>
  <si>
    <t>GS</t>
  </si>
  <si>
    <t>GSD</t>
  </si>
  <si>
    <t>TOTAL</t>
  </si>
  <si>
    <t>Demand Charge:</t>
  </si>
  <si>
    <t xml:space="preserve">   Standard Metered</t>
  </si>
  <si>
    <t xml:space="preserve">    Standard Unmetered</t>
  </si>
  <si>
    <t xml:space="preserve">   Standard Primary</t>
  </si>
  <si>
    <t xml:space="preserve">   Standard Secondary</t>
  </si>
  <si>
    <t>Emergency Relay Charge:</t>
  </si>
  <si>
    <t xml:space="preserve"> Demand Charge:</t>
  </si>
  <si>
    <t xml:space="preserve"> Energy Charge:</t>
  </si>
  <si>
    <t>kW</t>
  </si>
  <si>
    <t>Energy Charge:</t>
  </si>
  <si>
    <t>Power Factor Charge:</t>
  </si>
  <si>
    <t xml:space="preserve">   Standard Subtrans.</t>
  </si>
  <si>
    <t>kW  (1)</t>
  </si>
  <si>
    <t>Power Factor Credit:</t>
  </si>
  <si>
    <t xml:space="preserve">Total Base Revenue: </t>
  </si>
  <si>
    <t>Energy Charge - Supplemental:</t>
  </si>
  <si>
    <t>Demand Charge - Standby:</t>
  </si>
  <si>
    <t>Demand Charge - Supplemental:</t>
  </si>
  <si>
    <t xml:space="preserve">   Standard Subtransmission</t>
  </si>
  <si>
    <t>Standard</t>
  </si>
  <si>
    <t>$/Bill</t>
  </si>
  <si>
    <t xml:space="preserve">   Optional Primary</t>
  </si>
  <si>
    <t>Standard Primary</t>
  </si>
  <si>
    <t>Standard Subtransmission</t>
  </si>
  <si>
    <t>$/kW</t>
  </si>
  <si>
    <t xml:space="preserve">   Time-of-Day  On-Peak</t>
  </si>
  <si>
    <t xml:space="preserve">   Time-of-Day</t>
  </si>
  <si>
    <t xml:space="preserve">   Time-of-Day Off-Peak</t>
  </si>
  <si>
    <t xml:space="preserve">   Time-of-Day Primary</t>
  </si>
  <si>
    <t xml:space="preserve">   Time-of-Day Secondary</t>
  </si>
  <si>
    <t xml:space="preserve">    Time-of-Day Primary</t>
  </si>
  <si>
    <t xml:space="preserve">    Time-of-Day Subtrans.</t>
  </si>
  <si>
    <t xml:space="preserve">   Time-of-Day Subtrans.</t>
  </si>
  <si>
    <t xml:space="preserve">    Time-of-Day - Secondary</t>
  </si>
  <si>
    <t xml:space="preserve">   Standard - Primary</t>
  </si>
  <si>
    <t xml:space="preserve">   Standard - Secondary</t>
  </si>
  <si>
    <t xml:space="preserve">    Time-of-Day - Primary</t>
  </si>
  <si>
    <t xml:space="preserve">    Optional - Secondary</t>
  </si>
  <si>
    <t>(20)</t>
  </si>
  <si>
    <t xml:space="preserve">    Optional - Primary</t>
  </si>
  <si>
    <t xml:space="preserve">   T-O-D On-Peak - Secondary</t>
  </si>
  <si>
    <t xml:space="preserve">   T-O-D On-Peak - Primary</t>
  </si>
  <si>
    <t xml:space="preserve">   T-O-D Off-Peak - Secondary</t>
  </si>
  <si>
    <t xml:space="preserve">   T-O-D Off-Peak - Primary</t>
  </si>
  <si>
    <t xml:space="preserve">   T-O-D Billing - Secondary</t>
  </si>
  <si>
    <t xml:space="preserve">   T-O-D Billing - Primary</t>
  </si>
  <si>
    <t xml:space="preserve">   T-O-D Peak - Secondary</t>
  </si>
  <si>
    <t xml:space="preserve">   T-O-D Peak - Primary</t>
  </si>
  <si>
    <t>GS/GST</t>
  </si>
  <si>
    <t xml:space="preserve">    Time-of-Day Secondary - On-Peak</t>
  </si>
  <si>
    <t xml:space="preserve">    Time-of-Day Primary - On-Peak</t>
  </si>
  <si>
    <t xml:space="preserve">    Time-of-Day Secondary - Off-Peak</t>
  </si>
  <si>
    <t xml:space="preserve">    Time-of-Day Primary  - Off-Peak</t>
  </si>
  <si>
    <t xml:space="preserve">   Optional Secondary</t>
  </si>
  <si>
    <t xml:space="preserve">   Standard - Subtransmission</t>
  </si>
  <si>
    <t xml:space="preserve">    Time-of-Day Subtrans. - On-Peak</t>
  </si>
  <si>
    <t xml:space="preserve">    Time-of-Day Subtrans. - Off-Peak</t>
  </si>
  <si>
    <t xml:space="preserve">    Time-of-Day Secondary - Billing</t>
  </si>
  <si>
    <t xml:space="preserve">    Time-of-Day Subtransmission - Billing</t>
  </si>
  <si>
    <t xml:space="preserve">    Time-of-Day Secondary - Peak</t>
  </si>
  <si>
    <t xml:space="preserve">    Time-of-Day Subtransmission - Peak</t>
  </si>
  <si>
    <t xml:space="preserve">    Time-of-Day Secondary</t>
  </si>
  <si>
    <t xml:space="preserve">   TOD Secondary - On-Peak</t>
  </si>
  <si>
    <t xml:space="preserve">   TOD Primary - On-peak</t>
  </si>
  <si>
    <t xml:space="preserve">   TOD Subtransmission - On-peak</t>
  </si>
  <si>
    <t xml:space="preserve">   TOD Secondary - Off-Peak</t>
  </si>
  <si>
    <t xml:space="preserve">   TOD Primary - Off-peak</t>
  </si>
  <si>
    <t xml:space="preserve">   TOD Subtransmission - Off-peak</t>
  </si>
  <si>
    <t xml:space="preserve">    Time-of-Day Primary  -  Billing</t>
  </si>
  <si>
    <t xml:space="preserve">    Time-of-Day Primary  -  Peak</t>
  </si>
  <si>
    <t xml:space="preserve">    TOD Secondary - Facilities Reservation</t>
  </si>
  <si>
    <t xml:space="preserve">    TOD Primary - Facilities Reservation</t>
  </si>
  <si>
    <t xml:space="preserve">    TOD Subtrans. - Facilities Reservation</t>
  </si>
  <si>
    <t xml:space="preserve">    TOD Secondary - Power Supply Reservation</t>
  </si>
  <si>
    <t xml:space="preserve">    TOD Primary - Power Supply Reservation</t>
  </si>
  <si>
    <t xml:space="preserve">    TOD Subtrans. - Power Supply Reservation</t>
  </si>
  <si>
    <t xml:space="preserve">    TOD Secondary - Power Supply Demand</t>
  </si>
  <si>
    <t xml:space="preserve">    TOD Primary - Power Supply Demand</t>
  </si>
  <si>
    <t xml:space="preserve">    TOD Subtrans. - Power Supply Demand</t>
  </si>
  <si>
    <t xml:space="preserve">   Time-of-Day Subtransmission</t>
  </si>
  <si>
    <t xml:space="preserve">    TOD Local Facilities Res. - Pri.</t>
  </si>
  <si>
    <t xml:space="preserve">    TOD Local Facilities Res. - Subtrans.</t>
  </si>
  <si>
    <t xml:space="preserve">    TOD Bulk Transm. Reservation -Subtrans.</t>
  </si>
  <si>
    <t xml:space="preserve">    TOD Bulk Transmission Demand - Subtrans.</t>
  </si>
  <si>
    <t xml:space="preserve">    T-O-D Billing - Secondary</t>
  </si>
  <si>
    <t xml:space="preserve">    T-O-D Peak - Secondary</t>
  </si>
  <si>
    <t xml:space="preserve">    T-O-D Peak - Primary</t>
  </si>
  <si>
    <t xml:space="preserve">    T-O-D On-Peak - Secondary</t>
  </si>
  <si>
    <t xml:space="preserve">FUEL CHARGE </t>
  </si>
  <si>
    <t xml:space="preserve">    T-O-D On-Peak - Primary</t>
  </si>
  <si>
    <t xml:space="preserve">    T-O-D On-Peak - Subtrans.</t>
  </si>
  <si>
    <t xml:space="preserve">    T-O-D Off-Peak - Secondary</t>
  </si>
  <si>
    <t xml:space="preserve">    T-O-D Off-Peak - Primary</t>
  </si>
  <si>
    <t xml:space="preserve">    T-O-D Off-Peak - Subtrans.</t>
  </si>
  <si>
    <t xml:space="preserve">    T-O-D Peak - Subtransmission</t>
  </si>
  <si>
    <t xml:space="preserve">    T-O-D On-Peak -Secondary</t>
  </si>
  <si>
    <t xml:space="preserve">    T-O-D Off-Peak -Secondary</t>
  </si>
  <si>
    <t>Energy Charge - Standby:</t>
  </si>
  <si>
    <t xml:space="preserve"> kW-mo. </t>
  </si>
  <si>
    <t xml:space="preserve"> kW-day </t>
  </si>
  <si>
    <t>kW (1)</t>
  </si>
  <si>
    <t>RATE</t>
  </si>
  <si>
    <t>PROPOSED</t>
  </si>
  <si>
    <t>DEMAND CHARGE</t>
  </si>
  <si>
    <t>ENERGY CHARGE</t>
  </si>
  <si>
    <t>Tier 1</t>
  </si>
  <si>
    <t>Tier 2</t>
  </si>
  <si>
    <t>SCHEDULE A-2</t>
  </si>
  <si>
    <t>FULL REVENUE REQUIREMENTS BILL COMPARISON - TYPICAL MONTHLY BILLS</t>
  </si>
  <si>
    <t>For each rate, calculate typical monthly bills for present rates and proposed rates.</t>
  </si>
  <si>
    <t>COSTS IN CENTS/KWH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</si>
  <si>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</si>
  <si>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</si>
  <si>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</si>
  <si>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</si>
  <si>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</si>
  <si>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</si>
  <si>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</si>
  <si>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</si>
  <si>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</si>
  <si>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</si>
  <si>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</si>
  <si>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</si>
  <si>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 xml:space="preserve">                    TYPICAL</t>
  </si>
  <si>
    <t>BASE</t>
  </si>
  <si>
    <t>FUEL</t>
  </si>
  <si>
    <t>ECCR</t>
  </si>
  <si>
    <t>CAPACITY</t>
  </si>
  <si>
    <t>DOLLARS</t>
  </si>
  <si>
    <t>PERCENT</t>
  </si>
  <si>
    <t>PRESENT</t>
  </si>
  <si>
    <t>KW</t>
  </si>
  <si>
    <t>KWH</t>
  </si>
  <si>
    <t>CHARGE</t>
  </si>
  <si>
    <t>$/KW</t>
  </si>
  <si>
    <t>FUEL CHARGE</t>
  </si>
  <si>
    <t>CONSERVATION CHARGE</t>
  </si>
  <si>
    <t>CAPACITY CHARGE</t>
  </si>
  <si>
    <t>ENVIRONMENTAL CHARGE</t>
  </si>
  <si>
    <t>ECRC</t>
  </si>
  <si>
    <t xml:space="preserve">Notes: </t>
  </si>
  <si>
    <t xml:space="preserve"> (1)  Not included in Total.</t>
  </si>
  <si>
    <t xml:space="preserve"> (1) Not included in Total.</t>
  </si>
  <si>
    <t>GRT</t>
  </si>
  <si>
    <t>(19)</t>
  </si>
  <si>
    <t xml:space="preserve">    Time-of-Day Primary- Billing</t>
  </si>
  <si>
    <t xml:space="preserve">    Time-of-Day Subtrans.-Billing</t>
  </si>
  <si>
    <t xml:space="preserve">    Time-of-Day Primary- Pk Billing</t>
  </si>
  <si>
    <t xml:space="preserve">    Time-of-Day Subtrans.-Pk Billing</t>
  </si>
  <si>
    <t xml:space="preserve">   Time-of-Day Primary - Billing</t>
  </si>
  <si>
    <t xml:space="preserve">   Time-of-Day Subtransmission - Billing</t>
  </si>
  <si>
    <t xml:space="preserve">   Time-of-Day Primary - Pk Billing</t>
  </si>
  <si>
    <t xml:space="preserve">   Time-of-Day Subtransmission - Pk Billing</t>
  </si>
  <si>
    <t>Standard Secondary</t>
  </si>
  <si>
    <t xml:space="preserve">   Standard - Subtrans</t>
  </si>
  <si>
    <t>Optional -Subtrans</t>
  </si>
  <si>
    <t xml:space="preserve">    Time-of-Day - Subtrans</t>
  </si>
  <si>
    <t xml:space="preserve">    T-O-D Peak - Subtrans</t>
  </si>
  <si>
    <t xml:space="preserve">    T-O-D Billing - Subtrans</t>
  </si>
  <si>
    <t xml:space="preserve">    Time-of-Day Subtrans - Off Peak</t>
  </si>
  <si>
    <t xml:space="preserve">    Time-of-Day Subtrans - On-Peak</t>
  </si>
  <si>
    <t xml:space="preserve">    Standard Secondary</t>
  </si>
  <si>
    <t xml:space="preserve">   Standard Sceondary</t>
  </si>
  <si>
    <t>Standard - Subtransmission</t>
  </si>
  <si>
    <t xml:space="preserve">   T-O-D On-Peak - Subtrans.</t>
  </si>
  <si>
    <t xml:space="preserve">   T-O-D Off-Peak - Subtrans.</t>
  </si>
  <si>
    <t xml:space="preserve">   T-O-D Billing - Subtrans.</t>
  </si>
  <si>
    <t xml:space="preserve">   T-O-D Peak - Subtrans.</t>
  </si>
  <si>
    <t>Emergency Relay Service</t>
  </si>
  <si>
    <t xml:space="preserve">T-O-D Facilities Reservation - Pri. </t>
  </si>
  <si>
    <t>T-O-D Facilities Reservation - Sub.</t>
  </si>
  <si>
    <t>T-O-D Power Supply Res. - Sec.</t>
  </si>
  <si>
    <t>T-O-D Power Supply Res. - Pri.</t>
  </si>
  <si>
    <t>T-O-D Power Supply Res. - Sub.</t>
  </si>
  <si>
    <t>T-O-D Power Supply Dmd. - Sec.</t>
  </si>
  <si>
    <t>T-O-D Power Supply Dmd. - Pri.</t>
  </si>
  <si>
    <t>T-O-D Power Supply Dmd. - Sub.</t>
  </si>
  <si>
    <t>T-O-D Facilities Reservation - Sec.</t>
  </si>
  <si>
    <t xml:space="preserve"> RSVP-1</t>
  </si>
  <si>
    <t>First 1,000 kWh</t>
  </si>
  <si>
    <t>All additional kWh</t>
  </si>
  <si>
    <t>Rate Schedule</t>
  </si>
  <si>
    <t>Energy Charge</t>
  </si>
  <si>
    <t>Recap Schedules:  E-13a</t>
  </si>
  <si>
    <t>Emergency Relay</t>
  </si>
  <si>
    <t xml:space="preserve">Total </t>
  </si>
  <si>
    <t xml:space="preserve">    T-O-D - Secondary</t>
  </si>
  <si>
    <t xml:space="preserve">    T-O-D - Primary</t>
  </si>
  <si>
    <t>T-O-D - Subtransmission</t>
  </si>
  <si>
    <t xml:space="preserve">   T-O-D Primary</t>
  </si>
  <si>
    <t xml:space="preserve">   T-O-D Secondary</t>
  </si>
  <si>
    <t>T-O-D Subtransmission</t>
  </si>
  <si>
    <t xml:space="preserve">    T-O-D Secondary</t>
  </si>
  <si>
    <t xml:space="preserve">    T-O-D Primary </t>
  </si>
  <si>
    <t xml:space="preserve">    T-O-D Subtransmission</t>
  </si>
  <si>
    <t>Optional - Secondary</t>
  </si>
  <si>
    <t>Optional - Primary</t>
  </si>
  <si>
    <t>Page No.</t>
  </si>
  <si>
    <t xml:space="preserve">INCREASE </t>
  </si>
  <si>
    <t>RATE SCHEDULE</t>
  </si>
  <si>
    <t>GSD OPT.</t>
  </si>
  <si>
    <t>GSDT</t>
  </si>
  <si>
    <t>ON-PEAK</t>
  </si>
  <si>
    <t>OFF-PEAK</t>
  </si>
  <si>
    <t>BILLING</t>
  </si>
  <si>
    <t xml:space="preserve">PEAK </t>
  </si>
  <si>
    <t>0 - 1,000 KWH</t>
  </si>
  <si>
    <t>Over 1,000 KWH</t>
  </si>
  <si>
    <t xml:space="preserve">C.  All calculations assume meter and service at secondary voltage.   </t>
  </si>
  <si>
    <t>¢/KWH</t>
  </si>
  <si>
    <t>¢/kWH</t>
  </si>
  <si>
    <t>A.  The kWh for each kW group is based on 35, 60, and 90% load factors (LF).</t>
  </si>
  <si>
    <t>(21)</t>
  </si>
  <si>
    <t>CCV</t>
  </si>
  <si>
    <t>FINAL</t>
  </si>
  <si>
    <t>CREDIT</t>
  </si>
  <si>
    <t>C.  Calculations assume meter and service at primary voltage and a power factor of 85%.</t>
  </si>
  <si>
    <t xml:space="preserve">    T-O-D Billing - Primary </t>
  </si>
  <si>
    <t xml:space="preserve">    T-O-D billing - Subtransmission</t>
  </si>
  <si>
    <t>RSVP</t>
  </si>
  <si>
    <t>RS/RSVP</t>
  </si>
  <si>
    <t>RS, RSVP-1</t>
  </si>
  <si>
    <t>GS, GST</t>
  </si>
  <si>
    <t xml:space="preserve">GS, GST </t>
  </si>
  <si>
    <t xml:space="preserve">GSD Optional </t>
  </si>
  <si>
    <t>RS,  RSVP-1</t>
  </si>
  <si>
    <t>Continued from Page 15</t>
  </si>
  <si>
    <t xml:space="preserve"> BILL UNDER PRESENT RATES</t>
  </si>
  <si>
    <t>(22)</t>
  </si>
  <si>
    <t>Monthly_Customer_Forecast.RS</t>
  </si>
  <si>
    <t>Monthly_Customer_Forecast.RSVP</t>
  </si>
  <si>
    <t>Monthly_Sales_Forecast.RS</t>
  </si>
  <si>
    <t>BillDeter_RS.Tier_1</t>
  </si>
  <si>
    <t>BillDeter_RS.Tier_2</t>
  </si>
  <si>
    <t>Monthly_Sales_Forecast.RSVP</t>
  </si>
  <si>
    <t>Monthly_Customer_Forecast.TS</t>
  </si>
  <si>
    <t>Monthly_Sales_Forecast.TS</t>
  </si>
  <si>
    <t>Monthly_Customer_Forecast.GS</t>
  </si>
  <si>
    <t>GS_Unmetered.Meters</t>
  </si>
  <si>
    <t>Monthly_Customer_Forecast.GST</t>
  </si>
  <si>
    <t>GST.Mtrs_CIAC_Pd</t>
  </si>
  <si>
    <t>Monthly_Sales_Forecast.GS</t>
  </si>
  <si>
    <t>Monthly_Sales_Forecast.GSUnMetered</t>
  </si>
  <si>
    <t>Monthly_Sales_Forecast.GST</t>
  </si>
  <si>
    <t>BillDeter_GST.Energy_On</t>
  </si>
  <si>
    <t>BillDeter_GST.Energy_Off</t>
  </si>
  <si>
    <t>BillDeter_GS.EmergRelay_GS</t>
  </si>
  <si>
    <t>BillDeter_GS.EmergRelay_GST</t>
  </si>
  <si>
    <t>Monthly_Customer_Forecast.GSD</t>
  </si>
  <si>
    <t>BillDeter_GSD.Customer_SEC</t>
  </si>
  <si>
    <t>BillDeter_GSD.Customer_PRI</t>
  </si>
  <si>
    <t>BillDeter_GSD.Customer_SUB</t>
  </si>
  <si>
    <t>Monthly_Sales_Forecast.GSD</t>
  </si>
  <si>
    <t>BillDeter_GSD.Energy_SEC</t>
  </si>
  <si>
    <t>BillDeter_GSD.Energy_PRI</t>
  </si>
  <si>
    <t>BillDeter_GSD.Energy_SUB</t>
  </si>
  <si>
    <t>BillDeter_GSD.Billing_kw</t>
  </si>
  <si>
    <t>BillDeter_GSD.Billing_kw_SEC</t>
  </si>
  <si>
    <t>BillDeter_GSD.Billing_kw_PRI</t>
  </si>
  <si>
    <t>BillDeter_GSD.Billing_kw_SUB</t>
  </si>
  <si>
    <t>BillDeter_GSD.TxOwn_kw</t>
  </si>
  <si>
    <t>BillDeter_GSD.TxOwn_kw_PRI</t>
  </si>
  <si>
    <t>BillDeter_GSD.TxOwn_kw_SUB</t>
  </si>
  <si>
    <t>BillDeter_GSD.EmergRelay</t>
  </si>
  <si>
    <t>BillDeter_GSD.EmergRelay_SEC</t>
  </si>
  <si>
    <t>BillDeter_GSD.EmergRelay_PRI</t>
  </si>
  <si>
    <t>BillDeter_GSD.EmergRelay_SUB</t>
  </si>
  <si>
    <t>BillDeter_GSD.MtrLvlDisc_PRI_BillDeter</t>
  </si>
  <si>
    <t>BillDeter_GSD.MtrLvlDisc_SUB_BillDeter</t>
  </si>
  <si>
    <t>Monthly_Customer_Forecast.GSDT</t>
  </si>
  <si>
    <t>BillDeter_GSDT.Customer_SEC</t>
  </si>
  <si>
    <t>BillDeter_GSDT.Customer_PRI</t>
  </si>
  <si>
    <t>BillDeter_GSDT.Customer_SUB</t>
  </si>
  <si>
    <t>GSDT.CustOwned</t>
  </si>
  <si>
    <t>GSDT.CustOwned_SEC</t>
  </si>
  <si>
    <t>GSDT.CustOwned_PRI</t>
  </si>
  <si>
    <t>BillDeter_GSDT.Energy</t>
  </si>
  <si>
    <t>BillDeter_GSDT.Energy_SEC</t>
  </si>
  <si>
    <t>BillDeter_GSDT.Energy_PRI</t>
  </si>
  <si>
    <t>BillDeter_GSDT.Energy_SUB</t>
  </si>
  <si>
    <t>BillDeter_GSDT.Energy_OnPk</t>
  </si>
  <si>
    <t>BillDeter_GSDT.Energy_On_SEC</t>
  </si>
  <si>
    <t>BillDeter_GSDT.Energy_On_PRI</t>
  </si>
  <si>
    <t>BillDeter_GSDT.Energy_On_SUB</t>
  </si>
  <si>
    <t>BillDeter_GSDT.Energy_OffPk</t>
  </si>
  <si>
    <t>BillDeter_GSDT.Energy_Off_SEC</t>
  </si>
  <si>
    <t>BillDeter_GSDT.Energy_Off_PRI</t>
  </si>
  <si>
    <t>BillDeter_GSDT.Energy_Off_SUB</t>
  </si>
  <si>
    <t>BillDeter_GSDT.Billing_kw</t>
  </si>
  <si>
    <t>BillDeter_GSDT.Billing_kw_SEC</t>
  </si>
  <si>
    <t>BillDeter_GSDT.Billing_kw_PRI</t>
  </si>
  <si>
    <t>BillDeter_GSDT.Billing_kw_SUB</t>
  </si>
  <si>
    <t>BillDeter_GSDT.Peak_kw</t>
  </si>
  <si>
    <t>BillDeter_GSDT.Peak_kw_SEC</t>
  </si>
  <si>
    <t>BillDeter_GSDT.Peak_kw_PRI</t>
  </si>
  <si>
    <t>BillDeter_GSDT.Peak_kw_SUB</t>
  </si>
  <si>
    <t>BillDeter_GSDT.TxOwn_kw</t>
  </si>
  <si>
    <t>BillDeter_GSDT.TxOwn_kw_PRI</t>
  </si>
  <si>
    <t>BillDeter_GSDT.TxOwn_kw_SUB</t>
  </si>
  <si>
    <t>BillDeter_GSDT.EmergRelay</t>
  </si>
  <si>
    <t>BillDeter_GSDT.EmergRelay_SEC</t>
  </si>
  <si>
    <t>BillDeter_GSDT.EmergRelay_PRI</t>
  </si>
  <si>
    <t>BillDeter_GSDT.EmergRelay_SUB</t>
  </si>
  <si>
    <t>BillDeter_GSDT.MtrLvlDisc_PRI_BillDeter</t>
  </si>
  <si>
    <t>BillDeter_GSDT.MtrLvlDisc_SUB_BillDeter</t>
  </si>
  <si>
    <t>Monthly_Customer_Forecast.GSD_Option</t>
  </si>
  <si>
    <t>BillDeter_GSD_Option.Customer_SEC</t>
  </si>
  <si>
    <t>BillDeter_GSD_Option.Customer_PRI</t>
  </si>
  <si>
    <t>BillDeter_GSD_Option.Customer_SUB</t>
  </si>
  <si>
    <t>Monthly_Sales_Forecast.GSD_Option</t>
  </si>
  <si>
    <t>BillDeter_GSD_Option.Energy_SEC</t>
  </si>
  <si>
    <t>BillDeter_GSD_Option.Energy_PRI</t>
  </si>
  <si>
    <t>BillDeter_GSD_Option.Energy_SUB</t>
  </si>
  <si>
    <t>BillDeter_GSD_Option.TxOwn_kwh</t>
  </si>
  <si>
    <t>BillDeter_GSD_Option.TxOwn_kwh_SUB</t>
  </si>
  <si>
    <t>BillDeter_GSD_Option.EmergRelay</t>
  </si>
  <si>
    <t>BillDeter_GSD_Option.EmergRelay_SEC</t>
  </si>
  <si>
    <t>BillDeter_GSD_Option.EmergRelay_PRI</t>
  </si>
  <si>
    <t>BillDeter_GSD_Option.EmergRelay_SUB</t>
  </si>
  <si>
    <t>BillDeter_GSD_Option.Billing_kw</t>
  </si>
  <si>
    <t>BillDeter_GSD_Option.Billing_kw_SEC</t>
  </si>
  <si>
    <t>BillDeter_GSD_Option.Billing_kw_PRI</t>
  </si>
  <si>
    <t>BillDeter_GSD_Option.Billing_kw_SUB</t>
  </si>
  <si>
    <t>BillDeter_GSD_Option.MtrLvlDisc_PRI_BillDeter</t>
  </si>
  <si>
    <t>BillDeter_GSD_Option.MtrLvlDisc_SUB_BillDeter</t>
  </si>
  <si>
    <t>Emergency Relay Charge - Supplemental &amp; Standby:</t>
  </si>
  <si>
    <t>Power Factor Charge Supplemental &amp; Standby:</t>
  </si>
  <si>
    <t>Power Factor Credit Supplemental &amp; Standby:</t>
  </si>
  <si>
    <t xml:space="preserve">/ kW-mo. </t>
  </si>
  <si>
    <t xml:space="preserve">/ kW-day </t>
  </si>
  <si>
    <t>Emergency Relay Charge - Supplemental and Standby.</t>
  </si>
  <si>
    <t>Standard Unmetered</t>
  </si>
  <si>
    <t>BILL UNDER PROPOSED RATES</t>
  </si>
  <si>
    <t xml:space="preserve">PROPOSED </t>
  </si>
  <si>
    <t>D.  TOD energy charges assume 25/75 on/off-peak % for 90% LF.  Peak demand to billing demand ratios are assumed to be 99% at 90% LF.</t>
  </si>
  <si>
    <t xml:space="preserve">B.  Charges at 20% LF are based on the GSD Option rate; 35% and 60% LF charges are based on the standard rate; and 90% LF charges are based on the TOD rate.  </t>
  </si>
  <si>
    <t>A.  The kWh for each kW group is based on 20, 35, 60, and 90% load factors (LF).</t>
  </si>
  <si>
    <t>Present</t>
  </si>
  <si>
    <t>T-O-D</t>
  </si>
  <si>
    <t>T-O-D On-Peak</t>
  </si>
  <si>
    <t>T-O-D Off-Peak</t>
  </si>
  <si>
    <t>Base</t>
  </si>
  <si>
    <t>Standard Metered</t>
  </si>
  <si>
    <t>MWH</t>
  </si>
  <si>
    <t>BASE REVENUE BY RATE SCHEDULE - CALCULATIONS</t>
  </si>
  <si>
    <t>MVARh</t>
  </si>
  <si>
    <t>Continued from Page 14</t>
  </si>
  <si>
    <t>Summary by Rate Class</t>
  </si>
  <si>
    <t>LS Energy</t>
  </si>
  <si>
    <t>PEAK DEMAND CHARGE</t>
  </si>
  <si>
    <t>GS - GENERAL SERVICE NON-DEMAND</t>
  </si>
  <si>
    <t>RS - RESIDENTIAL SERVICE</t>
  </si>
  <si>
    <t>GSD - GENERAL SERVICE DEMAND</t>
  </si>
  <si>
    <t>Delivery Voltage Credit - Supplemental.:</t>
  </si>
  <si>
    <t>Delivery Voltage Credit. - Standby.:</t>
  </si>
  <si>
    <t>Metering Voltage Adjustment - Supplemental and Stanby.:</t>
  </si>
  <si>
    <t>Delivery Voltage Credit:</t>
  </si>
  <si>
    <t>Basic Service Charge:</t>
  </si>
  <si>
    <t>B.  Charges at 35% and 60% LF are based on standard rates and charges at  90% LF are based on TOD rates.  Peak demand to billing demand ratios are assumed to be 99% at 90% LF.</t>
  </si>
  <si>
    <t xml:space="preserve">D.  TOD energy charges assume 25/75 on/off-peak % for 90% LF.  </t>
  </si>
  <si>
    <t>REVENUE FROM SALE OF ELECTRICITY BY RATE SCHEDULE</t>
  </si>
  <si>
    <t>Additional Base Charges</t>
  </si>
  <si>
    <t>SBLDPR/SBLDTPR</t>
  </si>
  <si>
    <t>SBLDSU/SBLDTSU</t>
  </si>
  <si>
    <t>LS1/LS2</t>
  </si>
  <si>
    <t>SBD/SBDT</t>
  </si>
  <si>
    <t>GSDO</t>
  </si>
  <si>
    <t>Monthly_Customer_Forecast.RSD</t>
  </si>
  <si>
    <t>Monthly_Sales_Forecast.RSD</t>
  </si>
  <si>
    <t>BillDeter_RSD.Billing_kW</t>
  </si>
  <si>
    <t>Monthly_Customer_Forecast.SBD</t>
  </si>
  <si>
    <t>BillDeter_SBD.Customer_SEC</t>
  </si>
  <si>
    <t>BillDeter_SBD.Customer_PRI</t>
  </si>
  <si>
    <t>BillDeter_SBD.Customer_SUB</t>
  </si>
  <si>
    <t>Monthly_Sales_Forecast.SBD</t>
  </si>
  <si>
    <t>BillDeter_SBD.EmergRelay</t>
  </si>
  <si>
    <t>BillDeter_SBD.EmergRelay_SEC</t>
  </si>
  <si>
    <t>BillDeter_SBD.EmergRelay_PRI</t>
  </si>
  <si>
    <t>BillDeter_SBD.EmergRelay_SUB</t>
  </si>
  <si>
    <t>BillDeter_SBD.MtrLvlDisc_PRI_BillDeter</t>
  </si>
  <si>
    <t>BillDeter_SBD.MtrLvlDisc_SUB_BillDeter</t>
  </si>
  <si>
    <t>BillDeter_SBD.Energy_Supp</t>
  </si>
  <si>
    <t>BillDeter_SBD.Energy_Supp_SEC</t>
  </si>
  <si>
    <t>BillDeter_SBD.Energy_Supp_PRI</t>
  </si>
  <si>
    <t>BillDeter_SBD.Energy_Supp_SUB</t>
  </si>
  <si>
    <t>BillDeter_SBD.SUPP_Billing_kw</t>
  </si>
  <si>
    <t>BillDeter_SBD.SUPP_Billing_kw_SEC</t>
  </si>
  <si>
    <t>BillDeter_SBD.SUPP_Billing_kw_PRI</t>
  </si>
  <si>
    <t>BillDeter_SBD.SUPP_Billing_kw_SUB</t>
  </si>
  <si>
    <t>BillDeter_SBD.TxOwn_SUPP_kw</t>
  </si>
  <si>
    <t>BillDeter_SBD.TxOwn_SUPP_kw_PRI</t>
  </si>
  <si>
    <t>BillDeter_SBD.TxOwn_SUPP_kw_SUB</t>
  </si>
  <si>
    <t>BillDeter_SBD.Energy_SB</t>
  </si>
  <si>
    <t>BillDeter_SBD.Energy_SB_SEC</t>
  </si>
  <si>
    <t>BillDeter_SBD.Energy_SB_PRI</t>
  </si>
  <si>
    <t>BillDeter_SBD.Energy_SB_SUB</t>
  </si>
  <si>
    <t>BillDeter_SBD.SB_LFRC_kw</t>
  </si>
  <si>
    <t>BillDeter_SBD.SB_LFRC_kw_SEC</t>
  </si>
  <si>
    <t>BillDeter_SBD.SB_LFRC_kw_PRI</t>
  </si>
  <si>
    <t>BillDeter_SBD.SB_LFRC_kw_SUB</t>
  </si>
  <si>
    <t>BillDeter_SBD.SB_PSRC_kw</t>
  </si>
  <si>
    <t>BillDeter_SBD.SB_PSRC_kw_SEC</t>
  </si>
  <si>
    <t>BillDeter_SBD.SB_PSRC_kw_PRI</t>
  </si>
  <si>
    <t>BillDeter_SBD.SB_PSRC_kw_SUB</t>
  </si>
  <si>
    <t>BillDeter_SBD.SB_PSDC_kw</t>
  </si>
  <si>
    <t>BillDeter_SBD.SB_PSDC_kw_SEC</t>
  </si>
  <si>
    <t>BillDeter_SBD.SB_PSDC_kw_PRI</t>
  </si>
  <si>
    <t>BillDeter_SBD.SB_PSDC_kw_SUB</t>
  </si>
  <si>
    <t>BillDeter_SBD.TxOwn_SB_kw</t>
  </si>
  <si>
    <t>BillDeter_SBD.TxOwn_SB_kw_PRI</t>
  </si>
  <si>
    <t>BillDeter_SBD.TxOwn_SB_kw_SUB</t>
  </si>
  <si>
    <t>Monthly_Customer_Forecast.SBDT</t>
  </si>
  <si>
    <t>BillDeter_SBDT.Customer_SEC</t>
  </si>
  <si>
    <t>BillDeter_SBDT.Customer_PRI</t>
  </si>
  <si>
    <t>BillDeter_SBDT.Customer_SUB</t>
  </si>
  <si>
    <t>Monthly_Sales_Forecast.SBDT</t>
  </si>
  <si>
    <t>BillDeter_SBDT.EmergRelay</t>
  </si>
  <si>
    <t>BillDeter_SBDT.EmergRelay_SEC</t>
  </si>
  <si>
    <t>BillDeter_SBDT.EmergRelay_PRI</t>
  </si>
  <si>
    <t>BillDeter_SBDT.EmergRelay_SUB</t>
  </si>
  <si>
    <t>BillDeter_SBDT.MtrLvlDisc_PRI_BillDeter</t>
  </si>
  <si>
    <t>BillDeter_SBDT.MtrLvlDisc_SUB_BillDeter</t>
  </si>
  <si>
    <t>BillDeter_SBDT.Energy_Supp</t>
  </si>
  <si>
    <t>BillDeter_SBDT.Energy_Supp_SEC</t>
  </si>
  <si>
    <t>BillDeter_SBDT.Energy_Supp_PRI</t>
  </si>
  <si>
    <t>BillDeter_SBDT.Energy_Supp_SUB</t>
  </si>
  <si>
    <t>BillDeter_SBDT.Energy_SUPP_OnPk</t>
  </si>
  <si>
    <t>BillDeter_SBDT.Energy_SUPP_On_SEC</t>
  </si>
  <si>
    <t>BillDeter_SBDT.Energy_SUPP_On_PRI</t>
  </si>
  <si>
    <t>BillDeter_SBDT.Energy_SUPP_On_SUB</t>
  </si>
  <si>
    <t>BillDeter_SBDT.Energy_SUPP_OffPk</t>
  </si>
  <si>
    <t>BillDeter_SBDT.Energy_SUPP_Off_SEC</t>
  </si>
  <si>
    <t>BillDeter_SBDT.Energy_SUPP_Off_PRI</t>
  </si>
  <si>
    <t>BillDeter_SBDT.Energy_SUPP_Off_SUB</t>
  </si>
  <si>
    <t>BillDeter_SBDT.SUPP_Billing_kw</t>
  </si>
  <si>
    <t>BillDeter_SBDT.SUPP_Billing_kw_SEC</t>
  </si>
  <si>
    <t>BillDeter_SBDT.SUPP_Billing_kw_PRI</t>
  </si>
  <si>
    <t>BillDeter_SBDT.SUPP_Billing_kw_SUB</t>
  </si>
  <si>
    <t>BillDeter_SBDT.SUPP_Peak_kw</t>
  </si>
  <si>
    <t>BillDeter_SBDT.SUPP_Peak_kw_SEC</t>
  </si>
  <si>
    <t>BillDeter_SBDT.SUPP_Peak_kw_PRI</t>
  </si>
  <si>
    <t>BillDeter_SBDT.SUPP_Peak_kw_SUB</t>
  </si>
  <si>
    <t>BillDeter_SBDT.TxOwn_SUPP_kw</t>
  </si>
  <si>
    <t>BillDeter_SBDT.TxOwn_SUPP_kw_PRI</t>
  </si>
  <si>
    <t>BillDeter_SBDT.TxOwn_SUPP_kw_SUB</t>
  </si>
  <si>
    <t>BillDeter_SBDT.Energy_SB</t>
  </si>
  <si>
    <t>BillDeter_SBDT.Energy_SB_SEC</t>
  </si>
  <si>
    <t>BillDeter_SBDT.Energy_SB_PRI</t>
  </si>
  <si>
    <t>BillDeter_SBDT.Energy_SB_SUB</t>
  </si>
  <si>
    <t>BillDeter_SBDT.Energy_SB_OnPk</t>
  </si>
  <si>
    <t>BillDeter_SBDT.Energy_SB_On_SEC</t>
  </si>
  <si>
    <t>BillDeter_SBDT.Energy_SB_On_PRI</t>
  </si>
  <si>
    <t>BillDeter_SBDT.Energy_SB_On_SUB</t>
  </si>
  <si>
    <t>BillDeter_SBDT.Energy_SB_OffPk</t>
  </si>
  <si>
    <t>BillDeter_SBDT.Energy_SB_Off_SEC</t>
  </si>
  <si>
    <t>BillDeter_SBDT.Energy_SB_Off_PRI</t>
  </si>
  <si>
    <t>BillDeter_SBDT.Energy_SB_Off_SUB</t>
  </si>
  <si>
    <t>BillDeter_SBDT.SB_LFRC_kw</t>
  </si>
  <si>
    <t>BillDeter_SBDT.SB_LFRC_kw_SEC</t>
  </si>
  <si>
    <t>BillDeter_SBDT.SB_LFRC_kw_PRI</t>
  </si>
  <si>
    <t>BillDeter_SBDT.SB_LFRC_kw_SUB</t>
  </si>
  <si>
    <t>BillDeter_SBDT.SB_PSRC_kw</t>
  </si>
  <si>
    <t>BillDeter_SBDT.SB_PSRC_kw_SEC</t>
  </si>
  <si>
    <t>BillDeter_SBDT.SB_PSRC_kw_PRI</t>
  </si>
  <si>
    <t>BillDeter_SBDT.SB_PSRC_kw_SUB</t>
  </si>
  <si>
    <t>BillDeter_SBDT.SB_PSDC_kw</t>
  </si>
  <si>
    <t>BillDeter_SBDT.SB_PSDC_kw_SEC</t>
  </si>
  <si>
    <t>BillDeter_SBDT.SB_PSDC_kw_PRI</t>
  </si>
  <si>
    <t>BillDeter_SBDT.SB_PSDC_kw_SUB</t>
  </si>
  <si>
    <t>BillDeter_SBDT.TxOwn_SB_kw</t>
  </si>
  <si>
    <t>BillDeter_SBDT.TxOwn_SB_kw_PRI</t>
  </si>
  <si>
    <t>BillDeter_SBDT.TxOwn_SB_kw_SUB</t>
  </si>
  <si>
    <t>Monthly_Customer_Forecast.GSLDPR</t>
  </si>
  <si>
    <t>Monthly_Sales_Forecast.GSLDPR</t>
  </si>
  <si>
    <t>Monthly_Customer_Forecast.GSLDSU</t>
  </si>
  <si>
    <t>Monthly_Sales_Forecast.GSLDSU</t>
  </si>
  <si>
    <t>Monthly_Customer_Forecast.SBLDPR</t>
  </si>
  <si>
    <t>Monthly_Sales_Forecast.SBLDPR</t>
  </si>
  <si>
    <t>BillDeter_SBLDPR.EmergRelay</t>
  </si>
  <si>
    <t>BillDeter_SBLDPR.Energy_Supp</t>
  </si>
  <si>
    <t>BillDeter_SBLDPR.Energy_SB</t>
  </si>
  <si>
    <t>Monthly_Customer_Forecast.SBLDSU</t>
  </si>
  <si>
    <t>Monthly_Sales_Forecast.SBLDSU</t>
  </si>
  <si>
    <t>BillDeter_SBLDSU.EmergRelay</t>
  </si>
  <si>
    <t>BillDeter_SBLDSU.Energy_Supp</t>
  </si>
  <si>
    <t>BillDeter_SBLDSU.Energy_SB</t>
  </si>
  <si>
    <t>Monthly_Customer_Forecast.LS2</t>
  </si>
  <si>
    <t>Monthly_Customer_Forecast.LS2Metered</t>
  </si>
  <si>
    <t>Fcst_LS_kwh.LS2_Energy</t>
  </si>
  <si>
    <t>Fcst_LS_Metered_kwh.LS2_Energy</t>
  </si>
  <si>
    <t>SPPCRC</t>
  </si>
  <si>
    <t>STORM PROTECTION PLAN</t>
  </si>
  <si>
    <t xml:space="preserve">GSLDPR/GSLDTPR- GENERAL SERVICE LARGE DEMAND/ TOU/ PRIMARY SERVED </t>
  </si>
  <si>
    <t>GSLDPR</t>
  </si>
  <si>
    <t>GSLDTPR</t>
  </si>
  <si>
    <t>(23)</t>
  </si>
  <si>
    <t xml:space="preserve">BillDeter_GSD_Option.TxOwn_kwh_PRI  </t>
  </si>
  <si>
    <t>New GSLDPR</t>
  </si>
  <si>
    <t>BillDeter_GSLDPR.Billing_kw</t>
  </si>
  <si>
    <t>BillDeter_GSLDPR.EmergRelay</t>
  </si>
  <si>
    <t>BillDeter_GSLDPR.MtrLvlDisc_PRI_BillDeter</t>
  </si>
  <si>
    <t>BillDeter_GSLDPR.kVarh_Chg_kw</t>
  </si>
  <si>
    <t>BillDeter_GSLDPR.kVarh_Crd_kw</t>
  </si>
  <si>
    <t>New GSLDSU</t>
  </si>
  <si>
    <t>BillDeter_GSLDSU.Billing_kw</t>
  </si>
  <si>
    <t>BillDeter_GSLDSU.EmergRelay</t>
  </si>
  <si>
    <t>BillDeter_GSLDSU.MtrLvlDisc_PRI_BillDeter</t>
  </si>
  <si>
    <t>BillDeter_GSLDSU.kVarh_Chg_kw</t>
  </si>
  <si>
    <t>BillDeter_GSLDSU.kVarh_Crd_kw</t>
  </si>
  <si>
    <t>NEW GSLDTPR</t>
  </si>
  <si>
    <t>NEW GSLDTSU</t>
  </si>
  <si>
    <t>NEW SBLDPR</t>
  </si>
  <si>
    <t>BillDeter_SBLDPR.MtrLvlDisc_PRI_BillDeter</t>
  </si>
  <si>
    <t>BillDeter_SBLDPR.kVarh_Chg_kw</t>
  </si>
  <si>
    <t>BillDeter_SBLDPR.kVarh_Crd_kw</t>
  </si>
  <si>
    <t>BillDeter_SBLDPR.SUPP_Billing_kw</t>
  </si>
  <si>
    <t>BillDeter_SBLDPR.SB_LFRC_kw</t>
  </si>
  <si>
    <t>BillDeter_SBLDPR.SB_PSRC_kw</t>
  </si>
  <si>
    <t>BillDeter_SBLDPR.SB_PSDC_kw</t>
  </si>
  <si>
    <t>NEW SBLDSU</t>
  </si>
  <si>
    <t>BillDeter_SBLDSU.MtrLvlDisc_SUB BillDeter</t>
  </si>
  <si>
    <t>BillDeter_SBLDSU.kVarh_Chg_kw</t>
  </si>
  <si>
    <t>BillDeter_SBLDSU.kVarh_Crd_kw</t>
  </si>
  <si>
    <t>BillDeter_SBLDSU.SUPP_Billing_kw</t>
  </si>
  <si>
    <t>BillDeter_SBLDSU.SB_LFRC_kw</t>
  </si>
  <si>
    <t>BillDeter_SBLDSU.SB_PSRC_kw</t>
  </si>
  <si>
    <t>BillDeter_SBLDSU.SB_PSDC_kw</t>
  </si>
  <si>
    <t>NEW SBLDTPR</t>
  </si>
  <si>
    <t>NEW SBLDTSU</t>
  </si>
  <si>
    <t>Monthly_Customer_Forecast.LS</t>
  </si>
  <si>
    <t>Monthly_Customer_Forecast.LSMetered</t>
  </si>
  <si>
    <t>Fcst_LS_kwh.LS_Energy</t>
  </si>
  <si>
    <t>Fcst_LS_Metered_kwh.LS_Energy</t>
  </si>
  <si>
    <t>Basic Charge</t>
  </si>
  <si>
    <t>Basic Charge  (Metered St. Lts):</t>
  </si>
  <si>
    <t>GSLDPR/GSLDTPR</t>
  </si>
  <si>
    <t>GSLDSU/GSLDTSU</t>
  </si>
  <si>
    <t>Delivery Voltage Credit(Transformer Ownership Discount) - Supplemental:</t>
  </si>
  <si>
    <t>Delivery Voltage Credit (Transformer Ownership Discount) - Standby:</t>
  </si>
  <si>
    <t>Deliver Voltage Credit ( transformer ownership credit )</t>
  </si>
  <si>
    <t xml:space="preserve">    TOD Power Supply(Bulk Transm.) Reservation -Pri.</t>
  </si>
  <si>
    <t xml:space="preserve">    TOD Power supply (Bulk Transmission) Demand - Pri</t>
  </si>
  <si>
    <t>SBD,SBDT</t>
  </si>
  <si>
    <t>SBLDSU,SBLDTSU</t>
  </si>
  <si>
    <t xml:space="preserve">LS-1,LS-2 (Energy Service) </t>
  </si>
  <si>
    <t xml:space="preserve">Optional - Subtransmission </t>
  </si>
  <si>
    <t>CS</t>
  </si>
  <si>
    <t>Billing Determinates</t>
  </si>
  <si>
    <t>Rates</t>
  </si>
  <si>
    <t xml:space="preserve">    T-O-D - Subtransmission</t>
  </si>
  <si>
    <t xml:space="preserve">   T-O-D On-Peak - Subtransmission</t>
  </si>
  <si>
    <t xml:space="preserve">   T-O-D Off-Peak - Subtransmission</t>
  </si>
  <si>
    <t xml:space="preserve">   T-O-D Billing - Subtransmission</t>
  </si>
  <si>
    <t xml:space="preserve">   T-O-D Peak - Subtransmission</t>
  </si>
  <si>
    <t xml:space="preserve">   T-O-D Subtransmission</t>
  </si>
  <si>
    <t xml:space="preserve">    T-O-D Off-Peak - Subtransmission</t>
  </si>
  <si>
    <t xml:space="preserve">    T-O-D On-Peak - Subtransmission</t>
  </si>
  <si>
    <t xml:space="preserve">    T-O-D Billing - Subtransmission</t>
  </si>
  <si>
    <t>T-O-D Facilities Reservation - Subtransmission</t>
  </si>
  <si>
    <t>T-O-D Power Supply Res. - Subtransmission</t>
  </si>
  <si>
    <t>T-O-D Power Supply Dmd. - Subtransmission</t>
  </si>
  <si>
    <t>Delivery Voltage Charge</t>
  </si>
  <si>
    <t xml:space="preserve">   Standard-Subtransmission</t>
  </si>
  <si>
    <t>total</t>
  </si>
  <si>
    <t>Page 4 of 5</t>
  </si>
  <si>
    <t>Page 5 of 5</t>
  </si>
  <si>
    <t>Page 1 of 5</t>
  </si>
  <si>
    <t>Page 2 of 5</t>
  </si>
  <si>
    <t>GSD,GSDT</t>
  </si>
  <si>
    <t>LS-1,LS-2</t>
  </si>
  <si>
    <t>GSD/GSDT/GSDO</t>
  </si>
  <si>
    <t xml:space="preserve">    Standard-Subtransmission </t>
  </si>
  <si>
    <t xml:space="preserve">   Standard -Pimary </t>
  </si>
  <si>
    <t xml:space="preserve">   Standard-Secondary</t>
  </si>
  <si>
    <t xml:space="preserve">   Standard-Primary</t>
  </si>
  <si>
    <t>Days</t>
  </si>
  <si>
    <t>Total Days</t>
  </si>
  <si>
    <t xml:space="preserve"> Total Days</t>
  </si>
  <si>
    <t>(24)</t>
  </si>
  <si>
    <t>GSLDSU</t>
  </si>
  <si>
    <t xml:space="preserve">    Standard-Subtransmission</t>
  </si>
  <si>
    <t xml:space="preserve">   Standand-T-O-D Power Supply Dmd. - Subtransmission</t>
  </si>
  <si>
    <t xml:space="preserve">   Standard- Power Supply Res. - Subtransmission</t>
  </si>
  <si>
    <t xml:space="preserve">   Standard- Facilities Reservation - Subtransmission</t>
  </si>
  <si>
    <t xml:space="preserve">    Std. Local Facilities Res. - Subtrans.</t>
  </si>
  <si>
    <t xml:space="preserve">    Std. Bulk Transm. Reservation -Subtrans.</t>
  </si>
  <si>
    <t xml:space="preserve">    Std. Bulk Transmission Demand - Subtrans.</t>
  </si>
  <si>
    <t xml:space="preserve">    Std. Secondary - Facilities Reservation</t>
  </si>
  <si>
    <t xml:space="preserve">    Std. Primary - Facilities Reservation</t>
  </si>
  <si>
    <t xml:space="preserve">    Std. Subtrans. - Facilities Reservation</t>
  </si>
  <si>
    <t xml:space="preserve">    Std. Primary - Power Supply Reservation</t>
  </si>
  <si>
    <t xml:space="preserve">    Std. Subtrans. - Power Supply Demand</t>
  </si>
  <si>
    <t xml:space="preserve">    Std. Secondary - Power Supply Reservation</t>
  </si>
  <si>
    <t xml:space="preserve">    Std. Subtrans. - Power Supply Reservation</t>
  </si>
  <si>
    <t xml:space="preserve">    Std. Secondary - Power Supply Demand</t>
  </si>
  <si>
    <t xml:space="preserve">    Std. Primary - Power Supply Demand</t>
  </si>
  <si>
    <t xml:space="preserve">  Standard Primary</t>
  </si>
  <si>
    <t xml:space="preserve">    Standard Primary</t>
  </si>
  <si>
    <t xml:space="preserve">    Standard-Subtrans.</t>
  </si>
  <si>
    <t xml:space="preserve">    Std. Local Facilities Res. - Pri.</t>
  </si>
  <si>
    <t xml:space="preserve">    Std. Power supply (Bulk Transmission) Demand - Pri</t>
  </si>
  <si>
    <t xml:space="preserve">    Std. Power Supply(Bulk Transm.) Reservation -Pri.</t>
  </si>
  <si>
    <t xml:space="preserve">Std. Facilities Reservation - Pri. </t>
  </si>
  <si>
    <t>Std. Power Supply Dmd. - Pri.</t>
  </si>
  <si>
    <t>Std. Power Supply Res. - Pri.</t>
  </si>
  <si>
    <t xml:space="preserve">   Std. Power Supply Dmd. - Pri.</t>
  </si>
  <si>
    <t xml:space="preserve">   Std. Power Supply Res. - Pri.</t>
  </si>
  <si>
    <t xml:space="preserve">   Std. Facilities Reservation - Pri. </t>
  </si>
  <si>
    <t xml:space="preserve">    Std. Subtransmission</t>
  </si>
  <si>
    <t xml:space="preserve">    Standard Subtransmission</t>
  </si>
  <si>
    <t>Std. Facilities Reservation - Sec.</t>
  </si>
  <si>
    <t>Std. Facilities Reservation - Sub.</t>
  </si>
  <si>
    <t>Std. Power Supply Res. - Sec.</t>
  </si>
  <si>
    <t>Std. Power Supply Res. - Sub.</t>
  </si>
  <si>
    <t>Std. Power Supply Dmd. - Sec.</t>
  </si>
  <si>
    <t>Std. Power Supply Dmd. - Sub.</t>
  </si>
  <si>
    <t xml:space="preserve">    Std.  Primary </t>
  </si>
  <si>
    <t>Revenue under</t>
  </si>
  <si>
    <t>GSLDTSU</t>
  </si>
  <si>
    <t xml:space="preserve"> GSLM2 CONTRACT CREDIT VALUE</t>
  </si>
  <si>
    <t>BILLING DEMAND</t>
  </si>
  <si>
    <t xml:space="preserve">BASIC SERVICE CHARGE </t>
  </si>
  <si>
    <t xml:space="preserve">GSLDSU/GSLDTSU- GENERAL SERVICE LARGE DEMAND/ TOU/ SUBTRANSMISSION SERVED </t>
  </si>
  <si>
    <t xml:space="preserve">ENERGY CHARGE </t>
  </si>
  <si>
    <t xml:space="preserve">   Time-of-Day - Subtrans</t>
  </si>
  <si>
    <t xml:space="preserve">(1) not included in totals </t>
  </si>
  <si>
    <t xml:space="preserve">kW  </t>
  </si>
  <si>
    <t xml:space="preserve">                   Type of data shown:</t>
  </si>
  <si>
    <t>GSLDPR,GSLDTPR</t>
  </si>
  <si>
    <t>Clean Energy</t>
  </si>
  <si>
    <t>Trans. Mech</t>
  </si>
  <si>
    <t>CLEAN ENERGY TRANSITION MECHANISM</t>
  </si>
  <si>
    <t>CLEAN ENR</t>
  </si>
  <si>
    <t>TRANS. MECH.</t>
  </si>
  <si>
    <t>(25)</t>
  </si>
  <si>
    <t>C.  Calculations assume meter and service at Subtransmission voltage and a power factor of 85%.</t>
  </si>
  <si>
    <t>Revenue Deficiency</t>
  </si>
  <si>
    <t>SBLDPR,SBLDTPR</t>
  </si>
  <si>
    <t>GSLDSU,GSLDTSU</t>
  </si>
  <si>
    <t>GSLDPR, GSDLTPR</t>
  </si>
  <si>
    <t>GSLDSU, GSDLTSU</t>
  </si>
  <si>
    <t>Customers: Days Billed</t>
  </si>
  <si>
    <t>Monthly_Customer_Forecast.GSLDTPR</t>
  </si>
  <si>
    <t>GSLDTPR.CustOwned</t>
  </si>
  <si>
    <t>BillDeter_GSLDTPR.Energy</t>
  </si>
  <si>
    <t>BillDeter_GSLDTPR.Energy_OnPk</t>
  </si>
  <si>
    <t>BillDeter_GSLDTPR.Energy_OffPk</t>
  </si>
  <si>
    <t>BillDeter_GSLDTPR.Billing_kw</t>
  </si>
  <si>
    <t>BillDeter_GSLDTPR.Peak_kw</t>
  </si>
  <si>
    <t>BillDeter_GSLDTPR.EmergRelay</t>
  </si>
  <si>
    <t>BillDeter_GSLDTPR.MtrLvlDisc_PRI_BillDeter</t>
  </si>
  <si>
    <t>BillDeter_GSLDTPR.kVarh_Chg_kw</t>
  </si>
  <si>
    <t>BillDeter_GSLDTPR.kVarh_Crd_kw</t>
  </si>
  <si>
    <t>Monthly_Customer_Forecast.GSLDTSU</t>
  </si>
  <si>
    <t>BillDeter_GSLDTSU.Energy</t>
  </si>
  <si>
    <t>BillDeter_GSLDTSU.Energy_OnPk</t>
  </si>
  <si>
    <t>BillDeter_GSLDTSU.Energy_OffPk</t>
  </si>
  <si>
    <t>BillDeter_GSLDTSU.Billing_kw</t>
  </si>
  <si>
    <t>BillDeter_GSLDTSU.Peak_kw</t>
  </si>
  <si>
    <t>BillDeter_GSLDTSU.EmergRelay</t>
  </si>
  <si>
    <t>BillDeter_GSLDTSU.MtrLvlDisc_SUB_BillDeter</t>
  </si>
  <si>
    <t>BillDeter_GSLDTSU.kVarh_Chg_kw</t>
  </si>
  <si>
    <t>BillDeter_GSLDTSU.kVarh_Crd_kw</t>
  </si>
  <si>
    <t>Monthly_Customer_Forecast.SBLDTPR</t>
  </si>
  <si>
    <t>Monthly_Sales_Forecast.SBLDTPR</t>
  </si>
  <si>
    <t>BillDeter_SBLDTPR.EmergRelay</t>
  </si>
  <si>
    <t>BillDeter_SBLDTPR.MtrLvlDisc_PRI_BillDeter</t>
  </si>
  <si>
    <t>BillDeter_SBLDTPR.kVarh_Chg_kw</t>
  </si>
  <si>
    <t>BillDeter_SBLDTPR.kVarh_Crd_kw</t>
  </si>
  <si>
    <t>BillDeter_SBLDTPR.Energy_Supp</t>
  </si>
  <si>
    <t>BillDeter_SBLDTPR.Energy_SUPP_OnPk</t>
  </si>
  <si>
    <t>BillDeter_SBLDTPR.Energy_SUPP_OffPk</t>
  </si>
  <si>
    <t>BillDeter_SBLDTPR.SUPP_Billing_kw</t>
  </si>
  <si>
    <t>BillDeter_SBLDTPR.SUPP_Peak_kw</t>
  </si>
  <si>
    <t>BillDeter_SBLDTPR.Energy_SB</t>
  </si>
  <si>
    <t>BillDeter_SBLDTPR.Energy_SB_OnPk</t>
  </si>
  <si>
    <t>BillDeter_SBLDTPR.Energy_SB_OffPk</t>
  </si>
  <si>
    <t>BillDeter_SBLDTPR.SB_LFRC_kw</t>
  </si>
  <si>
    <t>BillDeter_SBLDTPR.SB_PSRC_kw</t>
  </si>
  <si>
    <t>BillDeter_SBLDTPR.SB_PSDC_kw</t>
  </si>
  <si>
    <t>Monthly_Customer_Forecast.SBLDTSU</t>
  </si>
  <si>
    <t>Monthly_Sales_Forecast.SBLDTSU</t>
  </si>
  <si>
    <t>BillDeter_SBLDTSU.EmergRelay</t>
  </si>
  <si>
    <t>BillDeter_SBLDTSU.MtrLvlDisc_SUB BillDeter</t>
  </si>
  <si>
    <t>BillDeter_SBLDTSU.kVarh_Chg_kw</t>
  </si>
  <si>
    <t>BillDeter_SBLDTSU.kVarh_Crd_kw</t>
  </si>
  <si>
    <t>BillDeter_SBLDTSU.Energy_Supp</t>
  </si>
  <si>
    <t>BillDeter_SBLDTSU.Energy_SUPP_OnPk</t>
  </si>
  <si>
    <t>BillDeter_SBLDTSU.Energy_SUPP_OffPk</t>
  </si>
  <si>
    <t>BillDeter_SBLDTSU.SUPP_Billing_kw</t>
  </si>
  <si>
    <t>BillDeter_SBLDTSU.SUPP_Peak_kw</t>
  </si>
  <si>
    <t>BillDeter_SBLDTSU.Energy_SB</t>
  </si>
  <si>
    <t>BillDeter_SBLDTSU.Energy_SB_OnPk</t>
  </si>
  <si>
    <t>BillDeter_SBLDTSU.Energy_SB_OffPk</t>
  </si>
  <si>
    <t>BillDeter_SBLDTSU.SB_LFRC_kw</t>
  </si>
  <si>
    <t>BillDeter_SBLDTSU.SB_PSRC_kw</t>
  </si>
  <si>
    <t>BillDeter_SBLDTSU.SB_PSDC_kw</t>
  </si>
  <si>
    <t>(1)  Not included in Total.</t>
  </si>
  <si>
    <t>Current Rates</t>
  </si>
  <si>
    <t>Proposed Rates</t>
  </si>
  <si>
    <t>% Change</t>
  </si>
  <si>
    <t>Supporting Schedules: E-13c</t>
  </si>
  <si>
    <t>Witness:  J. M. Williams</t>
  </si>
  <si>
    <t>FCST</t>
  </si>
  <si>
    <t>(20)-(11)</t>
  </si>
  <si>
    <t>(21)/(11)</t>
  </si>
  <si>
    <t>(11)/(2)*100</t>
  </si>
  <si>
    <t>(20)/(2)*100</t>
  </si>
  <si>
    <t>(26)</t>
  </si>
  <si>
    <t>(22)-(12)</t>
  </si>
  <si>
    <t>(23)/(12)</t>
  </si>
  <si>
    <t>(12)/(2)*100</t>
  </si>
  <si>
    <t>(22)/(2)*100</t>
  </si>
  <si>
    <t>(3) / (1)</t>
  </si>
  <si>
    <t>Revenue</t>
  </si>
  <si>
    <t>Difference</t>
  </si>
  <si>
    <t>Revenue Percent</t>
  </si>
  <si>
    <t>Compare revenue by rate schedule under present and proposed rates</t>
  </si>
  <si>
    <t>Current Rates and Typical Bills</t>
  </si>
  <si>
    <t>Proposed Rates and Proposed Bills</t>
  </si>
  <si>
    <t xml:space="preserve"> Note: Present and proposed cost recovery clause factors are the approved January 2022 factors; except Fuel. Fuel is using the approved April 2022 factor.</t>
  </si>
  <si>
    <t>E.  Present and proposed cost recovery clause factors are the approved January 2022 factors; except Fuel. Fuel is using the approved April 2022 factor.</t>
  </si>
  <si>
    <t xml:space="preserve">                                            EXPLANATION:</t>
  </si>
  <si>
    <t>Page 3 of 5</t>
  </si>
  <si>
    <t xml:space="preserve">                      EXPLANATION:</t>
  </si>
  <si>
    <t xml:space="preserve">                       EXPLANATION:</t>
  </si>
  <si>
    <t>Current Base Revenue</t>
  </si>
  <si>
    <t>Proposed Base Revenue</t>
  </si>
  <si>
    <t>Current Base Rates and Revenue with ECCR Billing Determinants</t>
  </si>
  <si>
    <t>Proposed Base Rates and Revenue with ECCR Billing Determinants</t>
  </si>
  <si>
    <t xml:space="preserve">The billing determinants reflected on this schedule are those included in Tampa Electric’s 2022 projected ECCR filing dated August 6, 2021, </t>
  </si>
  <si>
    <t>which were later restructured to match the rate design agreed to in the company’s 2021 Settlement Agreement</t>
  </si>
  <si>
    <t>ROE TRIGGER</t>
  </si>
  <si>
    <t>2022 ECCR factors as reflected in Order No.   PSC-2021-0427-FOF-EI, issued November 17, 2021.</t>
  </si>
  <si>
    <t xml:space="preserve">(Rate Case Docket No. 20210034-EI), and which restructured billing determinants were used to set the company’s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</si>
</sst>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$&quot;* #,##0_);_(&quot;$&quot;* \(#,##0\);_(&quot;$&quot;* &quot;-&quot;??_);_(@_)"/>
    <numFmt numFmtId="167" formatCode="_(&quot;$&quot;* #,##0.000_);_(&quot;$&quot;* \(#,##0.000\);_(&quot;$&quot;* &quot;-&quot;??_);_(@_)"/>
    <numFmt numFmtId="168" formatCode="_(&quot;$&quot;* #,##0.00000_);_(&quot;$&quot;* \(#,##0.00000\);_(&quot;$&quot;* &quot;-&quot;??_);_(@_)"/>
    <numFmt numFmtId="169" formatCode="0.0%"/>
    <numFmt numFmtId="170" formatCode="0.000%"/>
    <numFmt numFmtId="171" formatCode="_(* #,##0.000_);_(* \(#,##0.000\);_(* &quot;-&quot;??_);_(@_)"/>
    <numFmt numFmtId="172" formatCode="_(* #,##0.0000_);_(* \(#,##0.0000\);_(* &quot;-&quot;??_);_(@_)"/>
    <numFmt numFmtId="173" formatCode="_(* #,##0.00000_);_(* \(#,##0.00000\);_(* &quot;-&quot;??_);_(@_)"/>
    <numFmt numFmtId="174" formatCode="0.0"/>
    <numFmt numFmtId="175" formatCode="&quot;$&quot;#,##0"/>
    <numFmt numFmtId="176" formatCode="&quot;$&quot;#,##0.00"/>
    <numFmt numFmtId="177" formatCode="0.0000%"/>
    <numFmt numFmtId="178" formatCode="&quot;$&quot;#,##0.000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7.5"/>
      <name val="Arial"/>
      <family val="2"/>
    </font>
    <font>
      <sz val="8"/>
      <color indexed="12"/>
      <name val="Arial"/>
      <family val="2"/>
    </font>
    <font>
      <sz val="8"/>
      <color indexed="17"/>
      <name val="Arial"/>
      <family val="2"/>
    </font>
    <font>
      <sz val="8"/>
      <color indexed="57"/>
      <name val="Arial"/>
      <family val="2"/>
    </font>
    <font>
      <b/>
      <sz val="8"/>
      <name val="Arial"/>
      <family val="2"/>
    </font>
    <font>
      <u val="singleAccounting"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5">
    <xf numFmtId="0" fontId="0" fillId="0" borderId="0" xfId="0"/>
    <xf numFmtId="0" fontId="4" fillId="0" borderId="0" xfId="0" applyNumberFormat="1" applyFont="1" applyFill="1" applyBorder="1" applyAlignment="1"/>
    <xf numFmtId="0" fontId="4" fillId="0" borderId="5" xfId="0" quotePrefix="1" applyNumberFormat="1" applyFont="1" applyFill="1" applyBorder="1" applyAlignment="1">
      <alignment horizontal="center"/>
    </xf>
    <xf numFmtId="0" fontId="4" fillId="0" borderId="0" xfId="0" quotePrefix="1" applyNumberFormat="1" applyFont="1" applyFill="1" applyBorder="1" applyAlignment="1">
      <alignment horizontal="center"/>
    </xf>
    <xf numFmtId="0" fontId="4" fillId="0" borderId="0" xfId="0" applyFont="1" applyFill="1"/>
    <xf numFmtId="165" fontId="4" fillId="0" borderId="0" xfId="0" applyNumberFormat="1" applyFont="1" applyFill="1"/>
    <xf numFmtId="165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 indent="2"/>
    </xf>
    <xf numFmtId="0" fontId="4" fillId="0" borderId="0" xfId="0" applyFont="1" applyFill="1" applyBorder="1"/>
    <xf numFmtId="0" fontId="4" fillId="0" borderId="0" xfId="0" quotePrefix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6" fontId="4" fillId="0" borderId="0" xfId="2" applyNumberFormat="1" applyFont="1" applyFill="1"/>
    <xf numFmtId="0" fontId="4" fillId="0" borderId="0" xfId="0" applyNumberFormat="1" applyFont="1" applyFill="1" applyAlignment="1">
      <alignment horizontal="center"/>
    </xf>
    <xf numFmtId="0" fontId="4" fillId="0" borderId="0" xfId="0" quotePrefix="1" applyNumberFormat="1" applyFont="1" applyFill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quotePrefix="1" applyNumberFormat="1" applyFont="1" applyFill="1" applyBorder="1" applyAlignment="1">
      <alignment horizontal="center"/>
    </xf>
    <xf numFmtId="0" fontId="4" fillId="0" borderId="3" xfId="0" applyFont="1" applyFill="1" applyBorder="1"/>
    <xf numFmtId="0" fontId="0" fillId="0" borderId="0" xfId="0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9" xfId="0" applyNumberFormat="1" applyFont="1" applyFill="1" applyBorder="1" applyAlignment="1">
      <alignment horizontal="center"/>
    </xf>
    <xf numFmtId="0" fontId="4" fillId="0" borderId="8" xfId="0" applyNumberFormat="1" applyFont="1" applyFill="1" applyBorder="1" applyAlignment="1">
      <alignment horizontal="center"/>
    </xf>
    <xf numFmtId="0" fontId="4" fillId="0" borderId="10" xfId="0" quotePrefix="1" applyNumberFormat="1" applyFont="1" applyFill="1" applyBorder="1" applyAlignment="1">
      <alignment horizontal="center"/>
    </xf>
    <xf numFmtId="43" fontId="4" fillId="0" borderId="0" xfId="0" applyNumberFormat="1" applyFont="1" applyFill="1" applyBorder="1"/>
    <xf numFmtId="43" fontId="4" fillId="0" borderId="0" xfId="0" applyNumberFormat="1" applyFont="1" applyFill="1" applyBorder="1" applyAlignment="1">
      <alignment horizontal="center"/>
    </xf>
    <xf numFmtId="171" fontId="4" fillId="0" borderId="0" xfId="0" applyNumberFormat="1" applyFont="1" applyFill="1" applyBorder="1" applyAlignment="1">
      <alignment horizontal="center"/>
    </xf>
    <xf numFmtId="171" fontId="4" fillId="0" borderId="0" xfId="0" applyNumberFormat="1" applyFont="1" applyFill="1"/>
    <xf numFmtId="0" fontId="4" fillId="0" borderId="0" xfId="0" applyFont="1" applyFill="1" applyAlignment="1">
      <alignment horizontal="left" indent="2"/>
    </xf>
    <xf numFmtId="0" fontId="9" fillId="0" borderId="0" xfId="0" applyNumberFormat="1" applyFont="1" applyFill="1" applyBorder="1" applyAlignment="1">
      <alignment horizontal="center"/>
    </xf>
    <xf numFmtId="0" fontId="9" fillId="0" borderId="0" xfId="0" applyFont="1" applyFill="1"/>
    <xf numFmtId="0" fontId="4" fillId="0" borderId="0" xfId="0" quotePrefix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171" fontId="4" fillId="0" borderId="0" xfId="0" applyNumberFormat="1" applyFont="1" applyFill="1" applyBorder="1"/>
    <xf numFmtId="0" fontId="4" fillId="0" borderId="14" xfId="0" quotePrefix="1" applyNumberFormat="1" applyFont="1" applyFill="1" applyBorder="1" applyAlignment="1">
      <alignment horizontal="center"/>
    </xf>
    <xf numFmtId="0" fontId="3" fillId="0" borderId="0" xfId="0" applyFont="1" applyFill="1" applyBorder="1"/>
    <xf numFmtId="165" fontId="4" fillId="0" borderId="3" xfId="0" applyNumberFormat="1" applyFont="1" applyFill="1" applyBorder="1"/>
    <xf numFmtId="0" fontId="4" fillId="0" borderId="0" xfId="0" quotePrefix="1" applyNumberFormat="1" applyFont="1" applyFill="1" applyBorder="1" applyAlignment="1"/>
    <xf numFmtId="0" fontId="4" fillId="0" borderId="0" xfId="0" quotePrefix="1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166" fontId="4" fillId="0" borderId="0" xfId="2" applyNumberFormat="1" applyFont="1" applyFill="1" applyAlignment="1">
      <alignment horizontal="center"/>
    </xf>
    <xf numFmtId="0" fontId="4" fillId="0" borderId="0" xfId="0" applyFont="1" applyFill="1" applyAlignment="1">
      <alignment horizontal="left" indent="1"/>
    </xf>
    <xf numFmtId="0" fontId="4" fillId="0" borderId="1" xfId="0" applyFont="1" applyFill="1" applyBorder="1" applyAlignment="1"/>
    <xf numFmtId="166" fontId="7" fillId="0" borderId="0" xfId="2" applyNumberFormat="1" applyFont="1" applyFill="1"/>
    <xf numFmtId="43" fontId="4" fillId="0" borderId="0" xfId="0" applyNumberFormat="1" applyFont="1" applyFill="1"/>
    <xf numFmtId="166" fontId="4" fillId="0" borderId="0" xfId="0" applyNumberFormat="1" applyFont="1" applyFill="1"/>
    <xf numFmtId="166" fontId="7" fillId="0" borderId="0" xfId="2" applyNumberFormat="1" applyFont="1" applyFill="1" applyBorder="1"/>
    <xf numFmtId="169" fontId="4" fillId="0" borderId="0" xfId="0" applyNumberFormat="1" applyFont="1" applyFill="1" applyBorder="1"/>
    <xf numFmtId="166" fontId="4" fillId="0" borderId="0" xfId="0" applyNumberFormat="1" applyFont="1" applyFill="1" applyBorder="1"/>
    <xf numFmtId="166" fontId="4" fillId="0" borderId="1" xfId="0" applyNumberFormat="1" applyFont="1" applyFill="1" applyBorder="1"/>
    <xf numFmtId="0" fontId="4" fillId="0" borderId="5" xfId="0" quotePrefix="1" applyFont="1" applyFill="1" applyBorder="1" applyAlignment="1">
      <alignment horizontal="center"/>
    </xf>
    <xf numFmtId="165" fontId="4" fillId="0" borderId="4" xfId="0" applyNumberFormat="1" applyFont="1" applyFill="1" applyBorder="1"/>
    <xf numFmtId="0" fontId="3" fillId="0" borderId="0" xfId="0" applyFont="1" applyFill="1"/>
    <xf numFmtId="165" fontId="4" fillId="0" borderId="0" xfId="0" applyNumberFormat="1" applyFont="1" applyFill="1" applyBorder="1" applyAlignment="1"/>
    <xf numFmtId="0" fontId="4" fillId="0" borderId="2" xfId="0" applyFont="1" applyFill="1" applyBorder="1" applyAlignment="1">
      <alignment horizontal="left"/>
    </xf>
    <xf numFmtId="0" fontId="4" fillId="0" borderId="29" xfId="0" quotePrefix="1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16" fillId="0" borderId="21" xfId="0" applyFont="1" applyFill="1" applyBorder="1"/>
    <xf numFmtId="0" fontId="17" fillId="0" borderId="20" xfId="0" applyFont="1" applyFill="1" applyBorder="1"/>
    <xf numFmtId="166" fontId="14" fillId="0" borderId="0" xfId="2" applyNumberFormat="1" applyFont="1" applyFill="1"/>
    <xf numFmtId="172" fontId="4" fillId="0" borderId="0" xfId="0" applyNumberFormat="1" applyFont="1" applyFill="1"/>
    <xf numFmtId="37" fontId="4" fillId="0" borderId="0" xfId="0" applyNumberFormat="1" applyFont="1" applyFill="1"/>
    <xf numFmtId="165" fontId="15" fillId="0" borderId="0" xfId="0" applyNumberFormat="1" applyFont="1" applyFill="1" applyBorder="1"/>
    <xf numFmtId="44" fontId="4" fillId="0" borderId="0" xfId="0" applyNumberFormat="1" applyFont="1" applyFill="1"/>
    <xf numFmtId="165" fontId="15" fillId="0" borderId="0" xfId="0" applyNumberFormat="1" applyFont="1" applyFill="1"/>
    <xf numFmtId="1" fontId="4" fillId="0" borderId="0" xfId="0" applyNumberFormat="1" applyFont="1" applyFill="1"/>
    <xf numFmtId="37" fontId="4" fillId="0" borderId="3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11" fillId="0" borderId="0" xfId="0" applyFont="1" applyFill="1"/>
    <xf numFmtId="0" fontId="7" fillId="0" borderId="0" xfId="0" applyFont="1" applyFill="1"/>
    <xf numFmtId="166" fontId="4" fillId="0" borderId="0" xfId="0" applyNumberFormat="1" applyFont="1" applyFill="1" applyAlignment="1">
      <alignment horizontal="center"/>
    </xf>
    <xf numFmtId="0" fontId="14" fillId="0" borderId="0" xfId="0" applyFont="1" applyFill="1"/>
    <xf numFmtId="43" fontId="3" fillId="0" borderId="0" xfId="0" applyNumberFormat="1" applyFont="1" applyFill="1" applyBorder="1"/>
    <xf numFmtId="44" fontId="4" fillId="0" borderId="0" xfId="0" applyNumberFormat="1" applyFont="1" applyFill="1" applyBorder="1"/>
    <xf numFmtId="0" fontId="14" fillId="0" borderId="0" xfId="0" applyFont="1" applyFill="1" applyAlignment="1">
      <alignment horizontal="center"/>
    </xf>
    <xf numFmtId="42" fontId="4" fillId="0" borderId="0" xfId="0" applyNumberFormat="1" applyFont="1" applyFill="1"/>
    <xf numFmtId="0" fontId="17" fillId="0" borderId="0" xfId="0" applyFont="1" applyFill="1"/>
    <xf numFmtId="0" fontId="16" fillId="0" borderId="24" xfId="0" applyFont="1" applyFill="1" applyBorder="1"/>
    <xf numFmtId="0" fontId="3" fillId="0" borderId="1" xfId="0" applyFont="1" applyFill="1" applyBorder="1"/>
    <xf numFmtId="43" fontId="3" fillId="0" borderId="0" xfId="0" applyNumberFormat="1" applyFont="1" applyFill="1"/>
    <xf numFmtId="43" fontId="4" fillId="0" borderId="0" xfId="0" applyNumberFormat="1" applyFont="1" applyFill="1" applyAlignment="1"/>
    <xf numFmtId="173" fontId="3" fillId="0" borderId="0" xfId="0" applyNumberFormat="1" applyFont="1" applyFill="1"/>
    <xf numFmtId="165" fontId="3" fillId="0" borderId="0" xfId="0" applyNumberFormat="1" applyFont="1" applyFill="1"/>
    <xf numFmtId="2" fontId="3" fillId="0" borderId="0" xfId="0" applyNumberFormat="1" applyFont="1" applyFill="1"/>
    <xf numFmtId="171" fontId="4" fillId="0" borderId="0" xfId="0" applyNumberFormat="1" applyFont="1" applyFill="1" applyBorder="1" applyAlignment="1">
      <alignment horizontal="left"/>
    </xf>
    <xf numFmtId="43" fontId="4" fillId="0" borderId="0" xfId="0" applyNumberFormat="1" applyFont="1" applyFill="1" applyBorder="1" applyAlignment="1">
      <alignment horizontal="left"/>
    </xf>
    <xf numFmtId="0" fontId="4" fillId="0" borderId="2" xfId="0" applyFont="1" applyFill="1" applyBorder="1"/>
    <xf numFmtId="0" fontId="14" fillId="0" borderId="0" xfId="0" quotePrefix="1" applyNumberFormat="1" applyFont="1" applyFill="1" applyBorder="1" applyAlignment="1">
      <alignment horizontal="center"/>
    </xf>
    <xf numFmtId="44" fontId="3" fillId="0" borderId="0" xfId="0" applyNumberFormat="1" applyFont="1" applyFill="1"/>
    <xf numFmtId="0" fontId="4" fillId="0" borderId="0" xfId="0" applyFont="1" applyFill="1" applyBorder="1" applyAlignment="1"/>
    <xf numFmtId="0" fontId="3" fillId="0" borderId="21" xfId="0" applyFont="1" applyFill="1" applyBorder="1"/>
    <xf numFmtId="0" fontId="8" fillId="0" borderId="0" xfId="0" applyFont="1" applyFill="1"/>
    <xf numFmtId="0" fontId="3" fillId="0" borderId="8" xfId="0" applyFont="1" applyFill="1" applyBorder="1"/>
    <xf numFmtId="0" fontId="3" fillId="0" borderId="15" xfId="0" applyFont="1" applyFill="1" applyBorder="1"/>
    <xf numFmtId="3" fontId="4" fillId="0" borderId="0" xfId="0" applyNumberFormat="1" applyFont="1" applyFill="1"/>
    <xf numFmtId="0" fontId="8" fillId="0" borderId="0" xfId="0" applyFont="1" applyFill="1" applyAlignment="1">
      <alignment horizontal="center"/>
    </xf>
    <xf numFmtId="165" fontId="3" fillId="0" borderId="0" xfId="1" applyNumberFormat="1" applyFont="1" applyFill="1"/>
    <xf numFmtId="0" fontId="0" fillId="0" borderId="0" xfId="0" applyFill="1" applyAlignment="1">
      <alignment horizontal="center"/>
    </xf>
    <xf numFmtId="0" fontId="4" fillId="0" borderId="1" xfId="0" quotePrefix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0" xfId="0" quotePrefix="1" applyFont="1" applyFill="1"/>
    <xf numFmtId="0" fontId="4" fillId="0" borderId="0" xfId="0" applyFont="1" applyFill="1" applyAlignment="1">
      <alignment vertical="center"/>
    </xf>
    <xf numFmtId="0" fontId="12" fillId="0" borderId="0" xfId="0" applyFont="1" applyFill="1"/>
    <xf numFmtId="165" fontId="13" fillId="0" borderId="0" xfId="0" applyNumberFormat="1" applyFont="1" applyFill="1"/>
    <xf numFmtId="0" fontId="4" fillId="0" borderId="1" xfId="0" applyFont="1" applyFill="1" applyBorder="1" applyAlignment="1">
      <alignment vertical="center"/>
    </xf>
    <xf numFmtId="1" fontId="4" fillId="0" borderId="0" xfId="0" applyNumberFormat="1" applyFont="1" applyFill="1" applyBorder="1"/>
    <xf numFmtId="165" fontId="4" fillId="0" borderId="0" xfId="0" quotePrefix="1" applyNumberFormat="1" applyFont="1" applyFill="1" applyBorder="1" applyAlignment="1"/>
    <xf numFmtId="0" fontId="4" fillId="0" borderId="0" xfId="0" applyNumberFormat="1" applyFont="1" applyFill="1" applyAlignment="1"/>
    <xf numFmtId="166" fontId="14" fillId="0" borderId="0" xfId="2" applyNumberFormat="1" applyFont="1" applyFill="1" applyAlignment="1">
      <alignment horizontal="center"/>
    </xf>
    <xf numFmtId="176" fontId="0" fillId="0" borderId="0" xfId="0" applyNumberFormat="1" applyFill="1" applyAlignment="1">
      <alignment horizontal="center"/>
    </xf>
    <xf numFmtId="9" fontId="0" fillId="0" borderId="0" xfId="4" applyFont="1" applyFill="1" applyAlignment="1">
      <alignment horizontal="center"/>
    </xf>
    <xf numFmtId="1" fontId="17" fillId="0" borderId="20" xfId="0" applyNumberFormat="1" applyFont="1" applyFill="1" applyBorder="1"/>
    <xf numFmtId="165" fontId="3" fillId="0" borderId="21" xfId="0" applyNumberFormat="1" applyFont="1" applyFill="1" applyBorder="1"/>
    <xf numFmtId="0" fontId="17" fillId="0" borderId="18" xfId="0" applyFont="1" applyFill="1" applyBorder="1"/>
    <xf numFmtId="3" fontId="3" fillId="0" borderId="17" xfId="0" applyNumberFormat="1" applyFont="1" applyFill="1" applyBorder="1"/>
    <xf numFmtId="3" fontId="3" fillId="0" borderId="21" xfId="0" applyNumberFormat="1" applyFont="1" applyFill="1" applyBorder="1"/>
    <xf numFmtId="4" fontId="3" fillId="0" borderId="19" xfId="0" applyNumberFormat="1" applyFont="1" applyFill="1" applyBorder="1"/>
    <xf numFmtId="1" fontId="3" fillId="0" borderId="21" xfId="0" applyNumberFormat="1" applyFont="1" applyFill="1" applyBorder="1"/>
    <xf numFmtId="3" fontId="3" fillId="0" borderId="0" xfId="0" applyNumberFormat="1" applyFont="1" applyFill="1"/>
    <xf numFmtId="0" fontId="17" fillId="0" borderId="0" xfId="0" applyFont="1" applyFill="1" applyAlignment="1"/>
    <xf numFmtId="0" fontId="3" fillId="0" borderId="22" xfId="0" applyFont="1" applyFill="1" applyBorder="1"/>
    <xf numFmtId="165" fontId="3" fillId="0" borderId="23" xfId="1" applyNumberFormat="1" applyFont="1" applyFill="1" applyBorder="1"/>
    <xf numFmtId="0" fontId="3" fillId="0" borderId="24" xfId="0" applyFont="1" applyFill="1" applyBorder="1"/>
    <xf numFmtId="165" fontId="3" fillId="0" borderId="25" xfId="1" applyNumberFormat="1" applyFont="1" applyFill="1" applyBorder="1"/>
    <xf numFmtId="0" fontId="17" fillId="0" borderId="11" xfId="0" applyFont="1" applyFill="1" applyBorder="1" applyAlignment="1"/>
    <xf numFmtId="0" fontId="17" fillId="0" borderId="1" xfId="0" applyFont="1" applyFill="1" applyBorder="1" applyAlignment="1"/>
    <xf numFmtId="0" fontId="17" fillId="0" borderId="24" xfId="0" applyFont="1" applyFill="1" applyBorder="1"/>
    <xf numFmtId="165" fontId="17" fillId="0" borderId="25" xfId="1" applyNumberFormat="1" applyFont="1" applyFill="1" applyBorder="1"/>
    <xf numFmtId="0" fontId="3" fillId="0" borderId="28" xfId="0" applyFont="1" applyFill="1" applyBorder="1"/>
    <xf numFmtId="165" fontId="3" fillId="0" borderId="30" xfId="1" applyNumberFormat="1" applyFont="1" applyFill="1" applyBorder="1"/>
    <xf numFmtId="0" fontId="17" fillId="0" borderId="31" xfId="0" applyFont="1" applyFill="1" applyBorder="1" applyAlignment="1"/>
    <xf numFmtId="0" fontId="17" fillId="0" borderId="32" xfId="0" applyFont="1" applyFill="1" applyBorder="1" applyAlignment="1"/>
    <xf numFmtId="0" fontId="17" fillId="0" borderId="21" xfId="0" applyFont="1" applyFill="1" applyBorder="1"/>
    <xf numFmtId="165" fontId="3" fillId="0" borderId="26" xfId="1" applyNumberFormat="1" applyFont="1" applyFill="1" applyBorder="1"/>
    <xf numFmtId="165" fontId="3" fillId="0" borderId="27" xfId="1" applyNumberFormat="1" applyFont="1" applyFill="1" applyBorder="1"/>
    <xf numFmtId="0" fontId="17" fillId="0" borderId="8" xfId="0" applyFont="1" applyFill="1" applyBorder="1" applyAlignment="1"/>
    <xf numFmtId="0" fontId="17" fillId="0" borderId="17" xfId="0" applyFont="1" applyFill="1" applyBorder="1"/>
    <xf numFmtId="165" fontId="17" fillId="0" borderId="27" xfId="1" applyNumberFormat="1" applyFont="1" applyFill="1" applyBorder="1"/>
    <xf numFmtId="165" fontId="3" fillId="0" borderId="19" xfId="0" applyNumberFormat="1" applyFont="1" applyFill="1" applyBorder="1"/>
    <xf numFmtId="0" fontId="18" fillId="0" borderId="16" xfId="0" applyFont="1" applyFill="1" applyBorder="1" applyAlignment="1">
      <alignment vertical="center"/>
    </xf>
    <xf numFmtId="0" fontId="17" fillId="0" borderId="19" xfId="0" applyFont="1" applyFill="1" applyBorder="1" applyAlignment="1">
      <alignment horizontal="center"/>
    </xf>
    <xf numFmtId="0" fontId="17" fillId="0" borderId="19" xfId="0" applyFont="1" applyFill="1" applyBorder="1" applyAlignment="1">
      <alignment horizontal="right" wrapText="1"/>
    </xf>
    <xf numFmtId="0" fontId="4" fillId="0" borderId="0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177" fontId="4" fillId="0" borderId="0" xfId="4" applyNumberFormat="1" applyFont="1" applyFill="1" applyBorder="1"/>
    <xf numFmtId="177" fontId="4" fillId="0" borderId="0" xfId="4" applyNumberFormat="1" applyFont="1" applyFill="1"/>
    <xf numFmtId="177" fontId="4" fillId="0" borderId="2" xfId="4" applyNumberFormat="1" applyFont="1" applyFill="1" applyBorder="1"/>
    <xf numFmtId="9" fontId="4" fillId="0" borderId="0" xfId="0" applyNumberFormat="1" applyFont="1" applyFill="1"/>
    <xf numFmtId="175" fontId="4" fillId="0" borderId="0" xfId="0" applyNumberFormat="1" applyFont="1" applyFill="1" applyAlignment="1">
      <alignment horizontal="center"/>
    </xf>
    <xf numFmtId="37" fontId="4" fillId="0" borderId="3" xfId="1" applyNumberFormat="1" applyFont="1" applyFill="1" applyBorder="1"/>
    <xf numFmtId="37" fontId="4" fillId="0" borderId="0" xfId="1" applyNumberFormat="1" applyFont="1" applyFill="1"/>
    <xf numFmtId="9" fontId="4" fillId="0" borderId="0" xfId="4" applyNumberFormat="1" applyFont="1" applyFill="1" applyBorder="1"/>
    <xf numFmtId="37" fontId="4" fillId="0" borderId="0" xfId="1" applyNumberFormat="1" applyFont="1" applyFill="1" applyBorder="1"/>
    <xf numFmtId="167" fontId="4" fillId="0" borderId="0" xfId="2" applyNumberFormat="1" applyFont="1" applyFill="1"/>
    <xf numFmtId="166" fontId="4" fillId="0" borderId="7" xfId="2" applyNumberFormat="1" applyFont="1" applyFill="1" applyBorder="1"/>
    <xf numFmtId="169" fontId="0" fillId="0" borderId="0" xfId="4" applyNumberFormat="1" applyFont="1" applyFill="1"/>
    <xf numFmtId="177" fontId="0" fillId="0" borderId="0" xfId="4" applyNumberFormat="1" applyFont="1" applyFill="1"/>
    <xf numFmtId="176" fontId="3" fillId="0" borderId="0" xfId="9" applyNumberFormat="1" applyFill="1" applyAlignment="1">
      <alignment horizontal="center"/>
    </xf>
    <xf numFmtId="9" fontId="3" fillId="0" borderId="0" xfId="4" applyFont="1" applyFill="1" applyAlignment="1">
      <alignment horizontal="center"/>
    </xf>
    <xf numFmtId="177" fontId="4" fillId="0" borderId="0" xfId="0" applyNumberFormat="1" applyFont="1" applyFill="1" applyAlignment="1">
      <alignment horizontal="center"/>
    </xf>
    <xf numFmtId="178" fontId="0" fillId="0" borderId="0" xfId="0" applyNumberFormat="1" applyFill="1"/>
    <xf numFmtId="0" fontId="6" fillId="0" borderId="0" xfId="3" applyFont="1" applyFill="1" applyBorder="1" applyAlignment="1">
      <alignment wrapText="1"/>
    </xf>
    <xf numFmtId="0" fontId="6" fillId="0" borderId="0" xfId="3" quotePrefix="1" applyFont="1" applyFill="1" applyBorder="1" applyAlignment="1">
      <alignment horizontal="right" wrapText="1"/>
    </xf>
    <xf numFmtId="0" fontId="6" fillId="0" borderId="1" xfId="3" applyFont="1" applyFill="1" applyBorder="1" applyAlignment="1">
      <alignment wrapText="1"/>
    </xf>
    <xf numFmtId="171" fontId="4" fillId="0" borderId="0" xfId="1" applyNumberFormat="1" applyFont="1" applyFill="1" applyBorder="1"/>
    <xf numFmtId="165" fontId="4" fillId="0" borderId="0" xfId="1" applyNumberFormat="1" applyFont="1" applyFill="1" applyBorder="1" applyAlignment="1">
      <alignment horizontal="center"/>
    </xf>
    <xf numFmtId="0" fontId="6" fillId="0" borderId="0" xfId="3" quotePrefix="1" applyFont="1" applyFill="1" applyBorder="1" applyAlignment="1">
      <alignment horizontal="center" wrapText="1"/>
    </xf>
    <xf numFmtId="0" fontId="6" fillId="0" borderId="1" xfId="3" applyFont="1" applyFill="1" applyBorder="1" applyAlignment="1">
      <alignment horizontal="center" wrapText="1"/>
    </xf>
    <xf numFmtId="0" fontId="6" fillId="0" borderId="6" xfId="3" quotePrefix="1" applyFont="1" applyFill="1" applyBorder="1" applyAlignment="1">
      <alignment horizontal="center" wrapText="1"/>
    </xf>
    <xf numFmtId="165" fontId="4" fillId="0" borderId="0" xfId="1" applyNumberFormat="1" applyFont="1" applyFill="1" applyBorder="1"/>
    <xf numFmtId="9" fontId="4" fillId="0" borderId="0" xfId="4" applyFont="1" applyFill="1" applyBorder="1"/>
    <xf numFmtId="44" fontId="4" fillId="0" borderId="0" xfId="2" applyFont="1" applyFill="1" applyBorder="1"/>
    <xf numFmtId="169" fontId="4" fillId="0" borderId="0" xfId="4" applyNumberFormat="1" applyFont="1" applyFill="1" applyBorder="1"/>
    <xf numFmtId="165" fontId="4" fillId="0" borderId="3" xfId="1" applyNumberFormat="1" applyFont="1" applyFill="1" applyBorder="1"/>
    <xf numFmtId="172" fontId="4" fillId="0" borderId="0" xfId="1" applyNumberFormat="1" applyFont="1" applyFill="1" applyBorder="1"/>
    <xf numFmtId="165" fontId="4" fillId="0" borderId="0" xfId="1" applyNumberFormat="1" applyFont="1" applyFill="1"/>
    <xf numFmtId="43" fontId="4" fillId="0" borderId="0" xfId="4" applyNumberFormat="1" applyFont="1" applyFill="1" applyBorder="1"/>
    <xf numFmtId="165" fontId="4" fillId="0" borderId="4" xfId="1" applyNumberFormat="1" applyFont="1" applyFill="1" applyBorder="1"/>
    <xf numFmtId="166" fontId="4" fillId="0" borderId="0" xfId="2" applyNumberFormat="1" applyFont="1" applyFill="1"/>
    <xf numFmtId="166" fontId="4" fillId="0" borderId="0" xfId="2" applyNumberFormat="1" applyFont="1" applyFill="1" applyBorder="1" applyAlignment="1">
      <alignment horizontal="center"/>
    </xf>
    <xf numFmtId="166" fontId="4" fillId="0" borderId="0" xfId="2" applyNumberFormat="1" applyFont="1" applyFill="1" applyBorder="1"/>
    <xf numFmtId="44" fontId="4" fillId="0" borderId="8" xfId="2" applyFont="1" applyFill="1" applyBorder="1"/>
    <xf numFmtId="43" fontId="4" fillId="0" borderId="8" xfId="1" applyNumberFormat="1" applyFont="1" applyFill="1" applyBorder="1"/>
    <xf numFmtId="43" fontId="4" fillId="0" borderId="0" xfId="1" applyNumberFormat="1" applyFont="1" applyFill="1" applyBorder="1"/>
    <xf numFmtId="166" fontId="4" fillId="0" borderId="3" xfId="2" applyNumberFormat="1" applyFont="1" applyFill="1" applyBorder="1" applyAlignment="1"/>
    <xf numFmtId="164" fontId="4" fillId="0" borderId="0" xfId="1" applyNumberFormat="1" applyFont="1" applyFill="1" applyBorder="1"/>
    <xf numFmtId="166" fontId="4" fillId="0" borderId="1" xfId="2" applyNumberFormat="1" applyFont="1" applyFill="1" applyBorder="1" applyAlignment="1">
      <alignment horizontal="center"/>
    </xf>
    <xf numFmtId="166" fontId="4" fillId="0" borderId="11" xfId="2" applyNumberFormat="1" applyFont="1" applyFill="1" applyBorder="1" applyAlignment="1">
      <alignment horizontal="center"/>
    </xf>
    <xf numFmtId="166" fontId="4" fillId="0" borderId="12" xfId="2" applyNumberFormat="1" applyFont="1" applyFill="1" applyBorder="1" applyAlignment="1">
      <alignment horizontal="center"/>
    </xf>
    <xf numFmtId="44" fontId="4" fillId="0" borderId="13" xfId="2" applyFont="1" applyFill="1" applyBorder="1"/>
    <xf numFmtId="2" fontId="4" fillId="0" borderId="8" xfId="1" applyNumberFormat="1" applyFont="1" applyFill="1" applyBorder="1"/>
    <xf numFmtId="2" fontId="4" fillId="0" borderId="0" xfId="1" applyNumberFormat="1" applyFont="1" applyFill="1" applyBorder="1"/>
    <xf numFmtId="43" fontId="4" fillId="0" borderId="0" xfId="1" applyFont="1" applyFill="1" applyBorder="1" applyAlignment="1">
      <alignment horizontal="center"/>
    </xf>
    <xf numFmtId="43" fontId="4" fillId="0" borderId="0" xfId="1" applyFont="1" applyFill="1" applyBorder="1"/>
    <xf numFmtId="174" fontId="4" fillId="0" borderId="0" xfId="1" applyNumberFormat="1" applyFont="1" applyFill="1" applyBorder="1"/>
    <xf numFmtId="43" fontId="4" fillId="0" borderId="13" xfId="1" applyNumberFormat="1" applyFont="1" applyFill="1" applyBorder="1"/>
    <xf numFmtId="171" fontId="4" fillId="0" borderId="0" xfId="1" applyNumberFormat="1" applyFont="1" applyFill="1" applyBorder="1" applyAlignment="1">
      <alignment horizontal="center"/>
    </xf>
    <xf numFmtId="43" fontId="4" fillId="0" borderId="13" xfId="1" applyFont="1" applyFill="1" applyBorder="1"/>
    <xf numFmtId="43" fontId="4" fillId="0" borderId="0" xfId="1" applyFont="1" applyFill="1" applyBorder="1" applyAlignment="1">
      <alignment horizontal="left"/>
    </xf>
    <xf numFmtId="43" fontId="4" fillId="0" borderId="0" xfId="1" applyNumberFormat="1" applyFont="1" applyFill="1" applyBorder="1" applyAlignment="1">
      <alignment horizontal="center"/>
    </xf>
    <xf numFmtId="43" fontId="4" fillId="0" borderId="8" xfId="1" applyFont="1" applyFill="1" applyBorder="1"/>
    <xf numFmtId="174" fontId="4" fillId="0" borderId="8" xfId="1" applyNumberFormat="1" applyFont="1" applyFill="1" applyBorder="1"/>
    <xf numFmtId="165" fontId="4" fillId="0" borderId="0" xfId="1" applyNumberFormat="1" applyFont="1" applyFill="1" applyAlignment="1">
      <alignment horizontal="center"/>
    </xf>
    <xf numFmtId="165" fontId="4" fillId="0" borderId="0" xfId="1" applyNumberFormat="1" applyFont="1" applyFill="1" applyAlignment="1">
      <alignment horizontal="right"/>
    </xf>
    <xf numFmtId="44" fontId="4" fillId="0" borderId="0" xfId="2" applyFont="1" applyFill="1"/>
    <xf numFmtId="166" fontId="4" fillId="0" borderId="0" xfId="2" applyNumberFormat="1" applyFont="1" applyFill="1" applyBorder="1" applyAlignment="1"/>
    <xf numFmtId="165" fontId="4" fillId="0" borderId="0" xfId="2" applyNumberFormat="1" applyFont="1" applyFill="1" applyBorder="1"/>
    <xf numFmtId="166" fontId="4" fillId="0" borderId="1" xfId="2" applyNumberFormat="1" applyFont="1" applyFill="1" applyBorder="1" applyAlignment="1"/>
    <xf numFmtId="166" fontId="4" fillId="0" borderId="0" xfId="2" applyNumberFormat="1" applyFont="1" applyFill="1" applyAlignment="1"/>
    <xf numFmtId="166" fontId="4" fillId="0" borderId="0" xfId="2" applyNumberFormat="1" applyFont="1" applyFill="1" applyAlignment="1">
      <alignment horizontal="center"/>
    </xf>
    <xf numFmtId="43" fontId="4" fillId="0" borderId="0" xfId="1" applyFont="1" applyFill="1"/>
    <xf numFmtId="166" fontId="4" fillId="0" borderId="0" xfId="2" applyNumberFormat="1" applyFont="1" applyFill="1" applyAlignment="1">
      <alignment horizontal="left"/>
    </xf>
    <xf numFmtId="165" fontId="4" fillId="0" borderId="0" xfId="1" applyNumberFormat="1" applyFont="1" applyFill="1" applyBorder="1" applyAlignment="1">
      <alignment horizontal="left"/>
    </xf>
    <xf numFmtId="165" fontId="4" fillId="0" borderId="0" xfId="1" applyNumberFormat="1" applyFont="1" applyFill="1" applyBorder="1" applyAlignment="1"/>
    <xf numFmtId="165" fontId="4" fillId="0" borderId="0" xfId="1" quotePrefix="1" applyNumberFormat="1" applyFont="1" applyFill="1" applyBorder="1" applyAlignment="1">
      <alignment horizontal="right"/>
    </xf>
    <xf numFmtId="165" fontId="4" fillId="0" borderId="0" xfId="1" quotePrefix="1" applyNumberFormat="1" applyFont="1" applyFill="1" applyBorder="1" applyAlignment="1"/>
    <xf numFmtId="165" fontId="4" fillId="0" borderId="3" xfId="1" applyNumberFormat="1" applyFont="1" applyFill="1" applyBorder="1" applyAlignment="1"/>
    <xf numFmtId="165" fontId="4" fillId="0" borderId="1" xfId="1" applyNumberFormat="1" applyFont="1" applyFill="1" applyBorder="1" applyAlignment="1"/>
    <xf numFmtId="166" fontId="4" fillId="0" borderId="0" xfId="1" applyNumberFormat="1" applyFont="1" applyFill="1" applyBorder="1"/>
    <xf numFmtId="44" fontId="4" fillId="0" borderId="0" xfId="2" applyNumberFormat="1" applyFont="1" applyFill="1" applyBorder="1"/>
    <xf numFmtId="44" fontId="4" fillId="0" borderId="0" xfId="1" applyNumberFormat="1" applyFont="1" applyFill="1" applyBorder="1"/>
    <xf numFmtId="44" fontId="4" fillId="0" borderId="10" xfId="2" applyFont="1" applyFill="1" applyBorder="1"/>
    <xf numFmtId="9" fontId="4" fillId="0" borderId="0" xfId="4" applyFont="1" applyFill="1"/>
    <xf numFmtId="169" fontId="4" fillId="0" borderId="0" xfId="4" applyNumberFormat="1" applyFont="1" applyFill="1"/>
    <xf numFmtId="166" fontId="15" fillId="0" borderId="0" xfId="2" applyNumberFormat="1" applyFont="1" applyFill="1"/>
    <xf numFmtId="44" fontId="4" fillId="0" borderId="8" xfId="2" applyNumberFormat="1" applyFont="1" applyFill="1" applyBorder="1"/>
    <xf numFmtId="43" fontId="4" fillId="0" borderId="25" xfId="1" applyFont="1" applyFill="1" applyBorder="1" applyAlignment="1">
      <alignment horizontal="left"/>
    </xf>
    <xf numFmtId="164" fontId="4" fillId="0" borderId="25" xfId="1" applyNumberFormat="1" applyFont="1" applyFill="1" applyBorder="1"/>
    <xf numFmtId="166" fontId="14" fillId="0" borderId="0" xfId="2" applyNumberFormat="1" applyFont="1" applyFill="1"/>
    <xf numFmtId="165" fontId="15" fillId="0" borderId="0" xfId="1" applyNumberFormat="1" applyFont="1" applyFill="1" applyBorder="1"/>
    <xf numFmtId="165" fontId="15" fillId="0" borderId="0" xfId="1" applyNumberFormat="1" applyFont="1" applyFill="1"/>
    <xf numFmtId="44" fontId="4" fillId="0" borderId="0" xfId="2" applyNumberFormat="1" applyFont="1" applyFill="1"/>
    <xf numFmtId="0" fontId="4" fillId="0" borderId="0" xfId="1" applyNumberFormat="1" applyFont="1" applyFill="1" applyBorder="1"/>
    <xf numFmtId="44" fontId="4" fillId="0" borderId="7" xfId="2" applyFont="1" applyFill="1" applyBorder="1"/>
    <xf numFmtId="165" fontId="11" fillId="0" borderId="0" xfId="1" applyNumberFormat="1" applyFont="1" applyFill="1" applyBorder="1"/>
    <xf numFmtId="166" fontId="4" fillId="0" borderId="0" xfId="4" applyNumberFormat="1" applyFont="1" applyFill="1" applyBorder="1"/>
    <xf numFmtId="39" fontId="4" fillId="0" borderId="0" xfId="1" applyNumberFormat="1" applyFont="1" applyFill="1" applyBorder="1"/>
    <xf numFmtId="9" fontId="3" fillId="0" borderId="0" xfId="4" applyFont="1" applyFill="1" applyBorder="1"/>
    <xf numFmtId="166" fontId="4" fillId="0" borderId="0" xfId="2" applyNumberFormat="1" applyFont="1" applyFill="1" applyAlignment="1">
      <alignment horizontal="left" indent="1"/>
    </xf>
    <xf numFmtId="42" fontId="4" fillId="0" borderId="7" xfId="2" applyNumberFormat="1" applyFont="1" applyFill="1" applyBorder="1"/>
    <xf numFmtId="44" fontId="4" fillId="0" borderId="13" xfId="2" applyNumberFormat="1" applyFont="1" applyFill="1" applyBorder="1"/>
    <xf numFmtId="164" fontId="4" fillId="0" borderId="8" xfId="1" applyNumberFormat="1" applyFont="1" applyFill="1" applyBorder="1"/>
    <xf numFmtId="0" fontId="4" fillId="0" borderId="1" xfId="3" quotePrefix="1" applyFont="1" applyFill="1" applyBorder="1" applyAlignment="1">
      <alignment horizontal="center" wrapText="1"/>
    </xf>
    <xf numFmtId="0" fontId="4" fillId="0" borderId="0" xfId="3" applyFont="1" applyFill="1" applyBorder="1" applyAlignment="1">
      <alignment wrapText="1"/>
    </xf>
    <xf numFmtId="0" fontId="4" fillId="0" borderId="0" xfId="3" applyFont="1" applyFill="1" applyBorder="1" applyAlignment="1">
      <alignment horizontal="center" wrapText="1"/>
    </xf>
    <xf numFmtId="169" fontId="3" fillId="0" borderId="0" xfId="4" applyNumberFormat="1" applyFont="1" applyFill="1"/>
    <xf numFmtId="0" fontId="4" fillId="0" borderId="0" xfId="3" quotePrefix="1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right"/>
    </xf>
    <xf numFmtId="44" fontId="3" fillId="0" borderId="0" xfId="2" applyFont="1" applyFill="1" applyBorder="1"/>
    <xf numFmtId="3" fontId="4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wrapText="1"/>
    </xf>
    <xf numFmtId="43" fontId="3" fillId="0" borderId="0" xfId="1" applyFont="1" applyFill="1" applyBorder="1"/>
    <xf numFmtId="9" fontId="3" fillId="0" borderId="0" xfId="4" applyFont="1" applyFill="1"/>
    <xf numFmtId="44" fontId="3" fillId="0" borderId="0" xfId="2" applyFont="1" applyFill="1"/>
    <xf numFmtId="44" fontId="3" fillId="0" borderId="8" xfId="2" applyNumberFormat="1" applyFont="1" applyFill="1" applyBorder="1"/>
    <xf numFmtId="43" fontId="3" fillId="0" borderId="0" xfId="1" applyFont="1" applyFill="1"/>
    <xf numFmtId="171" fontId="4" fillId="0" borderId="0" xfId="1" applyNumberFormat="1" applyFont="1" applyFill="1" applyBorder="1" applyAlignment="1">
      <alignment horizontal="left"/>
    </xf>
    <xf numFmtId="0" fontId="6" fillId="0" borderId="2" xfId="3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wrapText="1"/>
    </xf>
    <xf numFmtId="166" fontId="4" fillId="0" borderId="3" xfId="2" applyNumberFormat="1" applyFont="1" applyFill="1" applyBorder="1" applyAlignment="1">
      <alignment horizontal="center"/>
    </xf>
    <xf numFmtId="165" fontId="4" fillId="0" borderId="3" xfId="2" applyNumberFormat="1" applyFont="1" applyFill="1" applyBorder="1" applyAlignment="1"/>
    <xf numFmtId="166" fontId="4" fillId="0" borderId="0" xfId="2" applyNumberFormat="1" applyFont="1" applyFill="1" applyBorder="1" applyAlignment="1">
      <alignment horizontal="left" indent="1"/>
    </xf>
    <xf numFmtId="169" fontId="4" fillId="0" borderId="0" xfId="4" applyNumberFormat="1" applyFont="1" applyFill="1" applyBorder="1" applyAlignment="1">
      <alignment horizontal="right"/>
    </xf>
    <xf numFmtId="166" fontId="4" fillId="0" borderId="0" xfId="2" applyNumberFormat="1" applyFont="1" applyFill="1" applyBorder="1" applyAlignment="1">
      <alignment horizontal="left" indent="2"/>
    </xf>
    <xf numFmtId="168" fontId="4" fillId="0" borderId="0" xfId="2" applyNumberFormat="1" applyFont="1" applyFill="1" applyBorder="1"/>
    <xf numFmtId="166" fontId="4" fillId="0" borderId="0" xfId="2" applyNumberFormat="1" applyFont="1" applyFill="1" applyAlignment="1">
      <alignment horizontal="left" indent="2"/>
    </xf>
    <xf numFmtId="170" fontId="4" fillId="0" borderId="0" xfId="4" applyNumberFormat="1" applyFont="1" applyFill="1" applyBorder="1"/>
    <xf numFmtId="165" fontId="4" fillId="0" borderId="1" xfId="2" applyNumberFormat="1" applyFont="1" applyFill="1" applyBorder="1" applyAlignment="1"/>
    <xf numFmtId="10" fontId="4" fillId="0" borderId="0" xfId="4" applyNumberFormat="1" applyFont="1" applyFill="1"/>
    <xf numFmtId="9" fontId="4" fillId="0" borderId="0" xfId="4" applyNumberFormat="1" applyFont="1" applyFill="1"/>
    <xf numFmtId="165" fontId="4" fillId="0" borderId="2" xfId="1" applyNumberFormat="1" applyFont="1" applyFill="1" applyBorder="1"/>
    <xf numFmtId="176" fontId="3" fillId="0" borderId="0" xfId="9" applyNumberFormat="1" applyFill="1" applyAlignment="1">
      <alignment horizontal="center"/>
    </xf>
    <xf numFmtId="164" fontId="4" fillId="0" borderId="13" xfId="1" applyNumberFormat="1" applyFont="1" applyFill="1" applyBorder="1"/>
    <xf numFmtId="177" fontId="4" fillId="0" borderId="0" xfId="0" applyNumberFormat="1" applyFont="1" applyFill="1"/>
    <xf numFmtId="0" fontId="3" fillId="0" borderId="0" xfId="0" applyFont="1" applyFill="1" applyAlignment="1"/>
    <xf numFmtId="0" fontId="3" fillId="0" borderId="0" xfId="0" applyFont="1" applyFill="1" applyBorder="1" applyAlignment="1"/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43" fontId="3" fillId="0" borderId="8" xfId="2" applyNumberFormat="1" applyFont="1" applyFill="1" applyBorder="1"/>
    <xf numFmtId="166" fontId="4" fillId="0" borderId="3" xfId="2" applyNumberFormat="1" applyFont="1" applyFill="1" applyBorder="1" applyAlignment="1">
      <alignment horizontal="left"/>
    </xf>
    <xf numFmtId="166" fontId="4" fillId="0" borderId="0" xfId="2" applyNumberFormat="1" applyFont="1" applyFill="1" applyAlignment="1">
      <alignment horizontal="right"/>
    </xf>
    <xf numFmtId="166" fontId="4" fillId="0" borderId="1" xfId="2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6" fillId="0" borderId="2" xfId="3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wrapText="1"/>
    </xf>
    <xf numFmtId="0" fontId="6" fillId="0" borderId="1" xfId="3" applyFont="1" applyFill="1" applyBorder="1" applyAlignment="1">
      <alignment horizontal="left" wrapText="1"/>
    </xf>
  </cellXfs>
  <cellStyles count="14">
    <cellStyle name="Comma" xfId="1" builtinId="3"/>
    <cellStyle name="Comma 2" xfId="6" xr:uid="{0A547BD1-26B9-4907-B7E6-82383F3FCE21}"/>
    <cellStyle name="Comma 2 2" xfId="11" xr:uid="{51064E28-8801-4FA6-A4A4-9E489DF2BD0F}"/>
    <cellStyle name="Currency" xfId="2" builtinId="4"/>
    <cellStyle name="Currency 2" xfId="7" xr:uid="{2AF11447-7418-4990-9027-8958F6048120}"/>
    <cellStyle name="Currency 2 2" xfId="12" xr:uid="{0FBE11B4-E79E-4206-A295-6D5E26EFFF3C}"/>
    <cellStyle name="Normal" xfId="0" builtinId="0"/>
    <cellStyle name="Normal 2" xfId="5" xr:uid="{1CA5F707-99D8-4379-BB54-C442B5645EE9}"/>
    <cellStyle name="Normal 2 2" xfId="10" xr:uid="{59F681C9-F413-463B-B4DF-F358942314E5}"/>
    <cellStyle name="Normal 3" xfId="9" xr:uid="{FFC56827-9077-4F3E-B294-F0C78D8C5854}"/>
    <cellStyle name="Normal_Sheet1" xfId="3" xr:uid="{00000000-0005-0000-0000-000004000000}"/>
    <cellStyle name="Percent" xfId="4" builtinId="5"/>
    <cellStyle name="Percent 2" xfId="8" xr:uid="{C20C1DC1-BE12-4689-A4DC-46707705B719}"/>
    <cellStyle name="Percent 2 2" xfId="13" xr:uid="{AA2D93CD-91B6-44C8-9C66-461A797B448C}"/>
  </cellStyles>
  <dxfs count="0"/>
  <tableStyles count="0" defaultTableStyle="TableStyleMedium2" defaultPivotStyle="PivotStyleLight16"/>
  <colors>
    <mruColors>
      <color rgb="FF00CC99"/>
      <color rgb="FFC5D9F1"/>
      <color rgb="FF0000FF"/>
      <color rgb="FF33CCCC"/>
      <color rgb="FF21ADFB"/>
      <color rgb="FF13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9"/>
    <pageSetUpPr fitToPage="1"/>
  </sheetPr>
  <dimension ref="A1:AA428"/>
  <sheetViews>
    <sheetView zoomScale="140" zoomScaleNormal="140" workbookViewId="0"/>
  </sheetViews>
  <sheetFormatPr defaultColWidth="9.140625" defaultRowHeight="12.75" x14ac:dyDescent="0.2"/>
  <cols>
    <col min="1" max="1" width="4.42578125" style="54" customWidth="1"/>
    <col min="2" max="2" width="4.5703125" style="54" customWidth="1"/>
    <col min="3" max="3" width="8.42578125" style="54" customWidth="1"/>
    <col min="4" max="5" width="10.140625" style="54" customWidth="1"/>
    <col min="6" max="6" width="8.42578125" style="54" customWidth="1"/>
    <col min="7" max="7" width="7.42578125" style="54" customWidth="1"/>
    <col min="8" max="8" width="8.7109375" style="54" customWidth="1"/>
    <col min="9" max="9" width="10.7109375" style="54" bestFit="1" customWidth="1"/>
    <col min="10" max="10" width="9.5703125" style="54" customWidth="1"/>
    <col min="11" max="11" width="9.85546875" style="54" customWidth="1"/>
    <col min="12" max="12" width="10.7109375" style="54" bestFit="1" customWidth="1"/>
    <col min="13" max="13" width="9.140625" style="54" customWidth="1"/>
    <col min="14" max="14" width="9.85546875" style="54" bestFit="1" customWidth="1"/>
    <col min="15" max="15" width="9" style="54" customWidth="1"/>
    <col min="16" max="16" width="8.140625" style="54" customWidth="1"/>
    <col min="17" max="17" width="9.85546875" style="54" customWidth="1"/>
    <col min="18" max="18" width="9.42578125" style="54" customWidth="1"/>
    <col min="19" max="19" width="9.85546875" style="54" bestFit="1" customWidth="1"/>
    <col min="20" max="20" width="9.85546875" style="54" customWidth="1"/>
    <col min="21" max="21" width="11.85546875" style="54" customWidth="1"/>
    <col min="22" max="22" width="8.85546875" style="54" customWidth="1"/>
    <col min="23" max="23" width="8.28515625" style="54" customWidth="1"/>
    <col min="24" max="24" width="8.140625" style="54" customWidth="1"/>
    <col min="25" max="16384" width="9.140625" style="54"/>
  </cols>
  <sheetData>
    <row r="1" spans="1:25" x14ac:dyDescent="0.2">
      <c r="J1" s="292" t="s">
        <v>768</v>
      </c>
      <c r="K1" s="292"/>
      <c r="L1" s="292"/>
      <c r="M1" s="292"/>
      <c r="N1" s="292"/>
      <c r="O1" s="292"/>
    </row>
    <row r="2" spans="1:25" ht="13.5" thickBot="1" x14ac:dyDescent="0.25">
      <c r="A2" s="16" t="s">
        <v>143</v>
      </c>
      <c r="B2" s="16"/>
      <c r="C2" s="16"/>
      <c r="D2" s="16"/>
      <c r="E2" s="16"/>
      <c r="F2" s="16"/>
      <c r="G2" s="16"/>
      <c r="H2" s="16"/>
      <c r="I2" s="16"/>
      <c r="J2" s="16" t="s">
        <v>144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50" t="s">
        <v>602</v>
      </c>
      <c r="Y2" s="81"/>
    </row>
    <row r="3" spans="1:25" x14ac:dyDescent="0.2">
      <c r="A3" s="4" t="s">
        <v>21</v>
      </c>
      <c r="B3" s="4"/>
      <c r="C3" s="4"/>
      <c r="D3" s="4"/>
      <c r="E3" s="4"/>
      <c r="G3" s="4"/>
      <c r="I3" s="4" t="s">
        <v>760</v>
      </c>
      <c r="J3" s="4"/>
      <c r="K3" s="4" t="s">
        <v>145</v>
      </c>
      <c r="L3" s="56"/>
      <c r="M3" s="56"/>
      <c r="N3" s="4"/>
      <c r="O3" s="56"/>
      <c r="P3" s="56"/>
      <c r="Q3" s="56"/>
      <c r="R3" s="56"/>
      <c r="S3" s="56"/>
      <c r="U3" s="56" t="s">
        <v>30</v>
      </c>
      <c r="V3" s="4"/>
      <c r="W3" s="4"/>
      <c r="X3" s="22"/>
    </row>
    <row r="4" spans="1:2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21"/>
      <c r="M4" s="22"/>
      <c r="N4" s="4"/>
      <c r="O4" s="4"/>
      <c r="P4" s="4"/>
      <c r="Q4" s="4"/>
      <c r="R4" s="4"/>
      <c r="S4" s="4"/>
      <c r="U4" s="21"/>
      <c r="V4" s="22" t="s">
        <v>754</v>
      </c>
      <c r="W4" s="4"/>
      <c r="X4" s="21"/>
    </row>
    <row r="5" spans="1:25" x14ac:dyDescent="0.2">
      <c r="A5" s="4" t="s">
        <v>29</v>
      </c>
      <c r="B5" s="4"/>
      <c r="C5" s="4"/>
      <c r="D5" s="4"/>
      <c r="E5" s="4"/>
      <c r="F5" s="4"/>
      <c r="G5" s="4"/>
      <c r="H5" s="4"/>
      <c r="I5" s="4"/>
      <c r="J5" s="4"/>
      <c r="K5" s="4"/>
      <c r="L5" s="21"/>
      <c r="M5" s="22"/>
      <c r="N5" s="21"/>
      <c r="O5" s="4"/>
      <c r="P5" s="4"/>
      <c r="Q5" s="4"/>
      <c r="R5" s="4"/>
      <c r="S5" s="4"/>
      <c r="T5" s="4"/>
      <c r="V5" s="22" t="s">
        <v>755</v>
      </c>
      <c r="W5" s="4"/>
      <c r="X5" s="21"/>
    </row>
    <row r="6" spans="1:25" x14ac:dyDescent="0.2">
      <c r="A6" s="4"/>
      <c r="B6" s="4"/>
      <c r="C6" s="4"/>
      <c r="D6" s="4"/>
      <c r="E6" s="4"/>
      <c r="F6" s="4"/>
      <c r="H6" s="282"/>
      <c r="I6" s="282"/>
      <c r="J6" s="295" t="s">
        <v>387</v>
      </c>
      <c r="K6" s="295"/>
      <c r="L6" s="295"/>
      <c r="M6" s="295"/>
      <c r="N6" s="295"/>
      <c r="O6" s="295"/>
      <c r="P6" s="282"/>
      <c r="Q6" s="4"/>
      <c r="R6" s="4"/>
      <c r="S6" s="4"/>
      <c r="T6" s="4"/>
      <c r="V6" s="22"/>
      <c r="W6" s="4"/>
      <c r="X6" s="21"/>
    </row>
    <row r="7" spans="1:25" ht="13.5" thickBo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51"/>
      <c r="M7" s="16"/>
      <c r="N7" s="16"/>
      <c r="O7" s="16"/>
      <c r="P7" s="16"/>
      <c r="Q7" s="16"/>
      <c r="R7" s="16"/>
      <c r="S7" s="16"/>
      <c r="T7" s="16"/>
      <c r="U7" s="81"/>
      <c r="V7" s="16" t="s">
        <v>738</v>
      </c>
      <c r="W7" s="16"/>
      <c r="X7" s="16"/>
      <c r="Y7" s="81"/>
    </row>
    <row r="8" spans="1:25" x14ac:dyDescent="0.2">
      <c r="A8" s="4"/>
      <c r="B8" s="297" t="s">
        <v>235</v>
      </c>
      <c r="C8" s="297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90"/>
    </row>
    <row r="9" spans="1:25" x14ac:dyDescent="0.2">
      <c r="B9" s="298" t="s">
        <v>32</v>
      </c>
      <c r="C9" s="298"/>
      <c r="D9" s="294" t="s">
        <v>263</v>
      </c>
      <c r="E9" s="294"/>
      <c r="F9" s="294"/>
      <c r="G9" s="294"/>
      <c r="H9" s="294"/>
      <c r="I9" s="294"/>
      <c r="J9" s="294"/>
      <c r="K9" s="294"/>
      <c r="L9" s="294"/>
      <c r="M9" s="294" t="s">
        <v>368</v>
      </c>
      <c r="N9" s="294"/>
      <c r="O9" s="294"/>
      <c r="P9" s="294"/>
      <c r="Q9" s="294"/>
      <c r="R9" s="294"/>
      <c r="S9" s="294"/>
      <c r="T9" s="294"/>
      <c r="U9" s="294"/>
      <c r="V9" s="299" t="s">
        <v>234</v>
      </c>
      <c r="W9" s="299"/>
      <c r="X9" s="299" t="s">
        <v>146</v>
      </c>
      <c r="Y9" s="299"/>
    </row>
    <row r="10" spans="1:25" x14ac:dyDescent="0.2">
      <c r="A10" s="4"/>
      <c r="B10" s="148" t="s">
        <v>22</v>
      </c>
      <c r="C10" s="13" t="s">
        <v>23</v>
      </c>
      <c r="D10" s="23" t="s">
        <v>24</v>
      </c>
      <c r="E10" s="13" t="s">
        <v>25</v>
      </c>
      <c r="F10" s="13" t="s">
        <v>18</v>
      </c>
      <c r="G10" s="14" t="s">
        <v>19</v>
      </c>
      <c r="H10" s="14" t="s">
        <v>147</v>
      </c>
      <c r="I10" s="14" t="s">
        <v>148</v>
      </c>
      <c r="J10" s="14" t="s">
        <v>149</v>
      </c>
      <c r="K10" s="14" t="s">
        <v>150</v>
      </c>
      <c r="L10" s="2" t="s">
        <v>151</v>
      </c>
      <c r="M10" s="14" t="s">
        <v>152</v>
      </c>
      <c r="N10" s="14" t="s">
        <v>153</v>
      </c>
      <c r="O10" s="14" t="s">
        <v>154</v>
      </c>
      <c r="P10" s="14" t="s">
        <v>155</v>
      </c>
      <c r="Q10" s="14" t="s">
        <v>156</v>
      </c>
      <c r="R10" s="14" t="s">
        <v>157</v>
      </c>
      <c r="S10" s="14" t="s">
        <v>158</v>
      </c>
      <c r="T10" s="14" t="s">
        <v>180</v>
      </c>
      <c r="U10" s="2" t="s">
        <v>74</v>
      </c>
      <c r="V10" s="14" t="s">
        <v>248</v>
      </c>
      <c r="W10" s="2" t="s">
        <v>264</v>
      </c>
      <c r="X10" s="10" t="s">
        <v>531</v>
      </c>
      <c r="Y10" s="10" t="s">
        <v>614</v>
      </c>
    </row>
    <row r="11" spans="1:25" x14ac:dyDescent="0.2">
      <c r="A11" s="4" t="s">
        <v>26</v>
      </c>
      <c r="B11" s="149" t="s">
        <v>159</v>
      </c>
      <c r="C11" s="145"/>
      <c r="D11" s="24" t="s">
        <v>160</v>
      </c>
      <c r="E11" s="145" t="s">
        <v>161</v>
      </c>
      <c r="F11" s="145" t="s">
        <v>162</v>
      </c>
      <c r="G11" s="3" t="s">
        <v>163</v>
      </c>
      <c r="H11" s="145" t="s">
        <v>175</v>
      </c>
      <c r="I11" s="145" t="s">
        <v>665</v>
      </c>
      <c r="J11" s="145" t="s">
        <v>526</v>
      </c>
      <c r="K11" s="145" t="s">
        <v>179</v>
      </c>
      <c r="L11" s="25" t="s">
        <v>35</v>
      </c>
      <c r="M11" s="13" t="s">
        <v>160</v>
      </c>
      <c r="N11" s="13" t="s">
        <v>161</v>
      </c>
      <c r="O11" s="3" t="s">
        <v>162</v>
      </c>
      <c r="P11" s="3" t="s">
        <v>163</v>
      </c>
      <c r="Q11" s="145" t="s">
        <v>175</v>
      </c>
      <c r="R11" s="145" t="s">
        <v>665</v>
      </c>
      <c r="S11" s="145" t="s">
        <v>526</v>
      </c>
      <c r="T11" s="145" t="s">
        <v>179</v>
      </c>
      <c r="U11" s="25" t="s">
        <v>35</v>
      </c>
      <c r="V11" s="3" t="s">
        <v>164</v>
      </c>
      <c r="W11" s="25" t="s">
        <v>165</v>
      </c>
      <c r="X11" s="148" t="s">
        <v>166</v>
      </c>
      <c r="Y11" s="148" t="s">
        <v>138</v>
      </c>
    </row>
    <row r="12" spans="1:25" ht="13.5" thickBot="1" x14ac:dyDescent="0.25">
      <c r="A12" s="16" t="s">
        <v>28</v>
      </c>
      <c r="B12" s="250" t="s">
        <v>167</v>
      </c>
      <c r="C12" s="194" t="s">
        <v>168</v>
      </c>
      <c r="D12" s="195" t="s">
        <v>137</v>
      </c>
      <c r="E12" s="194" t="s">
        <v>169</v>
      </c>
      <c r="F12" s="194" t="s">
        <v>169</v>
      </c>
      <c r="G12" s="17" t="s">
        <v>169</v>
      </c>
      <c r="H12" s="194" t="s">
        <v>169</v>
      </c>
      <c r="I12" s="194" t="s">
        <v>666</v>
      </c>
      <c r="J12" s="194" t="s">
        <v>169</v>
      </c>
      <c r="K12" s="194" t="s">
        <v>169</v>
      </c>
      <c r="L12" s="196"/>
      <c r="M12" s="17" t="s">
        <v>137</v>
      </c>
      <c r="N12" s="17" t="s">
        <v>169</v>
      </c>
      <c r="O12" s="17" t="s">
        <v>169</v>
      </c>
      <c r="P12" s="17" t="s">
        <v>169</v>
      </c>
      <c r="Q12" s="194" t="s">
        <v>169</v>
      </c>
      <c r="R12" s="194" t="s">
        <v>666</v>
      </c>
      <c r="S12" s="194" t="s">
        <v>169</v>
      </c>
      <c r="T12" s="194" t="s">
        <v>169</v>
      </c>
      <c r="U12" s="196"/>
      <c r="V12" s="194" t="s">
        <v>740</v>
      </c>
      <c r="W12" s="196" t="s">
        <v>741</v>
      </c>
      <c r="X12" s="151" t="s">
        <v>742</v>
      </c>
      <c r="Y12" s="151" t="s">
        <v>743</v>
      </c>
    </row>
    <row r="13" spans="1:25" x14ac:dyDescent="0.2">
      <c r="A13" s="4">
        <v>1</v>
      </c>
      <c r="B13" s="251">
        <v>0</v>
      </c>
      <c r="C13" s="177">
        <v>0</v>
      </c>
      <c r="D13" s="189">
        <f>IF($C13&gt;1000,($C13-1000)*$F$41/100+1000*$F$40/100+$F$37,$C13*$F$40/100+$F$37)</f>
        <v>21</v>
      </c>
      <c r="E13" s="179">
        <f>IF($C13&gt;1000,($C13-1000)*$F$44/100+1000*$F$43/100,$C13*$F$43/100)</f>
        <v>0</v>
      </c>
      <c r="F13" s="179">
        <f>+$C13*$F$45/100</f>
        <v>0</v>
      </c>
      <c r="G13" s="179">
        <f>+$C13*$F$46/100</f>
        <v>0</v>
      </c>
      <c r="H13" s="179">
        <f>$C13*$F$48/100</f>
        <v>0</v>
      </c>
      <c r="I13" s="179">
        <f>$C13*$F$47/100</f>
        <v>0</v>
      </c>
      <c r="J13" s="179">
        <f>$C13*$F$49/100</f>
        <v>0</v>
      </c>
      <c r="K13" s="179">
        <f>+SUM(D13:J13)*0.025641</f>
        <v>0.53846099999999997</v>
      </c>
      <c r="L13" s="179">
        <f>SUM(D13:K13)</f>
        <v>21.538461000000002</v>
      </c>
      <c r="M13" s="197">
        <f>IF($C13&gt;1000,($C13-1000)*$I$41/100+1000*$I$40/100+$I$37,$C13*$I$40/100+$I$37)</f>
        <v>21.3</v>
      </c>
      <c r="N13" s="179">
        <f>IF($C13&gt;1000,($C13-1000)*$I$44/100+1000*$I$43/100,$C13*$I$43/100)</f>
        <v>0</v>
      </c>
      <c r="O13" s="179">
        <f>+$C13*$I$45/100</f>
        <v>0</v>
      </c>
      <c r="P13" s="179">
        <f>+$C13*$I$46/100</f>
        <v>0</v>
      </c>
      <c r="Q13" s="179">
        <f>$C13*$I$48/100</f>
        <v>0</v>
      </c>
      <c r="R13" s="179">
        <f>$C13*$I$47/100</f>
        <v>0</v>
      </c>
      <c r="S13" s="179">
        <f>$C13*$I$49/100</f>
        <v>0</v>
      </c>
      <c r="T13" s="179">
        <f>+SUM(M13:S13)*0.025641</f>
        <v>0.54615330000000006</v>
      </c>
      <c r="U13" s="179">
        <f>SUM(M13:T13)</f>
        <v>21.846153300000001</v>
      </c>
      <c r="V13" s="189">
        <f>+U13-L13</f>
        <v>0.30769229999999936</v>
      </c>
      <c r="W13" s="180">
        <f>+V13/L13</f>
        <v>1.4285714285714256E-2</v>
      </c>
      <c r="X13" s="198"/>
      <c r="Y13" s="199"/>
    </row>
    <row r="14" spans="1:25" x14ac:dyDescent="0.2">
      <c r="A14" s="4">
        <v>2</v>
      </c>
      <c r="B14" s="251"/>
      <c r="C14" s="177"/>
      <c r="D14" s="189"/>
      <c r="E14" s="179"/>
      <c r="F14" s="179"/>
      <c r="G14" s="179"/>
      <c r="H14" s="179"/>
      <c r="I14" s="179"/>
      <c r="J14" s="179"/>
      <c r="K14" s="179"/>
      <c r="L14" s="179"/>
      <c r="M14" s="189"/>
      <c r="N14" s="179"/>
      <c r="O14" s="179"/>
      <c r="P14" s="179"/>
      <c r="Q14" s="179"/>
      <c r="R14" s="179"/>
      <c r="S14" s="179"/>
      <c r="T14" s="179"/>
      <c r="U14" s="179"/>
      <c r="V14" s="189"/>
      <c r="W14" s="180"/>
      <c r="X14" s="249"/>
      <c r="Y14" s="193"/>
    </row>
    <row r="15" spans="1:25" x14ac:dyDescent="0.2">
      <c r="A15" s="4">
        <v>3</v>
      </c>
      <c r="B15" s="251">
        <v>0</v>
      </c>
      <c r="C15" s="177">
        <v>100</v>
      </c>
      <c r="D15" s="189">
        <f>IF(C15&gt;1000,(C15-1000)*$F$41/100+1000*$F$40/100+$F$37,C15*$F$40/100+$F$37)</f>
        <v>26.768999999999998</v>
      </c>
      <c r="E15" s="179">
        <f>IF($C15&gt;1000,($C15-1000)*$F$44/100+1000*$F$43/100,$C15*$F$43/100)</f>
        <v>3.7909999999999995</v>
      </c>
      <c r="F15" s="179">
        <f>+$C15*$F$45/100</f>
        <v>0.23599999999999999</v>
      </c>
      <c r="G15" s="179">
        <f>+$C15*$F$46/100</f>
        <v>5.2999999999999999E-2</v>
      </c>
      <c r="H15" s="179">
        <f>$C15*$F$48/100</f>
        <v>0.13800000000000001</v>
      </c>
      <c r="I15" s="179">
        <f>$C15*$F$47/100</f>
        <v>0.44049999999999995</v>
      </c>
      <c r="J15" s="179">
        <f>$C15*$F$49/100</f>
        <v>0.32899999999999996</v>
      </c>
      <c r="K15" s="179">
        <f>+SUM(D15:J15)*0.025641</f>
        <v>0.81426841650000004</v>
      </c>
      <c r="L15" s="179">
        <f>SUM(D15:K15)</f>
        <v>32.570768416500002</v>
      </c>
      <c r="M15" s="189">
        <f>IF($C15&gt;1000,($C15-1000)*$I$41/100+1000*$I$40/100+$I$37,$C15*$I$40/100+$I$37)</f>
        <v>27.115970000000001</v>
      </c>
      <c r="N15" s="179">
        <f>IF($C15&gt;1000,($C15-1000)*$I$44/100+1000*$I$43/100,$C15*$I$43/100)</f>
        <v>3.7909999999999995</v>
      </c>
      <c r="O15" s="179">
        <f>+$C15*$I$45/100</f>
        <v>0.23599999999999999</v>
      </c>
      <c r="P15" s="179">
        <f>+$C15*$I$46/100</f>
        <v>5.2999999999999999E-2</v>
      </c>
      <c r="Q15" s="179">
        <f>$C15*$I$48/100</f>
        <v>0.13800000000000001</v>
      </c>
      <c r="R15" s="179">
        <f>$C15*$I$47/100</f>
        <v>0.44049999999999995</v>
      </c>
      <c r="S15" s="179">
        <f>$C15*$I$49/100</f>
        <v>0.32899999999999996</v>
      </c>
      <c r="T15" s="179">
        <f>+SUM(M15:S15)*0.025641</f>
        <v>0.82316507427000007</v>
      </c>
      <c r="U15" s="179">
        <f>SUM(M15:T15)</f>
        <v>32.926635074270003</v>
      </c>
      <c r="V15" s="189">
        <f>+U15-L15</f>
        <v>0.35586665777000093</v>
      </c>
      <c r="W15" s="180">
        <f>+V15/L15</f>
        <v>1.092595216727287E-2</v>
      </c>
      <c r="X15" s="198">
        <f>+L15/C15*100</f>
        <v>32.570768416500002</v>
      </c>
      <c r="Y15" s="199">
        <f>+U15/C15*100</f>
        <v>32.926635074270003</v>
      </c>
    </row>
    <row r="16" spans="1:25" x14ac:dyDescent="0.2">
      <c r="A16" s="4">
        <v>4</v>
      </c>
      <c r="B16" s="251"/>
      <c r="C16" s="177"/>
      <c r="D16" s="189"/>
      <c r="E16" s="179"/>
      <c r="F16" s="179"/>
      <c r="G16" s="179"/>
      <c r="H16" s="179"/>
      <c r="I16" s="179"/>
      <c r="J16" s="179"/>
      <c r="K16" s="179"/>
      <c r="L16" s="179"/>
      <c r="M16" s="189"/>
      <c r="N16" s="179"/>
      <c r="O16" s="179"/>
      <c r="P16" s="179"/>
      <c r="Q16" s="179"/>
      <c r="R16" s="179"/>
      <c r="S16" s="179"/>
      <c r="T16" s="179"/>
      <c r="U16" s="179"/>
      <c r="V16" s="189"/>
      <c r="W16" s="180"/>
      <c r="X16" s="198"/>
      <c r="Y16" s="199"/>
    </row>
    <row r="17" spans="1:27" x14ac:dyDescent="0.2">
      <c r="A17" s="4">
        <v>5</v>
      </c>
      <c r="B17" s="251">
        <v>0</v>
      </c>
      <c r="C17" s="177">
        <v>250</v>
      </c>
      <c r="D17" s="189">
        <f>IF(C17&gt;1000,(C17-1000)*$F$41/100+1000*$F$40/100+$F$37,C17*$F$40/100+$F$37)</f>
        <v>35.422499999999999</v>
      </c>
      <c r="E17" s="179">
        <f>IF($C17&gt;1000,($C17-1000)*$F$44/100+1000*$F$43/100,$C17*$F$43/100)</f>
        <v>9.4774999999999991</v>
      </c>
      <c r="F17" s="179">
        <f>+$C17*$F$45/100</f>
        <v>0.59</v>
      </c>
      <c r="G17" s="179">
        <f>+$C17*$F$46/100</f>
        <v>0.13250000000000001</v>
      </c>
      <c r="H17" s="179">
        <f>$C17*$F$48/100</f>
        <v>0.34499999999999997</v>
      </c>
      <c r="I17" s="179">
        <f>$C17*$F$47/100</f>
        <v>1.1012500000000001</v>
      </c>
      <c r="J17" s="179">
        <f>$C17*$F$49/100</f>
        <v>0.82250000000000001</v>
      </c>
      <c r="K17" s="179">
        <f>+SUM(D17:J17)*0.025641</f>
        <v>1.2279795412500001</v>
      </c>
      <c r="L17" s="179">
        <f>SUM(D17:K17)</f>
        <v>49.11922954125</v>
      </c>
      <c r="M17" s="189">
        <f>IF($C17&gt;1000,($C17-1000)*$I$41/100+1000*$I$40/100+$I$37,$C17*$I$40/100+$I$37)</f>
        <v>35.839925000000001</v>
      </c>
      <c r="N17" s="179">
        <f>IF($C17&gt;1000,($C17-1000)*$I$44/100+1000*$I$43/100,$C17*$I$43/100)</f>
        <v>9.4774999999999991</v>
      </c>
      <c r="O17" s="179">
        <f>+$C17*$I$45/100</f>
        <v>0.59</v>
      </c>
      <c r="P17" s="179">
        <f>+$C17*$I$46/100</f>
        <v>0.13250000000000001</v>
      </c>
      <c r="Q17" s="179">
        <f>$C17*$I$48/100</f>
        <v>0.34499999999999997</v>
      </c>
      <c r="R17" s="179">
        <f>$C17*$I$47/100</f>
        <v>1.1012500000000001</v>
      </c>
      <c r="S17" s="179">
        <f>$C17*$I$49/100</f>
        <v>0.82250000000000001</v>
      </c>
      <c r="T17" s="179">
        <f>+SUM(M17:S17)*0.025641</f>
        <v>1.2386827356750001</v>
      </c>
      <c r="U17" s="179">
        <f>SUM(M17:T17)</f>
        <v>49.547357735675</v>
      </c>
      <c r="V17" s="189">
        <f>+U17-L17</f>
        <v>0.42812819442499972</v>
      </c>
      <c r="W17" s="180">
        <f>+V17/L17</f>
        <v>8.7161015843186321E-3</v>
      </c>
      <c r="X17" s="198">
        <f>+L17/C17*100</f>
        <v>19.6476918165</v>
      </c>
      <c r="Y17" s="199">
        <f>+U17/C17*100</f>
        <v>19.818943094270001</v>
      </c>
    </row>
    <row r="18" spans="1:27" x14ac:dyDescent="0.2">
      <c r="A18" s="4">
        <v>6</v>
      </c>
      <c r="B18" s="251"/>
      <c r="C18" s="177"/>
      <c r="D18" s="189"/>
      <c r="E18" s="179"/>
      <c r="F18" s="179"/>
      <c r="G18" s="179"/>
      <c r="H18" s="179"/>
      <c r="I18" s="179"/>
      <c r="J18" s="179"/>
      <c r="K18" s="179"/>
      <c r="L18" s="179"/>
      <c r="M18" s="189"/>
      <c r="N18" s="179"/>
      <c r="O18" s="179"/>
      <c r="P18" s="179"/>
      <c r="Q18" s="179"/>
      <c r="R18" s="179"/>
      <c r="S18" s="179"/>
      <c r="T18" s="179"/>
      <c r="U18" s="179"/>
      <c r="V18" s="189"/>
      <c r="W18" s="180"/>
      <c r="X18" s="198"/>
      <c r="Y18" s="199"/>
    </row>
    <row r="19" spans="1:27" x14ac:dyDescent="0.2">
      <c r="A19" s="4">
        <v>7</v>
      </c>
      <c r="B19" s="251">
        <v>0</v>
      </c>
      <c r="C19" s="177">
        <v>500</v>
      </c>
      <c r="D19" s="189">
        <f>IF(C19&gt;1000,(C19-1000)*$F$41/100+1000*$F$40/100+$F$37,C19*$F$40/100+$F$37)</f>
        <v>49.844999999999999</v>
      </c>
      <c r="E19" s="179">
        <f>IF($C19&gt;1000,($C19-1000)*$F$44/100+1000*$F$43/100,$C19*$F$43/100)</f>
        <v>18.954999999999998</v>
      </c>
      <c r="F19" s="179">
        <f>+$C19*$F$45/100</f>
        <v>1.18</v>
      </c>
      <c r="G19" s="179">
        <f>+$C19*$F$46/100</f>
        <v>0.26500000000000001</v>
      </c>
      <c r="H19" s="179">
        <f>$C19*$F$48/100</f>
        <v>0.69</v>
      </c>
      <c r="I19" s="179">
        <f>$C19*$F$47/100</f>
        <v>2.2025000000000001</v>
      </c>
      <c r="J19" s="179">
        <f>$C19*$F$49/100</f>
        <v>1.645</v>
      </c>
      <c r="K19" s="179">
        <f>+SUM(D19:J19)*0.025641</f>
        <v>1.9174980825000001</v>
      </c>
      <c r="L19" s="179">
        <f>SUM(D19:K19)</f>
        <v>76.699998082500002</v>
      </c>
      <c r="M19" s="189">
        <f>IF($C19&gt;1000,($C19-1000)*$I$41/100+1000*$I$40/100+$I$37,$C19*$I$40/100+$I$37)</f>
        <v>50.379850000000005</v>
      </c>
      <c r="N19" s="179">
        <f>IF($C19&gt;1000,($C19-1000)*$I$44/100+1000*$I$43/100,$C19*$I$43/100)</f>
        <v>18.954999999999998</v>
      </c>
      <c r="O19" s="179">
        <f>+$C19*$I$45/100</f>
        <v>1.18</v>
      </c>
      <c r="P19" s="179">
        <f>+$C19*$I$46/100</f>
        <v>0.26500000000000001</v>
      </c>
      <c r="Q19" s="179">
        <f>$C19*$I$48/100</f>
        <v>0.69</v>
      </c>
      <c r="R19" s="179">
        <f>$C19*$I$47/100</f>
        <v>2.2025000000000001</v>
      </c>
      <c r="S19" s="179">
        <f>$C19*$I$49/100</f>
        <v>1.645</v>
      </c>
      <c r="T19" s="179">
        <f>+SUM(M19:S19)*0.025641</f>
        <v>1.9312121713500001</v>
      </c>
      <c r="U19" s="179">
        <f>SUM(M19:T19)</f>
        <v>77.248562171350002</v>
      </c>
      <c r="V19" s="189">
        <f>+U19-L19</f>
        <v>0.54856408885000008</v>
      </c>
      <c r="W19" s="180">
        <f>+V19/L19</f>
        <v>7.152074348945275E-3</v>
      </c>
      <c r="X19" s="198">
        <f>+L19/C19*100</f>
        <v>15.3399996165</v>
      </c>
      <c r="Y19" s="199">
        <f>+U19/C19*100</f>
        <v>15.449712434269999</v>
      </c>
    </row>
    <row r="20" spans="1:27" x14ac:dyDescent="0.2">
      <c r="A20" s="4">
        <v>8</v>
      </c>
      <c r="B20" s="251"/>
      <c r="C20" s="177"/>
      <c r="D20" s="189"/>
      <c r="E20" s="179"/>
      <c r="F20" s="179"/>
      <c r="G20" s="179"/>
      <c r="H20" s="179"/>
      <c r="I20" s="179"/>
      <c r="J20" s="179"/>
      <c r="K20" s="179"/>
      <c r="L20" s="179"/>
      <c r="M20" s="189"/>
      <c r="N20" s="179"/>
      <c r="O20" s="179"/>
      <c r="P20" s="179"/>
      <c r="Q20" s="179"/>
      <c r="R20" s="179"/>
      <c r="S20" s="179"/>
      <c r="T20" s="179"/>
      <c r="U20" s="179"/>
      <c r="V20" s="189"/>
      <c r="W20" s="180"/>
      <c r="X20" s="198"/>
      <c r="Y20" s="199"/>
    </row>
    <row r="21" spans="1:27" x14ac:dyDescent="0.2">
      <c r="A21" s="4">
        <v>9</v>
      </c>
      <c r="B21" s="251">
        <v>0</v>
      </c>
      <c r="C21" s="177">
        <v>750</v>
      </c>
      <c r="D21" s="189">
        <f>IF(C21&gt;1000,(C21-1000)*$F$41/100+1000*$F$40/100+$F$37,C21*$F$40/100+$F$37)</f>
        <v>64.267499999999998</v>
      </c>
      <c r="E21" s="179">
        <f>IF($C21&gt;1000,($C21-1000)*$F$44/100+1000*$F$43/100,$C21*$F$43/100)</f>
        <v>28.432500000000001</v>
      </c>
      <c r="F21" s="179">
        <f>+$C21*$F$45/100</f>
        <v>1.77</v>
      </c>
      <c r="G21" s="179">
        <f>+$C21*$F$46/100</f>
        <v>0.39750000000000002</v>
      </c>
      <c r="H21" s="179">
        <f>$C21*$F$48/100</f>
        <v>1.0350000000000001</v>
      </c>
      <c r="I21" s="179">
        <f>$C21*$F$47/100</f>
        <v>3.30375</v>
      </c>
      <c r="J21" s="179">
        <f>$C21*$F$49/100</f>
        <v>2.4674999999999998</v>
      </c>
      <c r="K21" s="179">
        <f t="shared" ref="K21:K33" si="0">+SUM(D21:J21)*0.025641</f>
        <v>2.6070166237499999</v>
      </c>
      <c r="L21" s="179">
        <f>SUM(D21:K21)</f>
        <v>104.28076662374998</v>
      </c>
      <c r="M21" s="189">
        <f>IF($C21&gt;1000,($C21-1000)*$I$41/100+1000*$I$40/100+$I$37,$C21*$I$40/100+$I$37)</f>
        <v>64.919775000000001</v>
      </c>
      <c r="N21" s="179">
        <f>IF($C21&gt;1000,($C21-1000)*$I$44/100+1000*$I$43/100,$C21*$I$43/100)</f>
        <v>28.432500000000001</v>
      </c>
      <c r="O21" s="179">
        <f>+$C21*$I$45/100</f>
        <v>1.77</v>
      </c>
      <c r="P21" s="179">
        <f>+$C21*$I$46/100</f>
        <v>0.39750000000000002</v>
      </c>
      <c r="Q21" s="179">
        <f>$C21*$I$48/100</f>
        <v>1.0350000000000001</v>
      </c>
      <c r="R21" s="179">
        <f>$C21*$I$47/100</f>
        <v>3.30375</v>
      </c>
      <c r="S21" s="179">
        <f>$C21*$I$49/100</f>
        <v>2.4674999999999998</v>
      </c>
      <c r="T21" s="179">
        <f>+SUM(M21:S21)*0.025641</f>
        <v>2.6237416070249999</v>
      </c>
      <c r="U21" s="179">
        <f>SUM(M21:T21)</f>
        <v>104.94976660702498</v>
      </c>
      <c r="V21" s="189">
        <f>+U21-L21</f>
        <v>0.66899998327500043</v>
      </c>
      <c r="W21" s="180">
        <f>+V21/L21</f>
        <v>6.4153726994430772E-3</v>
      </c>
      <c r="X21" s="198">
        <f>+L21/C21*100</f>
        <v>13.904102216499997</v>
      </c>
      <c r="Y21" s="199">
        <f>+U21/C21*100</f>
        <v>13.993302214269999</v>
      </c>
    </row>
    <row r="22" spans="1:27" x14ac:dyDescent="0.2">
      <c r="A22" s="4">
        <v>10</v>
      </c>
      <c r="B22" s="251"/>
      <c r="C22" s="177"/>
      <c r="D22" s="189"/>
      <c r="E22" s="179"/>
      <c r="F22" s="179"/>
      <c r="G22" s="179"/>
      <c r="H22" s="179"/>
      <c r="I22" s="179"/>
      <c r="J22" s="179"/>
      <c r="K22" s="179"/>
      <c r="L22" s="179"/>
      <c r="M22" s="189"/>
      <c r="N22" s="179"/>
      <c r="O22" s="179"/>
      <c r="P22" s="179"/>
      <c r="Q22" s="179"/>
      <c r="R22" s="179"/>
      <c r="S22" s="179"/>
      <c r="T22" s="179"/>
      <c r="U22" s="179"/>
      <c r="V22" s="189"/>
      <c r="W22" s="180"/>
      <c r="X22" s="198"/>
      <c r="Y22" s="199"/>
    </row>
    <row r="23" spans="1:27" x14ac:dyDescent="0.2">
      <c r="A23" s="4">
        <v>11</v>
      </c>
      <c r="B23" s="251">
        <v>0</v>
      </c>
      <c r="C23" s="177">
        <v>1000</v>
      </c>
      <c r="D23" s="189">
        <f>IF(C23&gt;1000,(C23-1000)*$F$41/100+1000*$F$40/100+$F$37,C23*$F$40/100+$F$37)</f>
        <v>78.69</v>
      </c>
      <c r="E23" s="179">
        <f>IF($C23&gt;1000,($C23-1000)*$F$44/100+1000*$F$43/100,$C23*$F$43/100)</f>
        <v>37.909999999999997</v>
      </c>
      <c r="F23" s="179">
        <f>+$C23*$F$45/100</f>
        <v>2.36</v>
      </c>
      <c r="G23" s="179">
        <f>+$C23*$F$46/100</f>
        <v>0.53</v>
      </c>
      <c r="H23" s="179">
        <f>$C23*$F$48/100</f>
        <v>1.38</v>
      </c>
      <c r="I23" s="179">
        <f>$C23*$F$47/100</f>
        <v>4.4050000000000002</v>
      </c>
      <c r="J23" s="179">
        <f>$C23*$F$49/100</f>
        <v>3.29</v>
      </c>
      <c r="K23" s="179">
        <f t="shared" si="0"/>
        <v>3.2965351649999999</v>
      </c>
      <c r="L23" s="179">
        <f>SUM(D23:K23)</f>
        <v>131.86153516499999</v>
      </c>
      <c r="M23" s="189">
        <f>IF($C23&gt;1000,($C23-1000)*$I$41/100+1000*$I$40/100+$I$37,$C23*$I$40/100+$I$37)</f>
        <v>79.459699999999998</v>
      </c>
      <c r="N23" s="179">
        <f>IF($C23&gt;1000,($C23-1000)*$I$44/100+1000*$I$43/100,$C23*$I$43/100)</f>
        <v>37.909999999999997</v>
      </c>
      <c r="O23" s="179">
        <f>+$C23*$I$45/100</f>
        <v>2.36</v>
      </c>
      <c r="P23" s="179">
        <f>+$C23*$I$46/100</f>
        <v>0.53</v>
      </c>
      <c r="Q23" s="179">
        <f>$C23*$I$48/100</f>
        <v>1.38</v>
      </c>
      <c r="R23" s="227">
        <f>$C23*$I$47/100</f>
        <v>4.4050000000000002</v>
      </c>
      <c r="S23" s="179">
        <f>$C23*$I$49/100</f>
        <v>3.29</v>
      </c>
      <c r="T23" s="179">
        <f>+SUM(M23:S23)*0.025641</f>
        <v>3.3162710426999999</v>
      </c>
      <c r="U23" s="179">
        <f>SUM(M23:T23)</f>
        <v>132.65097104270001</v>
      </c>
      <c r="V23" s="189">
        <f>+U23-L23</f>
        <v>0.789435877700015</v>
      </c>
      <c r="W23" s="180">
        <f>+V23/L23</f>
        <v>5.9868548983005847E-3</v>
      </c>
      <c r="X23" s="198">
        <f>+L23/C23*100</f>
        <v>13.186153516499999</v>
      </c>
      <c r="Y23" s="199">
        <f>+U23/C23*100</f>
        <v>13.265097104270001</v>
      </c>
      <c r="AA23" s="82"/>
    </row>
    <row r="24" spans="1:27" x14ac:dyDescent="0.2">
      <c r="A24" s="4">
        <v>12</v>
      </c>
      <c r="B24" s="251"/>
      <c r="C24" s="177"/>
      <c r="D24" s="189"/>
      <c r="E24" s="179"/>
      <c r="F24" s="179"/>
      <c r="G24" s="179"/>
      <c r="H24" s="179"/>
      <c r="I24" s="179"/>
      <c r="J24" s="179"/>
      <c r="K24" s="179"/>
      <c r="L24" s="179"/>
      <c r="M24" s="189"/>
      <c r="N24" s="179"/>
      <c r="O24" s="179"/>
      <c r="P24" s="179"/>
      <c r="Q24" s="179"/>
      <c r="R24" s="179"/>
      <c r="S24" s="179"/>
      <c r="T24" s="179"/>
      <c r="U24" s="179"/>
      <c r="V24" s="189"/>
      <c r="W24" s="180"/>
      <c r="X24" s="198"/>
      <c r="Y24" s="199"/>
    </row>
    <row r="25" spans="1:27" x14ac:dyDescent="0.2">
      <c r="A25" s="4">
        <v>13</v>
      </c>
      <c r="B25" s="251">
        <v>0</v>
      </c>
      <c r="C25" s="177">
        <v>1250</v>
      </c>
      <c r="D25" s="189">
        <f>IF(C25&gt;1000,(C25-1000)*$F$41/100+1000*$F$40/100+$F$37,C25*$F$40/100+$F$37)</f>
        <v>95.612499999999997</v>
      </c>
      <c r="E25" s="179">
        <f>IF($C25&gt;1000,($C25-1000)*$F$44/100+1000*$F$43/100,$C25*$F$43/100)</f>
        <v>49.887499999999996</v>
      </c>
      <c r="F25" s="179">
        <f>+$C25*$F$45/100</f>
        <v>2.95</v>
      </c>
      <c r="G25" s="179">
        <f>+$C25*$F$46/100</f>
        <v>0.66249999999999998</v>
      </c>
      <c r="H25" s="179">
        <f>$C25*$F$48/100</f>
        <v>1.7250000000000003</v>
      </c>
      <c r="I25" s="179">
        <f>$C25*$F$47/100</f>
        <v>5.5062499999999996</v>
      </c>
      <c r="J25" s="179">
        <f>$C25*$F$49/100</f>
        <v>4.1124999999999998</v>
      </c>
      <c r="K25" s="179">
        <f t="shared" si="0"/>
        <v>4.1142587062499993</v>
      </c>
      <c r="L25" s="179">
        <f>SUM(D25:K25)</f>
        <v>164.57050870625</v>
      </c>
      <c r="M25" s="189">
        <f>IF($C25&gt;1000,($C25-1000)*$I$41/100+1000*$I$40/100+$I$37,$C25*$I$40/100+$I$37)</f>
        <v>96.519975000000002</v>
      </c>
      <c r="N25" s="179">
        <f>IF($C25&gt;1000,($C25-1000)*$I$44/100+1000*$I$43/100,$C25*$I$43/100)</f>
        <v>49.887499999999996</v>
      </c>
      <c r="O25" s="179">
        <f>+$C25*$I$45/100</f>
        <v>2.95</v>
      </c>
      <c r="P25" s="179">
        <f>+$C25*$I$46/100</f>
        <v>0.66249999999999998</v>
      </c>
      <c r="Q25" s="179">
        <f>$C25*$I$48/100</f>
        <v>1.7250000000000003</v>
      </c>
      <c r="R25" s="179">
        <f>$C25*$I$47/100</f>
        <v>5.5062499999999996</v>
      </c>
      <c r="S25" s="179">
        <f>$C25*$I$49/100</f>
        <v>4.1124999999999998</v>
      </c>
      <c r="T25" s="179">
        <f>+SUM(M25:S25)*0.025641</f>
        <v>4.1375272727249994</v>
      </c>
      <c r="U25" s="179">
        <f>SUM(M25:T25)</f>
        <v>165.501252272725</v>
      </c>
      <c r="V25" s="189">
        <f>+U25-L25</f>
        <v>0.93074356647500167</v>
      </c>
      <c r="W25" s="180">
        <f>+V25/L25</f>
        <v>5.6555914774276579E-3</v>
      </c>
      <c r="X25" s="198">
        <f>+L25/C25*100</f>
        <v>13.165640696500001</v>
      </c>
      <c r="Y25" s="199">
        <f>+U25/C25*100</f>
        <v>13.240100181817999</v>
      </c>
      <c r="AA25" s="82"/>
    </row>
    <row r="26" spans="1:27" x14ac:dyDescent="0.2">
      <c r="A26" s="4">
        <v>14</v>
      </c>
      <c r="B26" s="251"/>
      <c r="C26" s="177"/>
      <c r="D26" s="189"/>
      <c r="E26" s="179"/>
      <c r="F26" s="179"/>
      <c r="G26" s="179"/>
      <c r="H26" s="179"/>
      <c r="I26" s="179"/>
      <c r="J26" s="179"/>
      <c r="K26" s="179"/>
      <c r="L26" s="179"/>
      <c r="M26" s="189"/>
      <c r="N26" s="179"/>
      <c r="O26" s="179"/>
      <c r="P26" s="179"/>
      <c r="Q26" s="179"/>
      <c r="R26" s="179"/>
      <c r="S26" s="179"/>
      <c r="T26" s="179"/>
      <c r="U26" s="179"/>
      <c r="V26" s="189"/>
      <c r="W26" s="180"/>
      <c r="X26" s="198"/>
      <c r="Y26" s="199"/>
    </row>
    <row r="27" spans="1:27" x14ac:dyDescent="0.2">
      <c r="A27" s="4">
        <v>15</v>
      </c>
      <c r="B27" s="251">
        <v>0</v>
      </c>
      <c r="C27" s="177">
        <v>1500</v>
      </c>
      <c r="D27" s="189">
        <f>IF(C27&gt;1000,(C27-1000)*$F$41/100+1000*$F$40/100+$F$37,C27*$F$40/100+$F$37)</f>
        <v>112.535</v>
      </c>
      <c r="E27" s="179">
        <f>IF($C27&gt;1000,($C27-1000)*$F$44/100+1000*$F$43/100,$C27*$F$43/100)</f>
        <v>61.864999999999995</v>
      </c>
      <c r="F27" s="179">
        <f>+$C27*$F$45/100</f>
        <v>3.54</v>
      </c>
      <c r="G27" s="179">
        <f>+$C27*$F$46/100</f>
        <v>0.79500000000000004</v>
      </c>
      <c r="H27" s="179">
        <f>$C27*$F$48/100</f>
        <v>2.0700000000000003</v>
      </c>
      <c r="I27" s="179">
        <f>$C27*$F$47/100</f>
        <v>6.6074999999999999</v>
      </c>
      <c r="J27" s="179">
        <f>$C27*$F$49/100</f>
        <v>4.9349999999999996</v>
      </c>
      <c r="K27" s="179">
        <f t="shared" si="0"/>
        <v>4.9319822474999988</v>
      </c>
      <c r="L27" s="179">
        <f>SUM(D27:K27)</f>
        <v>197.27948224749994</v>
      </c>
      <c r="M27" s="189">
        <f>IF($C27&gt;1000,($C27-1000)*$I$41/100+1000*$I$40/100+$I$37,$C27*$I$40/100+$I$37)</f>
        <v>113.58024999999999</v>
      </c>
      <c r="N27" s="179">
        <f>IF($C27&gt;1000,($C27-1000)*$I$44/100+1000*$I$43/100,$C27*$I$43/100)</f>
        <v>61.864999999999995</v>
      </c>
      <c r="O27" s="179">
        <f>+$C27*$I$45/100</f>
        <v>3.54</v>
      </c>
      <c r="P27" s="179">
        <f>+$C27*$I$46/100</f>
        <v>0.79500000000000004</v>
      </c>
      <c r="Q27" s="179">
        <f>$C27*$I$48/100</f>
        <v>2.0700000000000003</v>
      </c>
      <c r="R27" s="179">
        <f>$C27*$I$47/100</f>
        <v>6.6074999999999999</v>
      </c>
      <c r="S27" s="179">
        <f>$C27*$I$49/100</f>
        <v>4.9349999999999996</v>
      </c>
      <c r="T27" s="179">
        <f>+SUM(M27:S27)*0.025641</f>
        <v>4.9587835027499985</v>
      </c>
      <c r="U27" s="179">
        <f>SUM(M27:T27)</f>
        <v>198.35153350274996</v>
      </c>
      <c r="V27" s="189">
        <f>+U27-L27</f>
        <v>1.0720512552500168</v>
      </c>
      <c r="W27" s="180">
        <f>+V27/L27</f>
        <v>5.4341751257490564E-3</v>
      </c>
      <c r="X27" s="198">
        <f>+L27/C27*100</f>
        <v>13.151965483166665</v>
      </c>
      <c r="Y27" s="199">
        <f>+U27/C27*100</f>
        <v>13.223435566849998</v>
      </c>
    </row>
    <row r="28" spans="1:27" x14ac:dyDescent="0.2">
      <c r="A28" s="4">
        <v>16</v>
      </c>
      <c r="B28" s="251"/>
      <c r="C28" s="177"/>
      <c r="D28" s="189"/>
      <c r="E28" s="179"/>
      <c r="F28" s="179"/>
      <c r="G28" s="179"/>
      <c r="H28" s="179"/>
      <c r="I28" s="179"/>
      <c r="J28" s="179"/>
      <c r="K28" s="179"/>
      <c r="L28" s="179"/>
      <c r="M28" s="189"/>
      <c r="N28" s="179"/>
      <c r="O28" s="179"/>
      <c r="P28" s="179"/>
      <c r="Q28" s="179"/>
      <c r="R28" s="179"/>
      <c r="S28" s="179"/>
      <c r="T28" s="179"/>
      <c r="U28" s="179"/>
      <c r="V28" s="189"/>
      <c r="W28" s="180"/>
      <c r="X28" s="198"/>
      <c r="Y28" s="199"/>
    </row>
    <row r="29" spans="1:27" x14ac:dyDescent="0.2">
      <c r="A29" s="4">
        <v>17</v>
      </c>
      <c r="B29" s="251">
        <v>0</v>
      </c>
      <c r="C29" s="177">
        <v>2000</v>
      </c>
      <c r="D29" s="189">
        <f>IF(C29&gt;1000,(C29-1000)*$F$41/100+1000*$F$40/100+$F$37,C29*$F$40/100+$F$37)</f>
        <v>146.38</v>
      </c>
      <c r="E29" s="179">
        <f>IF($C29&gt;1000,($C29-1000)*$F$44/100+1000*$F$43/100,$C29*$F$43/100)</f>
        <v>85.82</v>
      </c>
      <c r="F29" s="179">
        <f>+$C29*$F$45/100</f>
        <v>4.72</v>
      </c>
      <c r="G29" s="179">
        <f>+$C29*$F$46/100</f>
        <v>1.06</v>
      </c>
      <c r="H29" s="179">
        <f>$C29*$F$48/100</f>
        <v>2.76</v>
      </c>
      <c r="I29" s="179">
        <f>$C29*$F$47/100</f>
        <v>8.81</v>
      </c>
      <c r="J29" s="179">
        <f>$C29*$F$49/100</f>
        <v>6.58</v>
      </c>
      <c r="K29" s="179">
        <f t="shared" si="0"/>
        <v>6.5674293300000004</v>
      </c>
      <c r="L29" s="179">
        <f>SUM(D29:K29)</f>
        <v>262.69742932999998</v>
      </c>
      <c r="M29" s="189">
        <f>IF($C29&gt;1000,($C29-1000)*$I$41/100+1000*$I$40/100+$I$37,$C29*$I$40/100+$I$37)</f>
        <v>147.70080000000002</v>
      </c>
      <c r="N29" s="179">
        <f>IF($C29&gt;1000,($C29-1000)*$I$44/100+1000*$I$43/100,$C29*$I$43/100)</f>
        <v>85.82</v>
      </c>
      <c r="O29" s="179">
        <f>+$C29*$I$45/100</f>
        <v>4.72</v>
      </c>
      <c r="P29" s="179">
        <f>+$C29*$I$46/100</f>
        <v>1.06</v>
      </c>
      <c r="Q29" s="179">
        <f>$C29*$I$48/100</f>
        <v>2.76</v>
      </c>
      <c r="R29" s="179">
        <f>$C29*$I$47/100</f>
        <v>8.81</v>
      </c>
      <c r="S29" s="179">
        <f>$C29*$I$49/100</f>
        <v>6.58</v>
      </c>
      <c r="T29" s="179">
        <f>+SUM(M29:S29)*0.025641</f>
        <v>6.601295962800001</v>
      </c>
      <c r="U29" s="179">
        <f>SUM(M29:T29)</f>
        <v>264.05209596280002</v>
      </c>
      <c r="V29" s="189">
        <f>+U29-L29</f>
        <v>1.354666632800047</v>
      </c>
      <c r="W29" s="180">
        <f>+V29/L29</f>
        <v>5.156756334673978E-3</v>
      </c>
      <c r="X29" s="198">
        <f>+L29/C29*100</f>
        <v>13.134871466499998</v>
      </c>
      <c r="Y29" s="199">
        <f>+U29/C29*100</f>
        <v>13.202604798140003</v>
      </c>
    </row>
    <row r="30" spans="1:27" x14ac:dyDescent="0.2">
      <c r="A30" s="4">
        <v>18</v>
      </c>
      <c r="B30" s="251"/>
      <c r="C30" s="177"/>
      <c r="D30" s="189"/>
      <c r="E30" s="179"/>
      <c r="F30" s="179"/>
      <c r="G30" s="179"/>
      <c r="H30" s="179"/>
      <c r="I30" s="179"/>
      <c r="J30" s="179"/>
      <c r="K30" s="179"/>
      <c r="L30" s="179"/>
      <c r="M30" s="189"/>
      <c r="N30" s="179"/>
      <c r="O30" s="179"/>
      <c r="P30" s="179"/>
      <c r="Q30" s="179"/>
      <c r="R30" s="179"/>
      <c r="S30" s="179"/>
      <c r="T30" s="179"/>
      <c r="U30" s="179"/>
      <c r="V30" s="189"/>
      <c r="W30" s="180"/>
      <c r="X30" s="198"/>
      <c r="Y30" s="199"/>
    </row>
    <row r="31" spans="1:27" x14ac:dyDescent="0.2">
      <c r="A31" s="4">
        <v>19</v>
      </c>
      <c r="B31" s="251">
        <v>0</v>
      </c>
      <c r="C31" s="177">
        <v>3000</v>
      </c>
      <c r="D31" s="189">
        <f>IF(C31&gt;1000,(C31-1000)*$F$41/100+1000*$F$40/100+$F$37,C31*$F$40/100+$F$37)</f>
        <v>214.07</v>
      </c>
      <c r="E31" s="179">
        <f>IF($C31&gt;1000,($C31-1000)*$F$44/100+1000*$F$43/100,$C31*$F$43/100)</f>
        <v>133.72999999999999</v>
      </c>
      <c r="F31" s="179">
        <f>+$C31*$F$45/100</f>
        <v>7.08</v>
      </c>
      <c r="G31" s="179">
        <f>+$C31*$F$46/100</f>
        <v>1.59</v>
      </c>
      <c r="H31" s="179">
        <f>$C31*$F$48/100</f>
        <v>4.1400000000000006</v>
      </c>
      <c r="I31" s="179">
        <f>$C31*$F$47/100</f>
        <v>13.215</v>
      </c>
      <c r="J31" s="179">
        <f>$C31*$F$49/100</f>
        <v>9.8699999999999992</v>
      </c>
      <c r="K31" s="179">
        <f t="shared" si="0"/>
        <v>9.8383234949999974</v>
      </c>
      <c r="L31" s="179">
        <f>SUM(D31:K31)</f>
        <v>393.53332349499988</v>
      </c>
      <c r="M31" s="189">
        <f>IF($C31&gt;1000,($C31-1000)*$I$41/100+1000*$I$40/100+$I$37,$C31*$I$40/100+$I$37)</f>
        <v>215.94190000000003</v>
      </c>
      <c r="N31" s="179">
        <f>IF($C31&gt;1000,($C31-1000)*$I$44/100+1000*$I$43/100,$C31*$I$43/100)</f>
        <v>133.72999999999999</v>
      </c>
      <c r="O31" s="179">
        <f>+$C31*$I$45/100</f>
        <v>7.08</v>
      </c>
      <c r="P31" s="179">
        <f>+$C31*$I$46/100</f>
        <v>1.59</v>
      </c>
      <c r="Q31" s="179">
        <f>$C31*$I$48/100</f>
        <v>4.1400000000000006</v>
      </c>
      <c r="R31" s="179">
        <f>$C31*$I$47/100</f>
        <v>13.215</v>
      </c>
      <c r="S31" s="179">
        <f>$C31*$I$49/100</f>
        <v>9.8699999999999992</v>
      </c>
      <c r="T31" s="179">
        <f>+SUM(M31:S31)*0.025641</f>
        <v>9.8863208828999998</v>
      </c>
      <c r="U31" s="179">
        <f>SUM(M31:T31)</f>
        <v>395.45322088289998</v>
      </c>
      <c r="V31" s="189">
        <f>+U31-L31</f>
        <v>1.9198973879001073</v>
      </c>
      <c r="W31" s="180">
        <f>+V31/L31</f>
        <v>4.8786145245575396E-3</v>
      </c>
      <c r="X31" s="198">
        <f>+L31/C31*100</f>
        <v>13.117777449833328</v>
      </c>
      <c r="Y31" s="199">
        <f>+U31/C31*100</f>
        <v>13.181774029429999</v>
      </c>
    </row>
    <row r="32" spans="1:27" x14ac:dyDescent="0.2">
      <c r="A32" s="4">
        <v>20</v>
      </c>
      <c r="B32" s="251"/>
      <c r="C32" s="177"/>
      <c r="D32" s="189"/>
      <c r="E32" s="179"/>
      <c r="F32" s="179"/>
      <c r="G32" s="179"/>
      <c r="H32" s="179"/>
      <c r="I32" s="179"/>
      <c r="J32" s="179"/>
      <c r="K32" s="179"/>
      <c r="L32" s="179"/>
      <c r="M32" s="189"/>
      <c r="N32" s="179"/>
      <c r="O32" s="179"/>
      <c r="P32" s="179"/>
      <c r="Q32" s="179"/>
      <c r="R32" s="179"/>
      <c r="S32" s="179"/>
      <c r="T32" s="179"/>
      <c r="U32" s="179"/>
      <c r="V32" s="189"/>
      <c r="W32" s="180"/>
      <c r="X32" s="198"/>
      <c r="Y32" s="199"/>
    </row>
    <row r="33" spans="1:25" x14ac:dyDescent="0.2">
      <c r="A33" s="4">
        <v>21</v>
      </c>
      <c r="B33" s="251">
        <v>0</v>
      </c>
      <c r="C33" s="177">
        <v>5000</v>
      </c>
      <c r="D33" s="189">
        <f>IF(C33&gt;1000,(C33-1000)*$F$41/100+1000*$F$40/100+$F$37,C33*$F$40/100+$F$37)</f>
        <v>349.45</v>
      </c>
      <c r="E33" s="179">
        <f>IF($C33&gt;1000,($C33-1000)*$F$44/100+1000*$F$43/100,$C33*$F$43/100)</f>
        <v>229.54999999999998</v>
      </c>
      <c r="F33" s="179">
        <f>+$C33*$F$45/100</f>
        <v>11.8</v>
      </c>
      <c r="G33" s="179">
        <f>+$C33*$F$46/100</f>
        <v>2.65</v>
      </c>
      <c r="H33" s="179">
        <f>$C33*$F$48/100</f>
        <v>6.9000000000000012</v>
      </c>
      <c r="I33" s="179">
        <f>$C33*$F$47/100</f>
        <v>22.024999999999999</v>
      </c>
      <c r="J33" s="179">
        <f>$C33*$F$49/100</f>
        <v>16.45</v>
      </c>
      <c r="K33" s="179">
        <f t="shared" si="0"/>
        <v>16.380111825</v>
      </c>
      <c r="L33" s="179">
        <f>SUM(D33:K33)</f>
        <v>655.2051118249999</v>
      </c>
      <c r="M33" s="189">
        <f>IF($C33&gt;1000,($C33-1000)*$I$41/100+1000*$I$40/100+$I$37,$C33*$I$40/100+$I$37)</f>
        <v>352.42410000000001</v>
      </c>
      <c r="N33" s="179">
        <f>IF($C33&gt;1000,($C33-1000)*$I$44/100+1000*$I$43/100,$C33*$I$43/100)</f>
        <v>229.54999999999998</v>
      </c>
      <c r="O33" s="179">
        <f>+$C33*$I$45/100</f>
        <v>11.8</v>
      </c>
      <c r="P33" s="179">
        <f>+$C33*$I$46/100</f>
        <v>2.65</v>
      </c>
      <c r="Q33" s="179">
        <f>$C33*$I$48/100</f>
        <v>6.9000000000000012</v>
      </c>
      <c r="R33" s="179">
        <f>$C33*$I$47/100</f>
        <v>22.024999999999999</v>
      </c>
      <c r="S33" s="179">
        <f>$C33*$I$49/100</f>
        <v>16.45</v>
      </c>
      <c r="T33" s="179">
        <f>+SUM(M33:S33)*0.025641</f>
        <v>16.456370723100001</v>
      </c>
      <c r="U33" s="179">
        <f>SUM(M33:T33)</f>
        <v>658.25547072309996</v>
      </c>
      <c r="V33" s="189">
        <f>+U33-L33</f>
        <v>3.0503588981000576</v>
      </c>
      <c r="W33" s="180">
        <f>+V33/L33</f>
        <v>4.655578601338483E-3</v>
      </c>
      <c r="X33" s="198">
        <f>+L33/C33*100</f>
        <v>13.104102236499998</v>
      </c>
      <c r="Y33" s="199">
        <f>+U33/C33*100</f>
        <v>13.165109414461998</v>
      </c>
    </row>
    <row r="34" spans="1:25" x14ac:dyDescent="0.2">
      <c r="A34" s="4">
        <v>22</v>
      </c>
      <c r="B34" s="251"/>
      <c r="C34" s="177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80"/>
      <c r="W34" s="199"/>
      <c r="X34" s="199"/>
    </row>
    <row r="35" spans="1:25" x14ac:dyDescent="0.2">
      <c r="A35" s="4">
        <v>23</v>
      </c>
      <c r="B35" s="251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</row>
    <row r="36" spans="1:25" x14ac:dyDescent="0.2">
      <c r="A36" s="4">
        <v>24</v>
      </c>
      <c r="B36" s="251"/>
      <c r="C36" s="145"/>
      <c r="D36" s="145"/>
      <c r="E36" s="145"/>
      <c r="F36" s="293" t="s">
        <v>166</v>
      </c>
      <c r="G36" s="293"/>
      <c r="I36" s="293" t="s">
        <v>369</v>
      </c>
      <c r="J36" s="293"/>
      <c r="M36" s="1"/>
      <c r="O36" s="177"/>
      <c r="P36" s="177"/>
      <c r="Q36" s="177"/>
      <c r="R36" s="177"/>
      <c r="S36" s="177"/>
      <c r="T36" s="177"/>
      <c r="U36" s="177"/>
      <c r="V36" s="177"/>
      <c r="W36" s="177"/>
      <c r="X36" s="177"/>
    </row>
    <row r="37" spans="1:25" x14ac:dyDescent="0.2">
      <c r="A37" s="4">
        <v>25</v>
      </c>
      <c r="B37" s="251"/>
      <c r="C37" s="7" t="s">
        <v>657</v>
      </c>
      <c r="D37" s="145"/>
      <c r="E37" s="145"/>
      <c r="F37" s="27">
        <f>+ROUND('E-13c'!G72*30,2)</f>
        <v>21</v>
      </c>
      <c r="G37" s="7" t="s">
        <v>56</v>
      </c>
      <c r="H37" s="145"/>
      <c r="I37" s="27">
        <f>+ROUND(ROUND('E-13c'!N72,2)*30,2)</f>
        <v>21.3</v>
      </c>
      <c r="J37" s="7" t="s">
        <v>56</v>
      </c>
      <c r="L37" s="86"/>
      <c r="O37" s="177"/>
      <c r="P37" s="177"/>
      <c r="Q37" s="177"/>
      <c r="R37" s="177"/>
      <c r="S37" s="177"/>
      <c r="T37" s="177"/>
      <c r="U37" s="177"/>
      <c r="V37" s="177"/>
      <c r="W37" s="177"/>
      <c r="X37" s="177"/>
    </row>
    <row r="38" spans="1:25" x14ac:dyDescent="0.2">
      <c r="A38" s="4">
        <v>26</v>
      </c>
      <c r="B38" s="251"/>
      <c r="C38" s="7" t="s">
        <v>139</v>
      </c>
      <c r="D38" s="145"/>
      <c r="E38" s="145"/>
      <c r="F38" s="27">
        <v>0</v>
      </c>
      <c r="G38" s="7" t="s">
        <v>170</v>
      </c>
      <c r="H38" s="145"/>
      <c r="I38" s="200">
        <v>0</v>
      </c>
      <c r="J38" s="7" t="s">
        <v>170</v>
      </c>
      <c r="O38" s="177"/>
      <c r="P38" s="177"/>
      <c r="Q38" s="177"/>
      <c r="R38" s="193"/>
      <c r="S38" s="191"/>
      <c r="T38" s="177"/>
      <c r="U38" s="177"/>
      <c r="V38" s="177"/>
      <c r="W38" s="177"/>
      <c r="X38" s="177"/>
    </row>
    <row r="39" spans="1:25" x14ac:dyDescent="0.2">
      <c r="A39" s="4">
        <v>27</v>
      </c>
      <c r="B39" s="251"/>
      <c r="C39" s="7" t="s">
        <v>140</v>
      </c>
      <c r="D39" s="145"/>
      <c r="E39" s="145"/>
      <c r="F39" s="27"/>
      <c r="H39" s="145"/>
      <c r="I39" s="28"/>
      <c r="O39" s="177"/>
      <c r="P39" s="177"/>
      <c r="Q39" s="177"/>
      <c r="R39" s="177"/>
      <c r="S39" s="177"/>
      <c r="T39" s="177"/>
      <c r="U39" s="177"/>
      <c r="V39" s="177"/>
      <c r="W39" s="177"/>
      <c r="X39" s="177"/>
    </row>
    <row r="40" spans="1:25" x14ac:dyDescent="0.2">
      <c r="A40" s="4">
        <v>28</v>
      </c>
      <c r="B40" s="251"/>
      <c r="C40" s="30" t="s">
        <v>242</v>
      </c>
      <c r="F40" s="28">
        <f>+ROUND('E-13c'!G80,4)/10</f>
        <v>5.7690000000000001</v>
      </c>
      <c r="G40" s="7" t="s">
        <v>246</v>
      </c>
      <c r="I40" s="29">
        <f>+ROUND('E-13c'!N80,4)/10</f>
        <v>5.8159700000000001</v>
      </c>
      <c r="J40" s="7" t="s">
        <v>246</v>
      </c>
      <c r="O40" s="152"/>
      <c r="P40" s="177"/>
      <c r="Q40" s="177"/>
      <c r="R40" s="177"/>
      <c r="S40" s="177"/>
      <c r="T40" s="178"/>
      <c r="U40" s="177"/>
      <c r="V40" s="177"/>
      <c r="W40" s="177"/>
      <c r="X40" s="177"/>
    </row>
    <row r="41" spans="1:25" x14ac:dyDescent="0.2">
      <c r="A41" s="4">
        <v>29</v>
      </c>
      <c r="B41" s="251"/>
      <c r="C41" s="30" t="s">
        <v>243</v>
      </c>
      <c r="F41" s="28">
        <f>+ROUND('E-13c'!G81,4)/10</f>
        <v>6.7690000000000001</v>
      </c>
      <c r="G41" s="7" t="s">
        <v>246</v>
      </c>
      <c r="I41" s="29">
        <f>+ROUND('E-13c'!N81,4)/10</f>
        <v>6.8241100000000001</v>
      </c>
      <c r="J41" s="7" t="s">
        <v>246</v>
      </c>
      <c r="O41" s="152"/>
      <c r="P41" s="177"/>
      <c r="Q41" s="177"/>
      <c r="R41" s="177"/>
      <c r="S41" s="177"/>
      <c r="T41" s="177"/>
      <c r="U41" s="177"/>
      <c r="V41" s="177"/>
      <c r="W41" s="177"/>
      <c r="X41" s="177"/>
    </row>
    <row r="42" spans="1:25" x14ac:dyDescent="0.2">
      <c r="A42" s="4">
        <v>30</v>
      </c>
      <c r="B42" s="251"/>
      <c r="C42" s="7" t="s">
        <v>124</v>
      </c>
      <c r="D42" s="145"/>
      <c r="E42" s="145"/>
      <c r="F42" s="28"/>
      <c r="G42" s="7"/>
      <c r="H42" s="145"/>
      <c r="I42" s="145"/>
      <c r="J42" s="7"/>
      <c r="O42" s="177"/>
      <c r="P42" s="177"/>
      <c r="Q42" s="177"/>
      <c r="R42" s="177"/>
      <c r="S42" s="177"/>
      <c r="T42" s="177"/>
      <c r="U42" s="177"/>
      <c r="V42" s="177"/>
      <c r="W42" s="177"/>
      <c r="X42" s="177"/>
    </row>
    <row r="43" spans="1:25" x14ac:dyDescent="0.2">
      <c r="A43" s="4">
        <v>31</v>
      </c>
      <c r="B43" s="251"/>
      <c r="C43" s="30" t="s">
        <v>242</v>
      </c>
      <c r="F43" s="28">
        <v>3.7909999999999999</v>
      </c>
      <c r="G43" s="7" t="s">
        <v>246</v>
      </c>
      <c r="H43" s="145"/>
      <c r="I43" s="28">
        <f t="shared" ref="I43:I49" si="1">+F43</f>
        <v>3.7909999999999999</v>
      </c>
      <c r="J43" s="7" t="s">
        <v>246</v>
      </c>
      <c r="O43" s="177"/>
      <c r="P43" s="177"/>
      <c r="Q43" s="177"/>
      <c r="R43" s="177"/>
      <c r="S43" s="177"/>
      <c r="T43" s="177"/>
      <c r="U43" s="177"/>
      <c r="V43" s="177"/>
      <c r="W43" s="177"/>
      <c r="X43" s="177"/>
    </row>
    <row r="44" spans="1:25" x14ac:dyDescent="0.2">
      <c r="A44" s="4">
        <v>32</v>
      </c>
      <c r="B44" s="251"/>
      <c r="C44" s="30" t="s">
        <v>243</v>
      </c>
      <c r="F44" s="28">
        <v>4.7910000000000004</v>
      </c>
      <c r="G44" s="7" t="s">
        <v>246</v>
      </c>
      <c r="H44" s="145"/>
      <c r="I44" s="28">
        <f t="shared" si="1"/>
        <v>4.7910000000000004</v>
      </c>
      <c r="J44" s="7" t="s">
        <v>246</v>
      </c>
      <c r="O44" s="177"/>
      <c r="P44" s="177"/>
      <c r="Q44" s="177"/>
      <c r="R44" s="177"/>
      <c r="S44" s="177"/>
      <c r="T44" s="177"/>
      <c r="U44" s="177"/>
      <c r="V44" s="177"/>
      <c r="W44" s="177"/>
      <c r="X44" s="177"/>
    </row>
    <row r="45" spans="1:25" x14ac:dyDescent="0.2">
      <c r="A45" s="4">
        <v>33</v>
      </c>
      <c r="B45" s="251"/>
      <c r="C45" s="7" t="s">
        <v>172</v>
      </c>
      <c r="D45" s="145"/>
      <c r="E45" s="145"/>
      <c r="F45" s="28">
        <v>0.23599999999999999</v>
      </c>
      <c r="G45" s="7" t="s">
        <v>246</v>
      </c>
      <c r="H45" s="145"/>
      <c r="I45" s="28">
        <f t="shared" si="1"/>
        <v>0.23599999999999999</v>
      </c>
      <c r="J45" s="7" t="s">
        <v>246</v>
      </c>
      <c r="O45" s="177"/>
      <c r="P45" s="177"/>
      <c r="Q45" s="177"/>
      <c r="R45" s="177"/>
      <c r="S45" s="177"/>
      <c r="T45" s="177"/>
      <c r="U45" s="177"/>
      <c r="V45" s="177"/>
      <c r="W45" s="177"/>
      <c r="X45" s="177"/>
    </row>
    <row r="46" spans="1:25" x14ac:dyDescent="0.2">
      <c r="A46" s="4">
        <v>34</v>
      </c>
      <c r="B46" s="251"/>
      <c r="C46" s="7" t="s">
        <v>173</v>
      </c>
      <c r="D46" s="145"/>
      <c r="E46" s="145"/>
      <c r="F46" s="28">
        <v>5.2999999999999999E-2</v>
      </c>
      <c r="G46" s="7" t="s">
        <v>246</v>
      </c>
      <c r="I46" s="28">
        <f t="shared" si="1"/>
        <v>5.2999999999999999E-2</v>
      </c>
      <c r="J46" s="7" t="s">
        <v>246</v>
      </c>
      <c r="O46" s="177"/>
      <c r="P46" s="177"/>
      <c r="Q46" s="177"/>
      <c r="R46" s="177"/>
      <c r="S46" s="177"/>
      <c r="T46" s="177"/>
      <c r="U46" s="177"/>
      <c r="V46" s="177"/>
      <c r="W46" s="177"/>
      <c r="X46" s="177"/>
    </row>
    <row r="47" spans="1:25" x14ac:dyDescent="0.2">
      <c r="A47" s="4">
        <v>35</v>
      </c>
      <c r="B47" s="251"/>
      <c r="C47" s="7" t="s">
        <v>667</v>
      </c>
      <c r="D47" s="145"/>
      <c r="E47" s="145"/>
      <c r="F47" s="28">
        <v>0.4405</v>
      </c>
      <c r="G47" s="7" t="s">
        <v>246</v>
      </c>
      <c r="I47" s="28">
        <f t="shared" si="1"/>
        <v>0.4405</v>
      </c>
      <c r="J47" s="7" t="s">
        <v>246</v>
      </c>
      <c r="O47" s="177"/>
      <c r="P47" s="177"/>
      <c r="Q47" s="177"/>
      <c r="R47" s="177"/>
      <c r="S47" s="177"/>
      <c r="T47" s="177"/>
      <c r="U47" s="177"/>
      <c r="V47" s="177"/>
      <c r="W47" s="177"/>
      <c r="X47" s="177"/>
    </row>
    <row r="48" spans="1:25" x14ac:dyDescent="0.2">
      <c r="A48" s="4">
        <v>36</v>
      </c>
      <c r="B48" s="9"/>
      <c r="C48" s="7" t="s">
        <v>174</v>
      </c>
      <c r="D48" s="145"/>
      <c r="E48" s="145"/>
      <c r="F48" s="28">
        <v>0.13800000000000001</v>
      </c>
      <c r="G48" s="7" t="s">
        <v>246</v>
      </c>
      <c r="H48" s="6"/>
      <c r="I48" s="28">
        <f t="shared" si="1"/>
        <v>0.13800000000000001</v>
      </c>
      <c r="J48" s="7" t="s">
        <v>246</v>
      </c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5" x14ac:dyDescent="0.2">
      <c r="A49" s="4">
        <v>37</v>
      </c>
      <c r="B49" s="9"/>
      <c r="C49" s="7" t="s">
        <v>527</v>
      </c>
      <c r="F49" s="28">
        <v>0.32900000000000001</v>
      </c>
      <c r="G49" s="7" t="s">
        <v>246</v>
      </c>
      <c r="H49" s="6"/>
      <c r="I49" s="28">
        <f t="shared" si="1"/>
        <v>0.32900000000000001</v>
      </c>
      <c r="J49" s="7" t="s">
        <v>246</v>
      </c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5" x14ac:dyDescent="0.2">
      <c r="A50" s="4">
        <v>38</v>
      </c>
      <c r="B50" s="9"/>
      <c r="C50" s="177"/>
      <c r="E50" s="9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5" x14ac:dyDescent="0.2">
      <c r="A51" s="4">
        <v>39</v>
      </c>
      <c r="B51" s="9"/>
      <c r="C51" s="177" t="s">
        <v>756</v>
      </c>
      <c r="E51" s="9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5" ht="13.5" thickBot="1" x14ac:dyDescent="0.25">
      <c r="A52" s="4">
        <v>42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81"/>
    </row>
    <row r="53" spans="1:25" x14ac:dyDescent="0.2">
      <c r="A53" s="9"/>
      <c r="B53" s="4"/>
      <c r="C53" s="4"/>
      <c r="D53" s="4"/>
      <c r="E53" s="4"/>
      <c r="F53" s="4"/>
      <c r="G53" s="4"/>
      <c r="H53" s="4"/>
      <c r="I53" s="4"/>
      <c r="J53" s="292" t="s">
        <v>768</v>
      </c>
      <c r="K53" s="292"/>
      <c r="L53" s="292"/>
      <c r="M53" s="292"/>
      <c r="N53" s="292"/>
      <c r="O53" s="292"/>
      <c r="P53" s="4"/>
      <c r="Q53" s="4"/>
      <c r="R53" s="4"/>
      <c r="S53" s="4"/>
      <c r="T53" s="4"/>
      <c r="U53" s="4"/>
      <c r="V53" s="4"/>
      <c r="W53" s="4"/>
      <c r="X53" s="4"/>
    </row>
    <row r="54" spans="1:25" ht="13.5" thickBot="1" x14ac:dyDescent="0.25">
      <c r="A54" s="16" t="s">
        <v>143</v>
      </c>
      <c r="B54" s="16"/>
      <c r="C54" s="16"/>
      <c r="D54" s="16"/>
      <c r="E54" s="16"/>
      <c r="F54" s="16"/>
      <c r="G54" s="16"/>
      <c r="H54" s="16"/>
      <c r="I54" s="16"/>
      <c r="J54" s="16" t="s">
        <v>144</v>
      </c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 t="s">
        <v>603</v>
      </c>
      <c r="Y54" s="81"/>
    </row>
    <row r="55" spans="1:25" x14ac:dyDescent="0.2">
      <c r="A55" s="4" t="s">
        <v>21</v>
      </c>
      <c r="B55" s="4"/>
      <c r="C55" s="4"/>
      <c r="D55" s="4"/>
      <c r="E55" s="4"/>
      <c r="F55" s="4"/>
      <c r="G55" s="4"/>
      <c r="I55" s="4" t="s">
        <v>760</v>
      </c>
      <c r="J55" s="4"/>
      <c r="K55" s="4" t="s">
        <v>145</v>
      </c>
      <c r="L55" s="56"/>
      <c r="M55" s="56"/>
      <c r="N55" s="4"/>
      <c r="O55" s="56"/>
      <c r="P55" s="56"/>
      <c r="Q55" s="56"/>
      <c r="R55" s="56"/>
      <c r="S55" s="56"/>
      <c r="T55" s="56"/>
      <c r="U55" s="56" t="s">
        <v>30</v>
      </c>
      <c r="V55" s="4"/>
      <c r="W55" s="4"/>
      <c r="X55" s="20"/>
    </row>
    <row r="56" spans="1:2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21"/>
      <c r="M56" s="22"/>
      <c r="N56" s="4"/>
      <c r="O56" s="4"/>
      <c r="P56" s="4"/>
      <c r="Q56" s="4"/>
      <c r="R56" s="4"/>
      <c r="S56" s="4"/>
      <c r="T56" s="21"/>
      <c r="U56" s="21"/>
      <c r="V56" s="22" t="s">
        <v>754</v>
      </c>
      <c r="W56" s="4"/>
      <c r="X56" s="70"/>
    </row>
    <row r="57" spans="1:25" x14ac:dyDescent="0.2">
      <c r="A57" s="4" t="s">
        <v>29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21"/>
      <c r="M57" s="22"/>
      <c r="N57" s="21"/>
      <c r="O57" s="4"/>
      <c r="P57" s="4"/>
      <c r="Q57" s="4"/>
      <c r="R57" s="4"/>
      <c r="S57" s="4"/>
      <c r="T57" s="4"/>
      <c r="U57" s="22"/>
      <c r="V57" s="22" t="s">
        <v>755</v>
      </c>
      <c r="W57" s="4"/>
      <c r="X57" s="70"/>
    </row>
    <row r="58" spans="1:25" x14ac:dyDescent="0.2">
      <c r="A58" s="4"/>
      <c r="B58" s="4"/>
      <c r="C58" s="4"/>
      <c r="D58" s="4"/>
      <c r="E58" s="4"/>
      <c r="F58" s="4"/>
      <c r="H58" s="283"/>
      <c r="I58" s="283"/>
      <c r="J58" s="296" t="s">
        <v>386</v>
      </c>
      <c r="K58" s="296"/>
      <c r="L58" s="296"/>
      <c r="M58" s="296"/>
      <c r="N58" s="296"/>
      <c r="O58" s="296"/>
      <c r="P58" s="283"/>
      <c r="Q58" s="4"/>
      <c r="R58" s="4"/>
      <c r="S58" s="4"/>
      <c r="T58" s="4"/>
      <c r="U58" s="21"/>
      <c r="V58" s="22"/>
      <c r="W58" s="4"/>
      <c r="X58" s="70"/>
    </row>
    <row r="59" spans="1:25" ht="13.5" thickBo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51"/>
      <c r="M59" s="16"/>
      <c r="N59" s="16"/>
      <c r="O59" s="16"/>
      <c r="P59" s="16"/>
      <c r="Q59" s="16"/>
      <c r="R59" s="16"/>
      <c r="S59" s="16"/>
      <c r="T59" s="16"/>
      <c r="U59" s="16"/>
      <c r="V59" s="16" t="s">
        <v>738</v>
      </c>
      <c r="W59" s="16"/>
      <c r="X59" s="16"/>
      <c r="Y59" s="81"/>
    </row>
    <row r="60" spans="1:25" x14ac:dyDescent="0.2">
      <c r="A60" s="4"/>
      <c r="B60" s="297" t="s">
        <v>235</v>
      </c>
      <c r="C60" s="297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1:25" x14ac:dyDescent="0.2">
      <c r="A61" s="4"/>
      <c r="B61" s="298" t="s">
        <v>33</v>
      </c>
      <c r="C61" s="298"/>
      <c r="D61" s="294" t="s">
        <v>263</v>
      </c>
      <c r="E61" s="294"/>
      <c r="F61" s="294"/>
      <c r="G61" s="294"/>
      <c r="H61" s="294"/>
      <c r="I61" s="294"/>
      <c r="J61" s="294"/>
      <c r="K61" s="294"/>
      <c r="L61" s="294"/>
      <c r="M61" s="294" t="s">
        <v>368</v>
      </c>
      <c r="N61" s="294"/>
      <c r="O61" s="294"/>
      <c r="P61" s="294"/>
      <c r="Q61" s="294"/>
      <c r="R61" s="294"/>
      <c r="S61" s="294"/>
      <c r="T61" s="294"/>
      <c r="U61" s="294"/>
      <c r="V61" s="299" t="s">
        <v>234</v>
      </c>
      <c r="W61" s="299"/>
      <c r="X61" s="299" t="s">
        <v>146</v>
      </c>
      <c r="Y61" s="299"/>
    </row>
    <row r="62" spans="1:25" x14ac:dyDescent="0.2">
      <c r="A62" s="4"/>
      <c r="B62" s="148" t="s">
        <v>22</v>
      </c>
      <c r="C62" s="13" t="s">
        <v>23</v>
      </c>
      <c r="D62" s="23" t="s">
        <v>24</v>
      </c>
      <c r="E62" s="13" t="s">
        <v>25</v>
      </c>
      <c r="F62" s="13" t="s">
        <v>18</v>
      </c>
      <c r="G62" s="14" t="s">
        <v>19</v>
      </c>
      <c r="H62" s="14" t="s">
        <v>147</v>
      </c>
      <c r="I62" s="14" t="s">
        <v>148</v>
      </c>
      <c r="J62" s="14" t="s">
        <v>149</v>
      </c>
      <c r="K62" s="14" t="s">
        <v>150</v>
      </c>
      <c r="L62" s="2" t="s">
        <v>151</v>
      </c>
      <c r="M62" s="14" t="s">
        <v>152</v>
      </c>
      <c r="N62" s="14" t="s">
        <v>153</v>
      </c>
      <c r="O62" s="14" t="s">
        <v>154</v>
      </c>
      <c r="P62" s="14" t="s">
        <v>155</v>
      </c>
      <c r="Q62" s="14" t="s">
        <v>156</v>
      </c>
      <c r="R62" s="14" t="s">
        <v>157</v>
      </c>
      <c r="S62" s="14" t="s">
        <v>158</v>
      </c>
      <c r="T62" s="14" t="s">
        <v>180</v>
      </c>
      <c r="U62" s="2" t="s">
        <v>74</v>
      </c>
      <c r="V62" s="14" t="s">
        <v>248</v>
      </c>
      <c r="W62" s="2" t="s">
        <v>264</v>
      </c>
      <c r="X62" s="10" t="s">
        <v>531</v>
      </c>
      <c r="Y62" s="10" t="s">
        <v>614</v>
      </c>
    </row>
    <row r="63" spans="1:25" x14ac:dyDescent="0.2">
      <c r="A63" s="4" t="s">
        <v>26</v>
      </c>
      <c r="B63" s="149" t="s">
        <v>159</v>
      </c>
      <c r="C63" s="145"/>
      <c r="D63" s="24" t="s">
        <v>160</v>
      </c>
      <c r="E63" s="145" t="s">
        <v>161</v>
      </c>
      <c r="F63" s="145" t="s">
        <v>162</v>
      </c>
      <c r="G63" s="3" t="s">
        <v>163</v>
      </c>
      <c r="H63" s="145" t="s">
        <v>175</v>
      </c>
      <c r="I63" s="145" t="s">
        <v>665</v>
      </c>
      <c r="J63" s="145" t="s">
        <v>526</v>
      </c>
      <c r="K63" s="145" t="s">
        <v>179</v>
      </c>
      <c r="L63" s="25" t="s">
        <v>35</v>
      </c>
      <c r="M63" s="13" t="s">
        <v>160</v>
      </c>
      <c r="N63" s="13" t="s">
        <v>161</v>
      </c>
      <c r="O63" s="3" t="s">
        <v>162</v>
      </c>
      <c r="P63" s="3" t="s">
        <v>163</v>
      </c>
      <c r="Q63" s="145" t="s">
        <v>175</v>
      </c>
      <c r="R63" s="145" t="s">
        <v>665</v>
      </c>
      <c r="S63" s="145" t="s">
        <v>526</v>
      </c>
      <c r="T63" s="145" t="s">
        <v>179</v>
      </c>
      <c r="U63" s="25" t="s">
        <v>35</v>
      </c>
      <c r="V63" s="3" t="s">
        <v>164</v>
      </c>
      <c r="W63" s="25" t="s">
        <v>165</v>
      </c>
      <c r="X63" s="148" t="s">
        <v>166</v>
      </c>
      <c r="Y63" s="148" t="s">
        <v>138</v>
      </c>
    </row>
    <row r="64" spans="1:25" ht="13.5" thickBot="1" x14ac:dyDescent="0.25">
      <c r="A64" s="16" t="s">
        <v>28</v>
      </c>
      <c r="B64" s="250" t="s">
        <v>167</v>
      </c>
      <c r="C64" s="194" t="s">
        <v>168</v>
      </c>
      <c r="D64" s="195" t="s">
        <v>137</v>
      </c>
      <c r="E64" s="194" t="s">
        <v>169</v>
      </c>
      <c r="F64" s="194" t="s">
        <v>169</v>
      </c>
      <c r="G64" s="17" t="s">
        <v>169</v>
      </c>
      <c r="H64" s="194" t="s">
        <v>169</v>
      </c>
      <c r="I64" s="194" t="s">
        <v>666</v>
      </c>
      <c r="J64" s="194" t="s">
        <v>169</v>
      </c>
      <c r="K64" s="194" t="s">
        <v>169</v>
      </c>
      <c r="L64" s="196"/>
      <c r="M64" s="17" t="s">
        <v>137</v>
      </c>
      <c r="N64" s="17" t="s">
        <v>169</v>
      </c>
      <c r="O64" s="17" t="s">
        <v>169</v>
      </c>
      <c r="P64" s="17" t="s">
        <v>169</v>
      </c>
      <c r="Q64" s="194" t="s">
        <v>169</v>
      </c>
      <c r="R64" s="194" t="s">
        <v>666</v>
      </c>
      <c r="S64" s="194" t="s">
        <v>169</v>
      </c>
      <c r="T64" s="194" t="s">
        <v>169</v>
      </c>
      <c r="U64" s="196"/>
      <c r="V64" s="194" t="s">
        <v>740</v>
      </c>
      <c r="W64" s="196" t="s">
        <v>741</v>
      </c>
      <c r="X64" s="151" t="s">
        <v>742</v>
      </c>
      <c r="Y64" s="151" t="s">
        <v>743</v>
      </c>
    </row>
    <row r="65" spans="1:25" x14ac:dyDescent="0.2">
      <c r="A65" s="4">
        <v>1</v>
      </c>
      <c r="B65" s="251">
        <v>0</v>
      </c>
      <c r="C65" s="177">
        <v>0</v>
      </c>
      <c r="D65" s="197">
        <f>+$F$91+C65*$F$93/100</f>
        <v>22.2</v>
      </c>
      <c r="E65" s="179">
        <f>+C65*$F$94/100</f>
        <v>0</v>
      </c>
      <c r="F65" s="179">
        <f>+C65*$F$95/100</f>
        <v>0</v>
      </c>
      <c r="G65" s="179">
        <f>+C65*$F$96/100</f>
        <v>0</v>
      </c>
      <c r="H65" s="179">
        <f>+C65*$F$98/100</f>
        <v>0</v>
      </c>
      <c r="I65" s="179">
        <f>+$C65*$F$97/100</f>
        <v>0</v>
      </c>
      <c r="J65" s="179"/>
      <c r="K65" s="179">
        <f>+SUM(D65:J65)*0.025641</f>
        <v>0.56923020000000002</v>
      </c>
      <c r="L65" s="179">
        <f>SUM(D65:K65)</f>
        <v>22.769230199999999</v>
      </c>
      <c r="M65" s="197">
        <f>(+$C65*$I$93)/100+$I$91</f>
        <v>22.5</v>
      </c>
      <c r="N65" s="179">
        <f>+$I$94*$C65/100</f>
        <v>0</v>
      </c>
      <c r="O65" s="179">
        <f>+$C65*$I$95/100</f>
        <v>0</v>
      </c>
      <c r="P65" s="179">
        <f>+$C65*$I$96/100</f>
        <v>0</v>
      </c>
      <c r="Q65" s="179">
        <f>+$C65*$I$98/100</f>
        <v>0</v>
      </c>
      <c r="R65" s="179">
        <f>+$C65*$I$97/100</f>
        <v>0</v>
      </c>
      <c r="S65" s="179">
        <f>+$C65*$I$99/100</f>
        <v>0</v>
      </c>
      <c r="T65" s="179">
        <f>+SUM(M65:S65)*0.025641</f>
        <v>0.5769225</v>
      </c>
      <c r="U65" s="179">
        <f>SUM(M65:T65)</f>
        <v>23.076922499999998</v>
      </c>
      <c r="V65" s="197">
        <f>+U65-L65</f>
        <v>0.30769229999999936</v>
      </c>
      <c r="W65" s="180">
        <f>+V65/L65</f>
        <v>1.3513513513513487E-2</v>
      </c>
      <c r="X65" s="280">
        <v>0</v>
      </c>
      <c r="Y65" s="193">
        <v>0</v>
      </c>
    </row>
    <row r="66" spans="1:25" x14ac:dyDescent="0.2">
      <c r="A66" s="4">
        <v>2</v>
      </c>
      <c r="B66" s="251"/>
      <c r="C66" s="177"/>
      <c r="D66" s="189"/>
      <c r="E66" s="179"/>
      <c r="F66" s="179"/>
      <c r="G66" s="179"/>
      <c r="H66" s="179"/>
      <c r="I66" s="179"/>
      <c r="J66" s="179"/>
      <c r="K66" s="179"/>
      <c r="L66" s="179"/>
      <c r="M66" s="189"/>
      <c r="N66" s="179"/>
      <c r="O66" s="179"/>
      <c r="P66" s="179"/>
      <c r="Q66" s="179"/>
      <c r="R66" s="179"/>
      <c r="S66" s="179"/>
      <c r="T66" s="179"/>
      <c r="U66" s="179"/>
      <c r="V66" s="189"/>
      <c r="W66" s="180"/>
      <c r="X66" s="249"/>
      <c r="Y66" s="193"/>
    </row>
    <row r="67" spans="1:25" x14ac:dyDescent="0.2">
      <c r="A67" s="4">
        <v>3</v>
      </c>
      <c r="B67" s="251">
        <v>0</v>
      </c>
      <c r="C67" s="177">
        <v>100</v>
      </c>
      <c r="D67" s="189">
        <f>+$F$91+C67*$F$93/100</f>
        <v>28.834</v>
      </c>
      <c r="E67" s="179">
        <f>+C67*$F$94/100</f>
        <v>4.1260000000000003</v>
      </c>
      <c r="F67" s="179">
        <f>+C67*$F$95/100</f>
        <v>0.218</v>
      </c>
      <c r="G67" s="179">
        <f>+C67*$F$96/100</f>
        <v>4.8000000000000001E-2</v>
      </c>
      <c r="H67" s="179">
        <f>+C67*$F$98/100</f>
        <v>0.13500000000000001</v>
      </c>
      <c r="I67" s="179">
        <f>+$C67*$F$97/100</f>
        <v>0.40200000000000002</v>
      </c>
      <c r="J67" s="179">
        <f>+$C67*$F$99/100</f>
        <v>0.315</v>
      </c>
      <c r="K67" s="179">
        <f>+SUM(D67:J67)*0.025641</f>
        <v>0.87379399800000013</v>
      </c>
      <c r="L67" s="179">
        <f>SUM(D67:K67)</f>
        <v>34.951793998000007</v>
      </c>
      <c r="M67" s="189">
        <f>(+C67*$I$93)/100+$I$91</f>
        <v>29.187999999999999</v>
      </c>
      <c r="N67" s="179">
        <f>+$I$94*$C67/100</f>
        <v>4.1260000000000003</v>
      </c>
      <c r="O67" s="179">
        <f>+$C67*$I$95/100</f>
        <v>0.218</v>
      </c>
      <c r="P67" s="179">
        <f>+$C67*$I$96/100</f>
        <v>4.8000000000000001E-2</v>
      </c>
      <c r="Q67" s="179">
        <f>+$C67*$I$98/100</f>
        <v>0.13500000000000001</v>
      </c>
      <c r="R67" s="179">
        <f>+$C67*$I$97/100</f>
        <v>0.40200000000000002</v>
      </c>
      <c r="S67" s="179">
        <f>+$C67*$I$99/100</f>
        <v>0.315</v>
      </c>
      <c r="T67" s="179">
        <f>+SUM(M67:S67)*0.025641</f>
        <v>0.88287091200000012</v>
      </c>
      <c r="U67" s="179">
        <f>SUM(M67:T67)</f>
        <v>35.314870912000003</v>
      </c>
      <c r="V67" s="189">
        <f>+U67-L67</f>
        <v>0.36307691399999698</v>
      </c>
      <c r="W67" s="180">
        <f>+V67/L67</f>
        <v>1.0387933564176213E-2</v>
      </c>
      <c r="X67" s="198">
        <f>+L67/C67*100</f>
        <v>34.951793998000007</v>
      </c>
      <c r="Y67" s="199">
        <f>+U67/C67*100</f>
        <v>35.314870912000003</v>
      </c>
    </row>
    <row r="68" spans="1:25" x14ac:dyDescent="0.2">
      <c r="A68" s="4">
        <v>4</v>
      </c>
      <c r="B68" s="251"/>
      <c r="C68" s="177"/>
      <c r="D68" s="189"/>
      <c r="E68" s="179"/>
      <c r="F68" s="179"/>
      <c r="G68" s="179"/>
      <c r="H68" s="179"/>
      <c r="I68" s="179"/>
      <c r="J68" s="179"/>
      <c r="K68" s="179"/>
      <c r="L68" s="179"/>
      <c r="M68" s="189"/>
      <c r="N68" s="179"/>
      <c r="O68" s="179"/>
      <c r="P68" s="179"/>
      <c r="Q68" s="179"/>
      <c r="R68" s="179"/>
      <c r="S68" s="179"/>
      <c r="T68" s="179"/>
      <c r="U68" s="179"/>
      <c r="V68" s="189"/>
      <c r="W68" s="180"/>
      <c r="X68" s="249"/>
      <c r="Y68" s="193"/>
    </row>
    <row r="69" spans="1:25" x14ac:dyDescent="0.2">
      <c r="A69" s="4">
        <v>5</v>
      </c>
      <c r="B69" s="251">
        <v>0</v>
      </c>
      <c r="C69" s="177">
        <v>250</v>
      </c>
      <c r="D69" s="189">
        <f>+$F$91+C69*$F$93/100</f>
        <v>38.784999999999997</v>
      </c>
      <c r="E69" s="179">
        <f>+C69*$F$94/100</f>
        <v>10.315</v>
      </c>
      <c r="F69" s="179">
        <f>+C69*$F$95/100</f>
        <v>0.54500000000000004</v>
      </c>
      <c r="G69" s="179">
        <f>+C69*$F$96/100</f>
        <v>0.12</v>
      </c>
      <c r="H69" s="179">
        <f>+C69*$F$98/100</f>
        <v>0.33750000000000002</v>
      </c>
      <c r="I69" s="179">
        <f>+$C69*$F$97/100</f>
        <v>1.0049999999999999</v>
      </c>
      <c r="J69" s="179">
        <f>+$C69*$F$99/100</f>
        <v>0.78749999999999998</v>
      </c>
      <c r="K69" s="179">
        <f>+SUM(D69:J69)*0.025641</f>
        <v>1.3306396949999999</v>
      </c>
      <c r="L69" s="179">
        <f>SUM(D69:K69)</f>
        <v>53.225639694999998</v>
      </c>
      <c r="M69" s="189">
        <f>(+C69*$I$93)/100+$I$91</f>
        <v>39.22</v>
      </c>
      <c r="N69" s="179">
        <f>+$I$94*$C69/100</f>
        <v>10.315</v>
      </c>
      <c r="O69" s="179">
        <f>+$C69*$I$95/100</f>
        <v>0.54500000000000004</v>
      </c>
      <c r="P69" s="179">
        <f>+$C69*$I$96/100</f>
        <v>0.12</v>
      </c>
      <c r="Q69" s="179">
        <f>+$C69*$I$98/100</f>
        <v>0.33750000000000002</v>
      </c>
      <c r="R69" s="179">
        <f>+$C69*$I$97/100</f>
        <v>1.0049999999999999</v>
      </c>
      <c r="S69" s="179">
        <f>+$C69*$I$99/100</f>
        <v>0.78749999999999998</v>
      </c>
      <c r="T69" s="179">
        <f>+SUM(M69:S69)*0.025641</f>
        <v>1.3417935299999999</v>
      </c>
      <c r="U69" s="179">
        <f>SUM(M69:T69)</f>
        <v>53.671793529999995</v>
      </c>
      <c r="V69" s="189">
        <f>+U69-L69</f>
        <v>0.44615383499999695</v>
      </c>
      <c r="W69" s="180">
        <f>+V69/L69</f>
        <v>8.3823104345312083E-3</v>
      </c>
      <c r="X69" s="198">
        <f>+L69/C69*100</f>
        <v>21.290255878</v>
      </c>
      <c r="Y69" s="199">
        <f>+U69/C69*100</f>
        <v>21.468717412</v>
      </c>
    </row>
    <row r="70" spans="1:25" x14ac:dyDescent="0.2">
      <c r="A70" s="4">
        <v>6</v>
      </c>
      <c r="B70" s="251"/>
      <c r="C70" s="177"/>
      <c r="D70" s="189"/>
      <c r="E70" s="179"/>
      <c r="F70" s="179"/>
      <c r="G70" s="179"/>
      <c r="H70" s="179"/>
      <c r="I70" s="179"/>
      <c r="J70" s="179"/>
      <c r="K70" s="179"/>
      <c r="L70" s="179"/>
      <c r="M70" s="189"/>
      <c r="N70" s="179"/>
      <c r="O70" s="179"/>
      <c r="P70" s="179"/>
      <c r="Q70" s="179"/>
      <c r="R70" s="179"/>
      <c r="S70" s="179"/>
      <c r="T70" s="179"/>
      <c r="U70" s="179"/>
      <c r="V70" s="189"/>
      <c r="W70" s="180"/>
      <c r="X70" s="249"/>
      <c r="Y70" s="193"/>
    </row>
    <row r="71" spans="1:25" x14ac:dyDescent="0.2">
      <c r="A71" s="4">
        <v>7</v>
      </c>
      <c r="B71" s="251">
        <v>0</v>
      </c>
      <c r="C71" s="177">
        <v>500</v>
      </c>
      <c r="D71" s="189">
        <f>+$F$91+C71*$F$93/100</f>
        <v>55.370000000000005</v>
      </c>
      <c r="E71" s="179">
        <f>+C71*$F$94/100</f>
        <v>20.63</v>
      </c>
      <c r="F71" s="179">
        <f>+C71*$F$95/100</f>
        <v>1.0900000000000001</v>
      </c>
      <c r="G71" s="179">
        <f>+C71*$F$96/100</f>
        <v>0.24</v>
      </c>
      <c r="H71" s="179">
        <f>+C71*$F$98/100</f>
        <v>0.67500000000000004</v>
      </c>
      <c r="I71" s="179">
        <f>+$C71*$F$97/100</f>
        <v>2.0099999999999998</v>
      </c>
      <c r="J71" s="179">
        <f>+$C71*$F$99/100</f>
        <v>1.575</v>
      </c>
      <c r="K71" s="179">
        <f>+SUM(D71:J71)*0.025641</f>
        <v>2.09204919</v>
      </c>
      <c r="L71" s="179">
        <f>SUM(D71:K71)</f>
        <v>83.682049190000001</v>
      </c>
      <c r="M71" s="189">
        <f>(+C71*$I$93)/100+$I$91</f>
        <v>55.94</v>
      </c>
      <c r="N71" s="179">
        <f>+$I$94*$C71/100</f>
        <v>20.63</v>
      </c>
      <c r="O71" s="179">
        <f>+$C71*$I$95/100</f>
        <v>1.0900000000000001</v>
      </c>
      <c r="P71" s="179">
        <f>+$C71*$I$96/100</f>
        <v>0.24</v>
      </c>
      <c r="Q71" s="179">
        <f>+$C71*$I$98/100</f>
        <v>0.67500000000000004</v>
      </c>
      <c r="R71" s="179">
        <f>+$C71*$I$97/100</f>
        <v>2.0099999999999998</v>
      </c>
      <c r="S71" s="179">
        <f>+$C71*$I$99/100</f>
        <v>1.575</v>
      </c>
      <c r="T71" s="179">
        <f>+SUM(M71:S71)*0.025641</f>
        <v>2.10666456</v>
      </c>
      <c r="U71" s="179">
        <f>SUM(M71:T71)</f>
        <v>84.266664559999995</v>
      </c>
      <c r="V71" s="189">
        <f>+U71-L71</f>
        <v>0.58461536999999453</v>
      </c>
      <c r="W71" s="180">
        <f>+V71/L71</f>
        <v>6.9861502635126197E-3</v>
      </c>
      <c r="X71" s="198">
        <f>+L71/C71*100</f>
        <v>16.736409838</v>
      </c>
      <c r="Y71" s="199">
        <f>+U71/C71*100</f>
        <v>16.853332911999999</v>
      </c>
    </row>
    <row r="72" spans="1:25" x14ac:dyDescent="0.2">
      <c r="A72" s="4">
        <v>8</v>
      </c>
      <c r="B72" s="251"/>
      <c r="C72" s="177"/>
      <c r="D72" s="189"/>
      <c r="E72" s="179"/>
      <c r="F72" s="179"/>
      <c r="G72" s="179"/>
      <c r="H72" s="179"/>
      <c r="I72" s="179"/>
      <c r="J72" s="179"/>
      <c r="K72" s="179"/>
      <c r="L72" s="179"/>
      <c r="M72" s="189"/>
      <c r="N72" s="179"/>
      <c r="O72" s="179"/>
      <c r="P72" s="179"/>
      <c r="Q72" s="179"/>
      <c r="R72" s="179"/>
      <c r="S72" s="179"/>
      <c r="T72" s="179"/>
      <c r="U72" s="179"/>
      <c r="V72" s="189"/>
      <c r="W72" s="180"/>
      <c r="X72" s="249"/>
      <c r="Y72" s="193"/>
    </row>
    <row r="73" spans="1:25" x14ac:dyDescent="0.2">
      <c r="A73" s="4">
        <v>9</v>
      </c>
      <c r="B73" s="251">
        <v>0</v>
      </c>
      <c r="C73" s="177">
        <v>750</v>
      </c>
      <c r="D73" s="189">
        <f>+$F$91+C73*$F$93/100</f>
        <v>71.954999999999998</v>
      </c>
      <c r="E73" s="179">
        <f>+C73*$F$94/100</f>
        <v>30.945000000000004</v>
      </c>
      <c r="F73" s="179">
        <f>+C73*$F$95/100</f>
        <v>1.635</v>
      </c>
      <c r="G73" s="179">
        <f>+C73*$F$96/100</f>
        <v>0.36</v>
      </c>
      <c r="H73" s="179">
        <f>+C73*$F$98/100</f>
        <v>1.0125</v>
      </c>
      <c r="I73" s="179">
        <f>+$C73*$F$97/100</f>
        <v>3.0150000000000001</v>
      </c>
      <c r="J73" s="179">
        <f>+$C73*$F$99/100</f>
        <v>2.3624999999999998</v>
      </c>
      <c r="K73" s="179">
        <f>+SUM(D73:J73)*0.025641</f>
        <v>2.8534586850000005</v>
      </c>
      <c r="L73" s="179">
        <f>SUM(D73:K73)</f>
        <v>114.13845868500002</v>
      </c>
      <c r="M73" s="189">
        <f>(+C73*$I$93)/100+$I$91</f>
        <v>72.66</v>
      </c>
      <c r="N73" s="179">
        <f>+$I$94*$C73/100</f>
        <v>30.945000000000004</v>
      </c>
      <c r="O73" s="179">
        <f>+$C73*$I$95/100</f>
        <v>1.635</v>
      </c>
      <c r="P73" s="179">
        <f>+$C73*$I$96/100</f>
        <v>0.36</v>
      </c>
      <c r="Q73" s="179">
        <f>+$C73*$I$98/100</f>
        <v>1.0125</v>
      </c>
      <c r="R73" s="179">
        <f>+$C73*$I$97/100</f>
        <v>3.0150000000000001</v>
      </c>
      <c r="S73" s="179">
        <f>+$C73*$I$99/100</f>
        <v>2.3624999999999998</v>
      </c>
      <c r="T73" s="179">
        <f>+SUM(M73:S73)*0.025641</f>
        <v>2.8715355900000001</v>
      </c>
      <c r="U73" s="179">
        <f>SUM(M73:T73)</f>
        <v>114.86153559</v>
      </c>
      <c r="V73" s="189">
        <f>+U73-L73</f>
        <v>0.723076904999985</v>
      </c>
      <c r="W73" s="180">
        <f>+V73/L73</f>
        <v>6.3350855910498747E-3</v>
      </c>
      <c r="X73" s="198">
        <f>+L73/C73*100</f>
        <v>15.218461158000002</v>
      </c>
      <c r="Y73" s="199">
        <f>+U73/C73*100</f>
        <v>15.314871412</v>
      </c>
    </row>
    <row r="74" spans="1:25" x14ac:dyDescent="0.2">
      <c r="A74" s="4">
        <v>10</v>
      </c>
      <c r="B74" s="251"/>
      <c r="C74" s="177"/>
      <c r="D74" s="189"/>
      <c r="E74" s="179"/>
      <c r="F74" s="179"/>
      <c r="G74" s="179"/>
      <c r="H74" s="179"/>
      <c r="I74" s="179"/>
      <c r="J74" s="179"/>
      <c r="K74" s="179"/>
      <c r="L74" s="179"/>
      <c r="M74" s="189"/>
      <c r="N74" s="179"/>
      <c r="O74" s="179"/>
      <c r="P74" s="179"/>
      <c r="Q74" s="179"/>
      <c r="R74" s="179"/>
      <c r="S74" s="179"/>
      <c r="T74" s="179"/>
      <c r="U74" s="179"/>
      <c r="V74" s="189"/>
      <c r="W74" s="180"/>
      <c r="X74" s="249"/>
      <c r="Y74" s="193"/>
    </row>
    <row r="75" spans="1:25" x14ac:dyDescent="0.2">
      <c r="A75" s="4">
        <v>11</v>
      </c>
      <c r="B75" s="251">
        <v>0</v>
      </c>
      <c r="C75" s="177">
        <v>1000</v>
      </c>
      <c r="D75" s="189">
        <f>+$F$91+C75*$F$93/100</f>
        <v>88.54</v>
      </c>
      <c r="E75" s="179">
        <f>+C75*$F$94/100</f>
        <v>41.26</v>
      </c>
      <c r="F75" s="179">
        <f>+C75*$F$95/100</f>
        <v>2.1800000000000002</v>
      </c>
      <c r="G75" s="179">
        <f>+C75*$F$96/100</f>
        <v>0.48</v>
      </c>
      <c r="H75" s="179">
        <f>+C75*$F$98/100</f>
        <v>1.35</v>
      </c>
      <c r="I75" s="179">
        <f>+$C75*$F$97/100</f>
        <v>4.0199999999999996</v>
      </c>
      <c r="J75" s="179">
        <f>+$C75*$F$99/100</f>
        <v>3.15</v>
      </c>
      <c r="K75" s="179">
        <f>+SUM(D75:J75)*0.025641</f>
        <v>3.6148681800000007</v>
      </c>
      <c r="L75" s="179">
        <f>SUM(D75:K75)</f>
        <v>144.59486818000002</v>
      </c>
      <c r="M75" s="189">
        <f>(+C75*$I$93)/100+$I$91</f>
        <v>89.38</v>
      </c>
      <c r="N75" s="179">
        <f>+$I$94*$C75/100</f>
        <v>41.26</v>
      </c>
      <c r="O75" s="179">
        <f>+$C75*$I$95/100</f>
        <v>2.1800000000000002</v>
      </c>
      <c r="P75" s="179">
        <f>+$C75*$I$96/100</f>
        <v>0.48</v>
      </c>
      <c r="Q75" s="179">
        <f>+$C75*$I$98/100</f>
        <v>1.35</v>
      </c>
      <c r="R75" s="179">
        <f>+$C75*$I$97/100</f>
        <v>4.0199999999999996</v>
      </c>
      <c r="S75" s="179">
        <f>+$C75*$I$99/100</f>
        <v>3.15</v>
      </c>
      <c r="T75" s="179">
        <f>+SUM(M75:S75)*0.025641</f>
        <v>3.6364066199999998</v>
      </c>
      <c r="U75" s="179">
        <f>SUM(M75:T75)</f>
        <v>145.45640662</v>
      </c>
      <c r="V75" s="189">
        <f>+U75-L75</f>
        <v>0.86153843999997548</v>
      </c>
      <c r="W75" s="180">
        <f>+V75/L75</f>
        <v>5.9582919563056884E-3</v>
      </c>
      <c r="X75" s="198">
        <f>+L75/C75*100</f>
        <v>14.459486818000004</v>
      </c>
      <c r="Y75" s="199">
        <f>+U75/C75*100</f>
        <v>14.545640662</v>
      </c>
    </row>
    <row r="76" spans="1:25" x14ac:dyDescent="0.2">
      <c r="A76" s="4">
        <v>12</v>
      </c>
      <c r="B76" s="251"/>
      <c r="C76" s="177"/>
      <c r="D76" s="189"/>
      <c r="E76" s="179"/>
      <c r="F76" s="179"/>
      <c r="G76" s="179"/>
      <c r="H76" s="179"/>
      <c r="I76" s="179"/>
      <c r="J76" s="179"/>
      <c r="K76" s="179"/>
      <c r="L76" s="179"/>
      <c r="M76" s="189"/>
      <c r="N76" s="179"/>
      <c r="O76" s="179"/>
      <c r="P76" s="179"/>
      <c r="Q76" s="179"/>
      <c r="R76" s="179"/>
      <c r="S76" s="179"/>
      <c r="T76" s="179"/>
      <c r="U76" s="179"/>
      <c r="V76" s="189"/>
      <c r="W76" s="180"/>
      <c r="X76" s="249"/>
      <c r="Y76" s="193"/>
    </row>
    <row r="77" spans="1:25" x14ac:dyDescent="0.2">
      <c r="A77" s="4">
        <v>13</v>
      </c>
      <c r="B77" s="251">
        <v>0</v>
      </c>
      <c r="C77" s="177">
        <v>1250</v>
      </c>
      <c r="D77" s="189">
        <f>+$F$91+C77*$F$93/100</f>
        <v>105.125</v>
      </c>
      <c r="E77" s="179">
        <f>+C77*$F$94/100</f>
        <v>51.575000000000003</v>
      </c>
      <c r="F77" s="179">
        <f>+C77*$F$95/100</f>
        <v>2.7250000000000001</v>
      </c>
      <c r="G77" s="179">
        <f>+C77*$F$96/100</f>
        <v>0.6</v>
      </c>
      <c r="H77" s="179">
        <f>+C77*$F$98/100</f>
        <v>1.6875</v>
      </c>
      <c r="I77" s="179">
        <f>+$C77*$F$97/100</f>
        <v>5.0250000000000004</v>
      </c>
      <c r="J77" s="179">
        <f>+$C77*$F$99/100</f>
        <v>3.9375</v>
      </c>
      <c r="K77" s="179">
        <f>+SUM(D77:J77)*0.025641</f>
        <v>4.3762776749999999</v>
      </c>
      <c r="L77" s="179">
        <f>SUM(D77:K77)</f>
        <v>175.05127767499999</v>
      </c>
      <c r="M77" s="189">
        <f>(+C77*$I$93)/100+$I$91</f>
        <v>106.1</v>
      </c>
      <c r="N77" s="179">
        <f>+$I$94*$C77/100</f>
        <v>51.575000000000003</v>
      </c>
      <c r="O77" s="179">
        <f>+$C77*$I$95/100</f>
        <v>2.7250000000000001</v>
      </c>
      <c r="P77" s="179">
        <f>+$C77*$I$96/100</f>
        <v>0.6</v>
      </c>
      <c r="Q77" s="179">
        <f>+$C77*$I$98/100</f>
        <v>1.6875</v>
      </c>
      <c r="R77" s="179">
        <f>+$C77*$I$97/100</f>
        <v>5.0250000000000004</v>
      </c>
      <c r="S77" s="179">
        <f>+$C77*$I$99/100</f>
        <v>3.9375</v>
      </c>
      <c r="T77" s="179">
        <f>+SUM(M77:S77)*0.025641</f>
        <v>4.4012776499999999</v>
      </c>
      <c r="U77" s="179">
        <f>SUM(M77:T77)</f>
        <v>176.05127765</v>
      </c>
      <c r="V77" s="189">
        <f>+U77-L77</f>
        <v>0.99999997500000859</v>
      </c>
      <c r="W77" s="180">
        <f>+V77/L77</f>
        <v>5.7126116888824279E-3</v>
      </c>
      <c r="X77" s="198">
        <f>+L77/C77*100</f>
        <v>14.004102214</v>
      </c>
      <c r="Y77" s="199">
        <f>+U77/C77*100</f>
        <v>14.084102211999999</v>
      </c>
    </row>
    <row r="78" spans="1:25" x14ac:dyDescent="0.2">
      <c r="A78" s="4">
        <v>14</v>
      </c>
      <c r="B78" s="251"/>
      <c r="C78" s="177"/>
      <c r="D78" s="189"/>
      <c r="E78" s="179"/>
      <c r="F78" s="179"/>
      <c r="G78" s="179"/>
      <c r="H78" s="179"/>
      <c r="I78" s="179"/>
      <c r="J78" s="179"/>
      <c r="K78" s="179"/>
      <c r="L78" s="179"/>
      <c r="M78" s="189"/>
      <c r="N78" s="179"/>
      <c r="O78" s="179"/>
      <c r="P78" s="179"/>
      <c r="Q78" s="179"/>
      <c r="R78" s="179"/>
      <c r="S78" s="179"/>
      <c r="T78" s="179"/>
      <c r="U78" s="179"/>
      <c r="V78" s="189"/>
      <c r="W78" s="180"/>
      <c r="X78" s="249"/>
      <c r="Y78" s="193"/>
    </row>
    <row r="79" spans="1:25" x14ac:dyDescent="0.2">
      <c r="A79" s="4">
        <v>15</v>
      </c>
      <c r="B79" s="251">
        <v>0</v>
      </c>
      <c r="C79" s="177">
        <v>1500</v>
      </c>
      <c r="D79" s="189">
        <f>+$F$91+C79*$F$93/100</f>
        <v>121.71000000000001</v>
      </c>
      <c r="E79" s="179">
        <f>+C79*$F$94/100</f>
        <v>61.890000000000008</v>
      </c>
      <c r="F79" s="179">
        <f>+C79*$F$95/100</f>
        <v>3.27</v>
      </c>
      <c r="G79" s="179">
        <f>+C79*$F$96/100</f>
        <v>0.72</v>
      </c>
      <c r="H79" s="179">
        <f>+C79*$F$98/100</f>
        <v>2.0249999999999999</v>
      </c>
      <c r="I79" s="179">
        <f>+$C79*$F$97/100</f>
        <v>6.03</v>
      </c>
      <c r="J79" s="179">
        <f>+$C79*$F$99/100</f>
        <v>4.7249999999999996</v>
      </c>
      <c r="K79" s="179">
        <f>+SUM(D79:J79)*0.025641</f>
        <v>5.1376871700000013</v>
      </c>
      <c r="L79" s="179">
        <f>SUM(D79:K79)</f>
        <v>205.50768717000003</v>
      </c>
      <c r="M79" s="189">
        <f>(+C79*$I$93)/100+$I$91</f>
        <v>122.82</v>
      </c>
      <c r="N79" s="179">
        <f>+$I$94*$C79/100</f>
        <v>61.890000000000008</v>
      </c>
      <c r="O79" s="179">
        <f>+$C79*$I$95/100</f>
        <v>3.27</v>
      </c>
      <c r="P79" s="179">
        <f>+$C79*$I$96/100</f>
        <v>0.72</v>
      </c>
      <c r="Q79" s="179">
        <f>+$C79*$I$98/100</f>
        <v>2.0249999999999999</v>
      </c>
      <c r="R79" s="179">
        <f>+$C79*$I$97/100</f>
        <v>6.03</v>
      </c>
      <c r="S79" s="179">
        <f>+$C79*$I$99/100</f>
        <v>4.7249999999999996</v>
      </c>
      <c r="T79" s="179">
        <f>+SUM(M79:S79)*0.025641</f>
        <v>5.1661486800000009</v>
      </c>
      <c r="U79" s="179">
        <f>SUM(M79:T79)</f>
        <v>206.64614868000001</v>
      </c>
      <c r="V79" s="189">
        <f>+U79-L79</f>
        <v>1.1384615099999849</v>
      </c>
      <c r="W79" s="180">
        <f>+V79/L79</f>
        <v>5.5397514597992966E-3</v>
      </c>
      <c r="X79" s="198">
        <f>+L79/C79*100</f>
        <v>13.700512478000002</v>
      </c>
      <c r="Y79" s="199">
        <f>+U79/C79*100</f>
        <v>13.776409912000002</v>
      </c>
    </row>
    <row r="80" spans="1:25" x14ac:dyDescent="0.2">
      <c r="A80" s="4">
        <v>16</v>
      </c>
      <c r="B80" s="251"/>
      <c r="C80" s="177"/>
      <c r="D80" s="189"/>
      <c r="E80" s="179"/>
      <c r="F80" s="179"/>
      <c r="G80" s="179"/>
      <c r="H80" s="179"/>
      <c r="I80" s="179"/>
      <c r="J80" s="179"/>
      <c r="K80" s="179"/>
      <c r="L80" s="179"/>
      <c r="M80" s="189"/>
      <c r="N80" s="179"/>
      <c r="O80" s="179"/>
      <c r="P80" s="179"/>
      <c r="Q80" s="179"/>
      <c r="R80" s="179"/>
      <c r="S80" s="179"/>
      <c r="T80" s="179"/>
      <c r="U80" s="179"/>
      <c r="V80" s="189"/>
      <c r="W80" s="180"/>
      <c r="X80" s="249"/>
      <c r="Y80" s="193"/>
    </row>
    <row r="81" spans="1:25" x14ac:dyDescent="0.2">
      <c r="A81" s="4">
        <v>17</v>
      </c>
      <c r="B81" s="251">
        <v>0</v>
      </c>
      <c r="C81" s="177">
        <v>2000</v>
      </c>
      <c r="D81" s="189">
        <f>+$F$91+C81*$F$93/100</f>
        <v>154.88</v>
      </c>
      <c r="E81" s="179">
        <f>+C81*$F$94/100</f>
        <v>82.52</v>
      </c>
      <c r="F81" s="179">
        <f>+C81*$F$95/100</f>
        <v>4.3600000000000003</v>
      </c>
      <c r="G81" s="179">
        <f>+C81*$F$96/100</f>
        <v>0.96</v>
      </c>
      <c r="H81" s="179">
        <f>+C81*$F$98/100</f>
        <v>2.7</v>
      </c>
      <c r="I81" s="179">
        <f>+$C81*$F$97/100</f>
        <v>8.0399999999999991</v>
      </c>
      <c r="J81" s="179">
        <f>+$C81*$F$99/100</f>
        <v>6.3</v>
      </c>
      <c r="K81" s="179">
        <f>+SUM(D81:J81)*0.025641</f>
        <v>6.6605061599999997</v>
      </c>
      <c r="L81" s="179">
        <f>SUM(D81:K81)</f>
        <v>266.42050616</v>
      </c>
      <c r="M81" s="189">
        <f>(+C81*$I$93)/100+$I$91</f>
        <v>156.26</v>
      </c>
      <c r="N81" s="179">
        <f>+$I$94*$C81/100</f>
        <v>82.52</v>
      </c>
      <c r="O81" s="179">
        <f>+$C81*$I$95/100</f>
        <v>4.3600000000000003</v>
      </c>
      <c r="P81" s="179">
        <f>+$C81*$I$96/100</f>
        <v>0.96</v>
      </c>
      <c r="Q81" s="179">
        <f>+$C81*$I$98/100</f>
        <v>2.7</v>
      </c>
      <c r="R81" s="179">
        <f>+$C81*$I$97/100</f>
        <v>8.0399999999999991</v>
      </c>
      <c r="S81" s="179">
        <f>+$C81*$I$99/100</f>
        <v>6.3</v>
      </c>
      <c r="T81" s="179">
        <f>+SUM(M81:S81)*0.025641</f>
        <v>6.6958907399999994</v>
      </c>
      <c r="U81" s="179">
        <f>SUM(M81:T81)</f>
        <v>267.83589073999997</v>
      </c>
      <c r="V81" s="189">
        <f>+U81-L81</f>
        <v>1.4153845799999658</v>
      </c>
      <c r="W81" s="180">
        <f>+V81/L81</f>
        <v>5.3125962426854275E-3</v>
      </c>
      <c r="X81" s="198">
        <f>+L81/C81*100</f>
        <v>13.321025308000001</v>
      </c>
      <c r="Y81" s="199">
        <f>+U81/C81*100</f>
        <v>13.391794536999999</v>
      </c>
    </row>
    <row r="82" spans="1:25" x14ac:dyDescent="0.2">
      <c r="A82" s="4">
        <v>18</v>
      </c>
      <c r="B82" s="251"/>
      <c r="C82" s="177"/>
      <c r="D82" s="189"/>
      <c r="E82" s="179"/>
      <c r="F82" s="179"/>
      <c r="G82" s="179"/>
      <c r="H82" s="179"/>
      <c r="I82" s="179"/>
      <c r="J82" s="179"/>
      <c r="K82" s="179"/>
      <c r="L82" s="179"/>
      <c r="M82" s="189"/>
      <c r="N82" s="179"/>
      <c r="O82" s="179"/>
      <c r="P82" s="179"/>
      <c r="Q82" s="179"/>
      <c r="R82" s="179"/>
      <c r="S82" s="179"/>
      <c r="T82" s="179"/>
      <c r="U82" s="179"/>
      <c r="V82" s="189"/>
      <c r="W82" s="180"/>
      <c r="X82" s="249"/>
      <c r="Y82" s="193"/>
    </row>
    <row r="83" spans="1:25" x14ac:dyDescent="0.2">
      <c r="A83" s="4">
        <v>19</v>
      </c>
      <c r="B83" s="251">
        <v>0</v>
      </c>
      <c r="C83" s="177">
        <v>3000</v>
      </c>
      <c r="D83" s="189">
        <f>+$F$91+C83*$F$93/100</f>
        <v>221.22</v>
      </c>
      <c r="E83" s="179">
        <f>+C83*$F$94/100</f>
        <v>123.78000000000002</v>
      </c>
      <c r="F83" s="179">
        <f>+C83*$F$95/100</f>
        <v>6.54</v>
      </c>
      <c r="G83" s="179">
        <f>+C83*$F$96/100</f>
        <v>1.44</v>
      </c>
      <c r="H83" s="179">
        <f>+C83*$F$98/100</f>
        <v>4.05</v>
      </c>
      <c r="I83" s="179">
        <f>+$C83*$F$97/100</f>
        <v>12.06</v>
      </c>
      <c r="J83" s="179">
        <f>+$C83*$F$99/100</f>
        <v>9.4499999999999993</v>
      </c>
      <c r="K83" s="179">
        <f>+SUM(D83:J83)*0.025641</f>
        <v>9.706144140000001</v>
      </c>
      <c r="L83" s="179">
        <f>SUM(D83:K83)</f>
        <v>388.24614414000001</v>
      </c>
      <c r="M83" s="189">
        <f>(+C83*$I$93)/100+$I$91</f>
        <v>223.14</v>
      </c>
      <c r="N83" s="179">
        <f>+$I$94*$C83/100</f>
        <v>123.78000000000002</v>
      </c>
      <c r="O83" s="179">
        <f>+$C83*$I$95/100</f>
        <v>6.54</v>
      </c>
      <c r="P83" s="179">
        <f>+$C83*$I$96/100</f>
        <v>1.44</v>
      </c>
      <c r="Q83" s="179">
        <f>+$C83*$I$98/100</f>
        <v>4.05</v>
      </c>
      <c r="R83" s="179">
        <f>+$C83*$I$97/100</f>
        <v>12.06</v>
      </c>
      <c r="S83" s="179">
        <f>+$C83*$I$99/100</f>
        <v>9.4499999999999993</v>
      </c>
      <c r="T83" s="179">
        <f>+SUM(M83:S83)*0.025641</f>
        <v>9.7553748600000016</v>
      </c>
      <c r="U83" s="179">
        <f>SUM(M83:T83)</f>
        <v>390.21537486000005</v>
      </c>
      <c r="V83" s="189">
        <f>+U83-L83</f>
        <v>1.9692307200000414</v>
      </c>
      <c r="W83" s="180">
        <f>+V83/L83</f>
        <v>5.0721191948011847E-3</v>
      </c>
      <c r="X83" s="198">
        <f>+L83/C83*100</f>
        <v>12.941538138</v>
      </c>
      <c r="Y83" s="199">
        <f>+U83/C83*100</f>
        <v>13.007179162000002</v>
      </c>
    </row>
    <row r="84" spans="1:25" x14ac:dyDescent="0.2">
      <c r="A84" s="4">
        <v>20</v>
      </c>
      <c r="B84" s="251"/>
      <c r="C84" s="177"/>
      <c r="D84" s="189"/>
      <c r="E84" s="179"/>
      <c r="F84" s="179"/>
      <c r="G84" s="179"/>
      <c r="H84" s="179"/>
      <c r="I84" s="179"/>
      <c r="J84" s="179"/>
      <c r="K84" s="179"/>
      <c r="L84" s="179"/>
      <c r="M84" s="189"/>
      <c r="N84" s="179"/>
      <c r="O84" s="179"/>
      <c r="P84" s="179"/>
      <c r="Q84" s="179"/>
      <c r="R84" s="179"/>
      <c r="S84" s="179"/>
      <c r="T84" s="179"/>
      <c r="U84" s="179"/>
      <c r="V84" s="189"/>
      <c r="W84" s="180"/>
      <c r="X84" s="249"/>
      <c r="Y84" s="193"/>
    </row>
    <row r="85" spans="1:25" x14ac:dyDescent="0.2">
      <c r="A85" s="4">
        <v>21</v>
      </c>
      <c r="B85" s="251">
        <v>0</v>
      </c>
      <c r="C85" s="177">
        <v>5000</v>
      </c>
      <c r="D85" s="189">
        <f>+$F$91+C85*$F$93/100</f>
        <v>353.9</v>
      </c>
      <c r="E85" s="179">
        <f>+C85*$F$94/100</f>
        <v>206.3</v>
      </c>
      <c r="F85" s="179">
        <f>+C85*$F$95/100</f>
        <v>10.9</v>
      </c>
      <c r="G85" s="179">
        <f>+C85*$F$96/100</f>
        <v>2.4</v>
      </c>
      <c r="H85" s="179">
        <f>+C85*$F$98/100</f>
        <v>6.75</v>
      </c>
      <c r="I85" s="179">
        <f>+$C85*$F$97/100</f>
        <v>20.100000000000001</v>
      </c>
      <c r="J85" s="179">
        <f>+$C85*$F$99/100</f>
        <v>15.75</v>
      </c>
      <c r="K85" s="179">
        <f>+SUM(D85:J85)*0.025641</f>
        <v>15.7974201</v>
      </c>
      <c r="L85" s="179">
        <f>SUM(D85:K85)</f>
        <v>631.89742009999998</v>
      </c>
      <c r="M85" s="189">
        <f>(+C85*$I$93)/100+$I$91</f>
        <v>356.9</v>
      </c>
      <c r="N85" s="179">
        <f>+$I$94*$C85/100</f>
        <v>206.3</v>
      </c>
      <c r="O85" s="179">
        <f>+$C85*$I$95/100</f>
        <v>10.9</v>
      </c>
      <c r="P85" s="179">
        <f>+$C85*$I$96/100</f>
        <v>2.4</v>
      </c>
      <c r="Q85" s="179">
        <f>+$C85*$I$98/100</f>
        <v>6.75</v>
      </c>
      <c r="R85" s="179">
        <f>+$C85*$I$97/100</f>
        <v>20.100000000000001</v>
      </c>
      <c r="S85" s="179">
        <f>+$C85*$I$99/100</f>
        <v>15.75</v>
      </c>
      <c r="T85" s="179">
        <f>+SUM(M85:S85)*0.025641</f>
        <v>15.874343100000001</v>
      </c>
      <c r="U85" s="179">
        <f>SUM(M85:T85)</f>
        <v>634.97434310000006</v>
      </c>
      <c r="V85" s="189">
        <f>+U85-L85</f>
        <v>3.0769230000000789</v>
      </c>
      <c r="W85" s="180">
        <f>+V85/L85</f>
        <v>4.869339392955814E-3</v>
      </c>
      <c r="X85" s="198">
        <f>+L85/C85*100</f>
        <v>12.637948401999999</v>
      </c>
      <c r="Y85" s="199">
        <f>+U85/C85*100</f>
        <v>12.699486862000001</v>
      </c>
    </row>
    <row r="86" spans="1:25" x14ac:dyDescent="0.2">
      <c r="A86" s="4">
        <v>22</v>
      </c>
      <c r="B86" s="251"/>
      <c r="C86" s="177"/>
      <c r="D86" s="189"/>
      <c r="E86" s="179"/>
      <c r="F86" s="179"/>
      <c r="G86" s="179"/>
      <c r="H86" s="179"/>
      <c r="I86" s="179"/>
      <c r="J86" s="179"/>
      <c r="K86" s="179"/>
      <c r="L86" s="179"/>
      <c r="M86" s="189"/>
      <c r="N86" s="179"/>
      <c r="O86" s="179"/>
      <c r="P86" s="179"/>
      <c r="Q86" s="179"/>
      <c r="R86" s="179"/>
      <c r="S86" s="179"/>
      <c r="T86" s="179"/>
      <c r="U86" s="179"/>
      <c r="V86" s="189"/>
      <c r="W86" s="180"/>
      <c r="X86" s="249"/>
      <c r="Y86" s="193"/>
    </row>
    <row r="87" spans="1:25" x14ac:dyDescent="0.2">
      <c r="A87" s="4">
        <v>23</v>
      </c>
      <c r="B87" s="251">
        <v>0</v>
      </c>
      <c r="C87" s="177">
        <v>8500</v>
      </c>
      <c r="D87" s="189">
        <f>+$F$91+C87*$F$93/100</f>
        <v>586.09</v>
      </c>
      <c r="E87" s="179">
        <f>+C87*$F$94/100</f>
        <v>350.71</v>
      </c>
      <c r="F87" s="179">
        <f>+C87*$F$95/100</f>
        <v>18.53</v>
      </c>
      <c r="G87" s="179">
        <f>+C87*$F$96/100</f>
        <v>4.08</v>
      </c>
      <c r="H87" s="179">
        <f>+C87*$F$98/100</f>
        <v>11.475</v>
      </c>
      <c r="I87" s="179">
        <f>+$C87*$F$97/100</f>
        <v>34.17</v>
      </c>
      <c r="J87" s="179">
        <f>+$C87*$F$99/100</f>
        <v>26.774999999999999</v>
      </c>
      <c r="K87" s="179">
        <f>+SUM(D87:J87)*0.025641</f>
        <v>26.457153029999997</v>
      </c>
      <c r="L87" s="179">
        <f>SUM(D87:K87)</f>
        <v>1058.2871530299999</v>
      </c>
      <c r="M87" s="189">
        <f>(+C87*$I$93)/100+$I$91</f>
        <v>590.98</v>
      </c>
      <c r="N87" s="179">
        <f>+$I$94*$C87/100</f>
        <v>350.71</v>
      </c>
      <c r="O87" s="179">
        <f>+$C87*$I$95/100</f>
        <v>18.53</v>
      </c>
      <c r="P87" s="179">
        <f>+$C87*$I$96/100</f>
        <v>4.08</v>
      </c>
      <c r="Q87" s="179">
        <f>+$C87*$I$98/100</f>
        <v>11.475</v>
      </c>
      <c r="R87" s="179">
        <f>+$C87*$I$97/100</f>
        <v>34.17</v>
      </c>
      <c r="S87" s="179">
        <f>+$C87*$I$99/100</f>
        <v>26.774999999999999</v>
      </c>
      <c r="T87" s="179">
        <f>+SUM(M87:S87)*0.025641</f>
        <v>26.582537520000002</v>
      </c>
      <c r="U87" s="179">
        <f>SUM(M87:T87)</f>
        <v>1063.30253752</v>
      </c>
      <c r="V87" s="189">
        <f>+U87-L87</f>
        <v>5.0153844900000877</v>
      </c>
      <c r="W87" s="180">
        <f>+V87/L87</f>
        <v>4.7391527674133203E-3</v>
      </c>
      <c r="X87" s="198">
        <f>+L87/C87*100</f>
        <v>12.450437094470587</v>
      </c>
      <c r="Y87" s="199">
        <f>+U87/C87*100</f>
        <v>12.509441617882352</v>
      </c>
    </row>
    <row r="88" spans="1:25" x14ac:dyDescent="0.2">
      <c r="A88" s="4">
        <v>24</v>
      </c>
      <c r="B88" s="251"/>
      <c r="C88" s="177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80"/>
      <c r="W88" s="199"/>
      <c r="X88" s="199"/>
    </row>
    <row r="89" spans="1:25" x14ac:dyDescent="0.2">
      <c r="A89" s="4">
        <v>25</v>
      </c>
      <c r="B89" s="251"/>
      <c r="C89" s="177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1"/>
      <c r="Q89" s="201"/>
      <c r="R89" s="201"/>
      <c r="S89" s="201"/>
      <c r="T89" s="201"/>
      <c r="U89" s="201"/>
      <c r="V89" s="178"/>
      <c r="W89" s="202"/>
      <c r="X89" s="193"/>
    </row>
    <row r="90" spans="1:25" x14ac:dyDescent="0.2">
      <c r="A90" s="4">
        <v>26</v>
      </c>
      <c r="B90" s="251"/>
      <c r="C90" s="145"/>
      <c r="D90" s="145"/>
      <c r="E90" s="145"/>
      <c r="F90" s="293" t="s">
        <v>166</v>
      </c>
      <c r="G90" s="293"/>
      <c r="H90" s="145"/>
      <c r="I90" s="293" t="s">
        <v>369</v>
      </c>
      <c r="J90" s="293"/>
      <c r="P90" s="177"/>
      <c r="Q90" s="177"/>
      <c r="R90" s="177"/>
      <c r="S90" s="177"/>
      <c r="T90" s="177"/>
      <c r="U90" s="177"/>
      <c r="V90" s="177"/>
      <c r="W90" s="177"/>
      <c r="X90" s="177"/>
    </row>
    <row r="91" spans="1:25" x14ac:dyDescent="0.2">
      <c r="A91" s="4">
        <v>27</v>
      </c>
      <c r="B91" s="251"/>
      <c r="C91" s="7" t="s">
        <v>657</v>
      </c>
      <c r="D91" s="145"/>
      <c r="E91" s="145"/>
      <c r="F91" s="27">
        <f>+ROUND(ROUND('E-13c'!G126,2)*30,2)</f>
        <v>22.2</v>
      </c>
      <c r="G91" s="7" t="s">
        <v>56</v>
      </c>
      <c r="H91" s="145"/>
      <c r="I91" s="27">
        <f>ROUND(ROUND(+'E-13c'!N126,2)*30,2)</f>
        <v>22.5</v>
      </c>
      <c r="J91" s="7" t="s">
        <v>56</v>
      </c>
      <c r="K91" s="27"/>
      <c r="O91" s="177"/>
      <c r="P91" s="177"/>
      <c r="S91" s="177"/>
      <c r="T91" s="177"/>
      <c r="U91" s="177"/>
      <c r="V91" s="177"/>
      <c r="W91" s="177"/>
      <c r="X91" s="177"/>
    </row>
    <row r="92" spans="1:25" x14ac:dyDescent="0.2">
      <c r="A92" s="4">
        <v>28</v>
      </c>
      <c r="B92" s="251"/>
      <c r="C92" s="7" t="s">
        <v>139</v>
      </c>
      <c r="D92" s="145"/>
      <c r="E92" s="145"/>
      <c r="F92" s="27">
        <v>0</v>
      </c>
      <c r="G92" s="7" t="s">
        <v>170</v>
      </c>
      <c r="H92" s="145"/>
      <c r="I92" s="27">
        <v>0</v>
      </c>
      <c r="J92" s="7" t="s">
        <v>170</v>
      </c>
      <c r="K92" s="200"/>
      <c r="O92" s="191"/>
      <c r="S92" s="177"/>
      <c r="T92" s="177"/>
      <c r="U92" s="177"/>
      <c r="V92" s="177"/>
      <c r="W92" s="177"/>
      <c r="X92" s="177"/>
    </row>
    <row r="93" spans="1:25" x14ac:dyDescent="0.2">
      <c r="A93" s="4">
        <v>29</v>
      </c>
      <c r="B93" s="251"/>
      <c r="C93" s="7" t="s">
        <v>140</v>
      </c>
      <c r="D93" s="145"/>
      <c r="E93" s="145"/>
      <c r="F93" s="28">
        <f>ROUND(+'E-13c'!G132,3)/10</f>
        <v>6.6340000000000003</v>
      </c>
      <c r="G93" s="7" t="s">
        <v>246</v>
      </c>
      <c r="H93" s="145"/>
      <c r="I93" s="28">
        <f>ROUND(+'E-13c'!N132,3)/10</f>
        <v>6.6879999999999997</v>
      </c>
      <c r="J93" s="7" t="s">
        <v>246</v>
      </c>
      <c r="K93" s="28"/>
      <c r="O93" s="177"/>
      <c r="P93" s="177"/>
      <c r="S93" s="177"/>
      <c r="T93" s="177"/>
      <c r="U93" s="177"/>
      <c r="V93" s="177"/>
      <c r="W93" s="177"/>
      <c r="X93" s="177"/>
    </row>
    <row r="94" spans="1:25" x14ac:dyDescent="0.2">
      <c r="A94" s="4">
        <v>30</v>
      </c>
      <c r="B94" s="251"/>
      <c r="C94" s="7" t="s">
        <v>171</v>
      </c>
      <c r="F94" s="28">
        <v>4.1260000000000003</v>
      </c>
      <c r="G94" s="7" t="s">
        <v>246</v>
      </c>
      <c r="I94" s="28">
        <f t="shared" ref="I94:I99" si="2">+F94</f>
        <v>4.1260000000000003</v>
      </c>
      <c r="J94" s="7" t="s">
        <v>246</v>
      </c>
      <c r="K94" s="28"/>
      <c r="O94" s="177"/>
      <c r="P94" s="177"/>
      <c r="S94" s="177"/>
      <c r="T94" s="177"/>
      <c r="U94" s="177"/>
      <c r="V94" s="177"/>
      <c r="W94" s="177"/>
      <c r="X94" s="177"/>
    </row>
    <row r="95" spans="1:25" x14ac:dyDescent="0.2">
      <c r="A95" s="4">
        <v>31</v>
      </c>
      <c r="B95" s="251"/>
      <c r="C95" s="7" t="s">
        <v>172</v>
      </c>
      <c r="D95" s="145"/>
      <c r="E95" s="145"/>
      <c r="F95" s="28">
        <v>0.218</v>
      </c>
      <c r="G95" s="7" t="s">
        <v>246</v>
      </c>
      <c r="H95" s="145"/>
      <c r="I95" s="28">
        <f t="shared" si="2"/>
        <v>0.218</v>
      </c>
      <c r="J95" s="7" t="s">
        <v>246</v>
      </c>
      <c r="K95" s="28"/>
      <c r="O95" s="177"/>
      <c r="P95" s="177"/>
      <c r="S95" s="177"/>
      <c r="T95" s="177"/>
      <c r="U95" s="177"/>
      <c r="V95" s="177"/>
      <c r="W95" s="177"/>
      <c r="X95" s="177"/>
    </row>
    <row r="96" spans="1:25" x14ac:dyDescent="0.2">
      <c r="A96" s="4">
        <v>32</v>
      </c>
      <c r="B96" s="251"/>
      <c r="C96" s="7" t="s">
        <v>173</v>
      </c>
      <c r="D96" s="145"/>
      <c r="E96" s="145"/>
      <c r="F96" s="28">
        <v>4.8000000000000001E-2</v>
      </c>
      <c r="G96" s="7" t="s">
        <v>246</v>
      </c>
      <c r="I96" s="28">
        <f t="shared" si="2"/>
        <v>4.8000000000000001E-2</v>
      </c>
      <c r="J96" s="7" t="s">
        <v>246</v>
      </c>
      <c r="K96" s="28"/>
      <c r="O96" s="177"/>
      <c r="P96" s="177"/>
      <c r="Q96" s="177"/>
      <c r="R96" s="177"/>
      <c r="S96" s="177"/>
      <c r="T96" s="177"/>
      <c r="U96" s="177"/>
      <c r="V96" s="177"/>
      <c r="W96" s="177"/>
      <c r="X96" s="177"/>
    </row>
    <row r="97" spans="1:25" x14ac:dyDescent="0.2">
      <c r="A97" s="4">
        <v>33</v>
      </c>
      <c r="B97" s="251"/>
      <c r="C97" s="7" t="s">
        <v>667</v>
      </c>
      <c r="D97" s="145"/>
      <c r="E97" s="145"/>
      <c r="F97" s="28">
        <v>0.40200000000000002</v>
      </c>
      <c r="G97" s="7" t="s">
        <v>246</v>
      </c>
      <c r="I97" s="28">
        <f t="shared" si="2"/>
        <v>0.40200000000000002</v>
      </c>
      <c r="J97" s="7" t="s">
        <v>246</v>
      </c>
      <c r="K97" s="28"/>
      <c r="O97" s="177"/>
      <c r="P97" s="177"/>
      <c r="Q97" s="177"/>
      <c r="R97" s="177"/>
      <c r="S97" s="177"/>
      <c r="T97" s="177"/>
      <c r="U97" s="177"/>
      <c r="V97" s="177"/>
      <c r="W97" s="177"/>
      <c r="X97" s="177"/>
    </row>
    <row r="98" spans="1:25" x14ac:dyDescent="0.2">
      <c r="A98" s="4">
        <v>34</v>
      </c>
      <c r="B98" s="251"/>
      <c r="C98" s="7" t="s">
        <v>174</v>
      </c>
      <c r="D98" s="145"/>
      <c r="E98" s="145"/>
      <c r="F98" s="28">
        <v>0.13500000000000001</v>
      </c>
      <c r="G98" s="7" t="s">
        <v>246</v>
      </c>
      <c r="H98" s="6"/>
      <c r="I98" s="28">
        <f t="shared" si="2"/>
        <v>0.13500000000000001</v>
      </c>
      <c r="J98" s="7" t="s">
        <v>246</v>
      </c>
      <c r="K98" s="28"/>
      <c r="O98" s="177"/>
      <c r="P98" s="177"/>
      <c r="Q98" s="177"/>
      <c r="R98" s="177"/>
      <c r="S98" s="177"/>
      <c r="T98" s="177"/>
      <c r="U98" s="177"/>
      <c r="V98" s="177"/>
      <c r="W98" s="177"/>
      <c r="X98" s="177"/>
    </row>
    <row r="99" spans="1:25" x14ac:dyDescent="0.2">
      <c r="A99" s="4">
        <v>35</v>
      </c>
      <c r="B99" s="251"/>
      <c r="C99" s="7" t="s">
        <v>527</v>
      </c>
      <c r="D99" s="145"/>
      <c r="E99" s="145"/>
      <c r="F99" s="28">
        <v>0.315</v>
      </c>
      <c r="G99" s="7" t="s">
        <v>246</v>
      </c>
      <c r="H99" s="6"/>
      <c r="I99" s="28">
        <f t="shared" si="2"/>
        <v>0.315</v>
      </c>
      <c r="J99" s="7" t="s">
        <v>246</v>
      </c>
      <c r="K99" s="28"/>
      <c r="O99" s="177"/>
      <c r="P99" s="177"/>
      <c r="Q99" s="177"/>
      <c r="R99" s="177"/>
      <c r="S99" s="177"/>
      <c r="T99" s="177"/>
      <c r="U99" s="177"/>
      <c r="V99" s="177"/>
      <c r="W99" s="177"/>
      <c r="X99" s="177"/>
    </row>
    <row r="100" spans="1:25" x14ac:dyDescent="0.2">
      <c r="A100" s="4">
        <v>36</v>
      </c>
      <c r="B100" s="9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5" x14ac:dyDescent="0.2">
      <c r="A101" s="4">
        <v>37</v>
      </c>
      <c r="B101" s="9"/>
      <c r="C101" s="177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5" x14ac:dyDescent="0.2">
      <c r="A102" s="4">
        <v>38</v>
      </c>
      <c r="B102" s="9"/>
      <c r="C102" s="177" t="s">
        <v>756</v>
      </c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5" x14ac:dyDescent="0.2">
      <c r="A103" s="4">
        <v>41</v>
      </c>
      <c r="B103" s="9"/>
      <c r="C103" s="177"/>
      <c r="E103" s="9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5" ht="13.5" thickBot="1" x14ac:dyDescent="0.25">
      <c r="A104" s="4">
        <v>42</v>
      </c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81"/>
    </row>
    <row r="105" spans="1:25" x14ac:dyDescent="0.2">
      <c r="A105" s="9"/>
      <c r="B105" s="4"/>
      <c r="C105" s="4"/>
      <c r="D105" s="4"/>
      <c r="E105" s="4"/>
      <c r="F105" s="4"/>
      <c r="G105" s="4"/>
      <c r="H105" s="4"/>
      <c r="I105" s="4"/>
      <c r="J105" s="292" t="s">
        <v>768</v>
      </c>
      <c r="K105" s="292"/>
      <c r="L105" s="292"/>
      <c r="M105" s="292"/>
      <c r="N105" s="292"/>
      <c r="O105" s="292"/>
      <c r="P105" s="4"/>
      <c r="Q105" s="4"/>
      <c r="R105" s="4"/>
      <c r="S105" s="4"/>
      <c r="T105" s="4"/>
      <c r="U105" s="4"/>
      <c r="V105" s="4"/>
      <c r="W105" s="4"/>
      <c r="X105" s="4"/>
    </row>
    <row r="106" spans="1:25" ht="13.5" thickBot="1" x14ac:dyDescent="0.25">
      <c r="A106" s="16" t="s">
        <v>143</v>
      </c>
      <c r="B106" s="16"/>
      <c r="C106" s="16"/>
      <c r="D106" s="16"/>
      <c r="E106" s="16"/>
      <c r="F106" s="16"/>
      <c r="G106" s="16"/>
      <c r="H106" s="16"/>
      <c r="I106" s="16"/>
      <c r="J106" s="16" t="s">
        <v>144</v>
      </c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 t="s">
        <v>759</v>
      </c>
      <c r="Y106" s="81"/>
    </row>
    <row r="107" spans="1:25" x14ac:dyDescent="0.2">
      <c r="A107" s="4" t="s">
        <v>21</v>
      </c>
      <c r="B107" s="4"/>
      <c r="C107" s="4"/>
      <c r="D107" s="4"/>
      <c r="E107" s="4"/>
      <c r="F107" s="4"/>
      <c r="G107" s="4"/>
      <c r="I107" s="4" t="s">
        <v>760</v>
      </c>
      <c r="J107" s="4"/>
      <c r="K107" s="4" t="s">
        <v>145</v>
      </c>
      <c r="L107" s="56"/>
      <c r="M107" s="56"/>
      <c r="N107" s="4"/>
      <c r="O107" s="56"/>
      <c r="P107" s="56"/>
      <c r="Q107" s="56"/>
      <c r="R107" s="56"/>
      <c r="S107" s="56"/>
      <c r="T107" s="56"/>
      <c r="U107" s="56" t="s">
        <v>30</v>
      </c>
      <c r="V107" s="4"/>
      <c r="W107" s="4"/>
      <c r="X107" s="20"/>
    </row>
    <row r="108" spans="1:2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21"/>
      <c r="M108" s="22"/>
      <c r="N108" s="4"/>
      <c r="O108" s="4"/>
      <c r="P108" s="4"/>
      <c r="Q108" s="4"/>
      <c r="R108" s="4"/>
      <c r="S108" s="4"/>
      <c r="T108" s="21"/>
      <c r="U108" s="21"/>
      <c r="V108" s="22" t="s">
        <v>754</v>
      </c>
      <c r="W108" s="4"/>
      <c r="X108" s="70"/>
    </row>
    <row r="109" spans="1:25" x14ac:dyDescent="0.2">
      <c r="A109" s="4" t="s">
        <v>29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21"/>
      <c r="M109" s="22"/>
      <c r="N109" s="21"/>
      <c r="O109" s="4"/>
      <c r="P109" s="4"/>
      <c r="Q109" s="4"/>
      <c r="R109" s="4"/>
      <c r="S109" s="4"/>
      <c r="T109" s="4"/>
      <c r="U109" s="22"/>
      <c r="V109" s="22" t="s">
        <v>755</v>
      </c>
      <c r="W109" s="4"/>
      <c r="X109" s="70"/>
    </row>
    <row r="110" spans="1:25" x14ac:dyDescent="0.2">
      <c r="A110" s="4"/>
      <c r="B110" s="4"/>
      <c r="C110" s="4"/>
      <c r="D110" s="4"/>
      <c r="E110" s="4"/>
      <c r="F110" s="4"/>
      <c r="H110" s="283"/>
      <c r="I110" s="283"/>
      <c r="J110" s="296" t="s">
        <v>388</v>
      </c>
      <c r="K110" s="296"/>
      <c r="L110" s="296"/>
      <c r="M110" s="296"/>
      <c r="N110" s="296"/>
      <c r="O110" s="296"/>
      <c r="P110" s="283"/>
      <c r="Q110" s="4"/>
      <c r="R110" s="4"/>
      <c r="S110" s="4"/>
      <c r="T110" s="4"/>
      <c r="U110" s="21"/>
      <c r="V110" s="22"/>
      <c r="W110" s="4"/>
      <c r="X110" s="70"/>
    </row>
    <row r="111" spans="1:25" ht="13.5" thickBot="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51"/>
      <c r="M111" s="16"/>
      <c r="N111" s="16"/>
      <c r="O111" s="16"/>
      <c r="P111" s="16"/>
      <c r="Q111" s="16"/>
      <c r="R111" s="16"/>
      <c r="S111" s="16"/>
      <c r="T111" s="16"/>
      <c r="U111" s="16"/>
      <c r="V111" s="16" t="s">
        <v>738</v>
      </c>
      <c r="W111" s="16"/>
      <c r="X111" s="16"/>
      <c r="Y111" s="81"/>
    </row>
    <row r="112" spans="1:25" x14ac:dyDescent="0.2">
      <c r="A112" s="4"/>
      <c r="B112" s="297" t="s">
        <v>235</v>
      </c>
      <c r="C112" s="297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pans="1:25" x14ac:dyDescent="0.2">
      <c r="A113" s="4"/>
      <c r="B113" s="298" t="s">
        <v>606</v>
      </c>
      <c r="C113" s="298"/>
      <c r="D113" s="294" t="s">
        <v>263</v>
      </c>
      <c r="E113" s="294"/>
      <c r="F113" s="294"/>
      <c r="G113" s="294"/>
      <c r="H113" s="294"/>
      <c r="I113" s="294"/>
      <c r="J113" s="294"/>
      <c r="K113" s="294"/>
      <c r="L113" s="294"/>
      <c r="M113" s="294" t="s">
        <v>368</v>
      </c>
      <c r="N113" s="294"/>
      <c r="O113" s="294"/>
      <c r="P113" s="294"/>
      <c r="Q113" s="294"/>
      <c r="R113" s="294"/>
      <c r="S113" s="294"/>
      <c r="T113" s="294"/>
      <c r="U113" s="294"/>
      <c r="V113" s="299" t="s">
        <v>234</v>
      </c>
      <c r="W113" s="299"/>
      <c r="X113" s="299" t="s">
        <v>146</v>
      </c>
      <c r="Y113" s="299"/>
    </row>
    <row r="114" spans="1:25" x14ac:dyDescent="0.2">
      <c r="A114" s="4"/>
      <c r="B114" s="148" t="s">
        <v>22</v>
      </c>
      <c r="C114" s="13" t="s">
        <v>23</v>
      </c>
      <c r="D114" s="23" t="s">
        <v>24</v>
      </c>
      <c r="E114" s="13" t="s">
        <v>25</v>
      </c>
      <c r="F114" s="13" t="s">
        <v>18</v>
      </c>
      <c r="G114" s="14" t="s">
        <v>19</v>
      </c>
      <c r="H114" s="14" t="s">
        <v>147</v>
      </c>
      <c r="I114" s="14" t="s">
        <v>148</v>
      </c>
      <c r="J114" s="14" t="s">
        <v>149</v>
      </c>
      <c r="K114" s="14" t="s">
        <v>150</v>
      </c>
      <c r="L114" s="2" t="s">
        <v>151</v>
      </c>
      <c r="M114" s="14" t="s">
        <v>152</v>
      </c>
      <c r="N114" s="14" t="s">
        <v>153</v>
      </c>
      <c r="O114" s="14" t="s">
        <v>154</v>
      </c>
      <c r="P114" s="14" t="s">
        <v>155</v>
      </c>
      <c r="Q114" s="14" t="s">
        <v>156</v>
      </c>
      <c r="R114" s="14" t="s">
        <v>157</v>
      </c>
      <c r="S114" s="14" t="s">
        <v>158</v>
      </c>
      <c r="T114" s="14" t="s">
        <v>180</v>
      </c>
      <c r="U114" s="2" t="s">
        <v>74</v>
      </c>
      <c r="V114" s="14" t="s">
        <v>248</v>
      </c>
      <c r="W114" s="2" t="s">
        <v>264</v>
      </c>
      <c r="X114" s="10" t="s">
        <v>531</v>
      </c>
      <c r="Y114" s="10" t="s">
        <v>614</v>
      </c>
    </row>
    <row r="115" spans="1:25" x14ac:dyDescent="0.2">
      <c r="A115" s="4" t="s">
        <v>26</v>
      </c>
      <c r="B115" s="149" t="s">
        <v>159</v>
      </c>
      <c r="C115" s="145"/>
      <c r="D115" s="24" t="s">
        <v>160</v>
      </c>
      <c r="E115" s="145" t="s">
        <v>161</v>
      </c>
      <c r="F115" s="145" t="s">
        <v>162</v>
      </c>
      <c r="G115" s="3" t="s">
        <v>163</v>
      </c>
      <c r="H115" s="145" t="s">
        <v>175</v>
      </c>
      <c r="I115" s="145" t="s">
        <v>665</v>
      </c>
      <c r="J115" s="145" t="s">
        <v>526</v>
      </c>
      <c r="K115" s="145" t="s">
        <v>179</v>
      </c>
      <c r="L115" s="25" t="s">
        <v>35</v>
      </c>
      <c r="M115" s="13" t="s">
        <v>160</v>
      </c>
      <c r="N115" s="13" t="s">
        <v>161</v>
      </c>
      <c r="O115" s="3" t="s">
        <v>162</v>
      </c>
      <c r="P115" s="3" t="s">
        <v>163</v>
      </c>
      <c r="Q115" s="145" t="s">
        <v>175</v>
      </c>
      <c r="R115" s="145" t="s">
        <v>665</v>
      </c>
      <c r="S115" s="145" t="s">
        <v>526</v>
      </c>
      <c r="T115" s="145" t="s">
        <v>179</v>
      </c>
      <c r="U115" s="25" t="s">
        <v>35</v>
      </c>
      <c r="V115" s="3" t="s">
        <v>164</v>
      </c>
      <c r="W115" s="25" t="s">
        <v>165</v>
      </c>
      <c r="X115" s="148" t="s">
        <v>166</v>
      </c>
      <c r="Y115" s="148" t="s">
        <v>138</v>
      </c>
    </row>
    <row r="116" spans="1:25" ht="13.5" thickBot="1" x14ac:dyDescent="0.25">
      <c r="A116" s="16" t="s">
        <v>28</v>
      </c>
      <c r="B116" s="250" t="s">
        <v>167</v>
      </c>
      <c r="C116" s="194" t="s">
        <v>168</v>
      </c>
      <c r="D116" s="195" t="s">
        <v>137</v>
      </c>
      <c r="E116" s="194" t="s">
        <v>169</v>
      </c>
      <c r="F116" s="194" t="s">
        <v>169</v>
      </c>
      <c r="G116" s="17" t="s">
        <v>169</v>
      </c>
      <c r="H116" s="194" t="s">
        <v>169</v>
      </c>
      <c r="I116" s="194" t="s">
        <v>666</v>
      </c>
      <c r="J116" s="194" t="s">
        <v>169</v>
      </c>
      <c r="K116" s="194" t="s">
        <v>169</v>
      </c>
      <c r="L116" s="196"/>
      <c r="M116" s="17" t="s">
        <v>137</v>
      </c>
      <c r="N116" s="17" t="s">
        <v>169</v>
      </c>
      <c r="O116" s="17" t="s">
        <v>169</v>
      </c>
      <c r="P116" s="17" t="s">
        <v>169</v>
      </c>
      <c r="Q116" s="194" t="s">
        <v>169</v>
      </c>
      <c r="R116" s="194" t="s">
        <v>666</v>
      </c>
      <c r="S116" s="194" t="s">
        <v>169</v>
      </c>
      <c r="T116" s="194" t="s">
        <v>169</v>
      </c>
      <c r="U116" s="196"/>
      <c r="V116" s="194" t="s">
        <v>740</v>
      </c>
      <c r="W116" s="196" t="s">
        <v>741</v>
      </c>
      <c r="X116" s="151" t="s">
        <v>742</v>
      </c>
      <c r="Y116" s="151" t="s">
        <v>743</v>
      </c>
    </row>
    <row r="117" spans="1:25" x14ac:dyDescent="0.2">
      <c r="A117" s="4">
        <v>1</v>
      </c>
      <c r="B117" s="252">
        <v>75</v>
      </c>
      <c r="C117" s="177">
        <f>+B117*730*0.2</f>
        <v>10950</v>
      </c>
      <c r="D117" s="197">
        <f>+$I$135+($I$136*$B117+$I$139*$C117)/100</f>
        <v>804.95099999999991</v>
      </c>
      <c r="E117" s="179">
        <f>+$C117*$I$142/100</f>
        <v>451.79700000000003</v>
      </c>
      <c r="F117" s="179">
        <f>+$C117*$I$145/100</f>
        <v>21.133499999999998</v>
      </c>
      <c r="G117" s="179">
        <f>+$C117*$I$146/100</f>
        <v>4.2705000000000002</v>
      </c>
      <c r="H117" s="179">
        <f>+$C117*$I$148/100</f>
        <v>14.234999999999999</v>
      </c>
      <c r="I117" s="227">
        <f>+$C117*$I$147/100</f>
        <v>28.579500000000003</v>
      </c>
      <c r="J117" s="179">
        <f>C117*I149/100</f>
        <v>15.439499999999999</v>
      </c>
      <c r="K117" s="179">
        <f>+SUM(D117:J117)*0.025641</f>
        <v>34.369350245999996</v>
      </c>
      <c r="L117" s="179">
        <f>SUM(D117:K117)</f>
        <v>1374.775350246</v>
      </c>
      <c r="M117" s="197">
        <f>+$O$135+$O$136*$B117+$O$139/100*$C117</f>
        <v>811.54287000000011</v>
      </c>
      <c r="N117" s="179">
        <f>+$C117*$O$142/100</f>
        <v>451.79700000000003</v>
      </c>
      <c r="O117" s="179">
        <f>+$C117*$O$145/100</f>
        <v>21.133499999999998</v>
      </c>
      <c r="P117" s="179">
        <f>+$C117*$O$146/100</f>
        <v>4.2705000000000002</v>
      </c>
      <c r="Q117" s="179">
        <f>+$C117*$O$148/100</f>
        <v>14.234999999999999</v>
      </c>
      <c r="R117" s="227">
        <f>+$C117*$O$147/100</f>
        <v>28.579500000000003</v>
      </c>
      <c r="S117" s="179">
        <f>C117*$O$149/100</f>
        <v>15.439499999999999</v>
      </c>
      <c r="T117" s="179">
        <f>+SUM(M117:S117)*0.025641</f>
        <v>34.538372384670005</v>
      </c>
      <c r="U117" s="179">
        <f>SUM(M117:T117)</f>
        <v>1381.5362423846702</v>
      </c>
      <c r="V117" s="197">
        <f>+U117-L117</f>
        <v>6.760892138670215</v>
      </c>
      <c r="W117" s="180">
        <f>+V117/L117</f>
        <v>4.9178159453182168E-3</v>
      </c>
      <c r="X117" s="203">
        <f>(+L117*100)/C117</f>
        <v>12.555026029643834</v>
      </c>
      <c r="Y117" s="191">
        <f>(+U117*100)/C117</f>
        <v>12.616769336846303</v>
      </c>
    </row>
    <row r="118" spans="1:25" x14ac:dyDescent="0.2">
      <c r="A118" s="4">
        <v>2</v>
      </c>
      <c r="B118" s="252">
        <v>75</v>
      </c>
      <c r="C118" s="177">
        <f>+B118*730*0.35</f>
        <v>19162.5</v>
      </c>
      <c r="D118" s="189">
        <f>+$F$135+$F$136*$B118+($F$139*$C118)/100</f>
        <v>1203.2362499999999</v>
      </c>
      <c r="E118" s="179">
        <f>+$C118*$F$142/100</f>
        <v>790.64475000000004</v>
      </c>
      <c r="F118" s="179">
        <f>+$B118*$F$145</f>
        <v>60.750000000000007</v>
      </c>
      <c r="G118" s="179">
        <f>+$B118*$F$146</f>
        <v>12.750000000000002</v>
      </c>
      <c r="H118" s="179">
        <f>+$C118*$F$148/100</f>
        <v>24.911249999999999</v>
      </c>
      <c r="I118" s="227">
        <f>+$B118*$F$147</f>
        <v>82.5</v>
      </c>
      <c r="J118" s="179">
        <f>B118*F149</f>
        <v>44.25</v>
      </c>
      <c r="K118" s="179">
        <f>+SUM(D118:J118)*0.025641</f>
        <v>56.898462332249998</v>
      </c>
      <c r="L118" s="179">
        <f>SUM(D118:K118)</f>
        <v>2275.9407123322499</v>
      </c>
      <c r="M118" s="189">
        <f>+$L$135+$L$136*$B118+$L$139/100*$C118</f>
        <v>1213.0628930065923</v>
      </c>
      <c r="N118" s="179">
        <f>+$C118*$L$142/100</f>
        <v>790.64475000000004</v>
      </c>
      <c r="O118" s="179">
        <f>+$B118*$L$145</f>
        <v>60.750000000000007</v>
      </c>
      <c r="P118" s="179">
        <f>+$B118*$L$146</f>
        <v>12.750000000000002</v>
      </c>
      <c r="Q118" s="179">
        <f>+$C118*$L$148/100</f>
        <v>24.911249999999999</v>
      </c>
      <c r="R118" s="227">
        <f>+$B118*$L$147</f>
        <v>82.5</v>
      </c>
      <c r="S118" s="179">
        <f>B118*$L$149</f>
        <v>44.25</v>
      </c>
      <c r="T118" s="179">
        <f>+SUM(M118:S118)*0.025641</f>
        <v>57.150427285582033</v>
      </c>
      <c r="U118" s="179">
        <f>SUM(M118:T118)</f>
        <v>2286.0193202921741</v>
      </c>
      <c r="V118" s="189">
        <f>+U118-L118</f>
        <v>10.078607959924284</v>
      </c>
      <c r="W118" s="180">
        <f>+V118/L118</f>
        <v>4.4283262324510729E-3</v>
      </c>
      <c r="X118" s="190">
        <f>(+L118*100)/C118</f>
        <v>11.877055250266144</v>
      </c>
      <c r="Y118" s="191">
        <f>(+U118*100)/C118</f>
        <v>11.929650725595168</v>
      </c>
    </row>
    <row r="119" spans="1:25" x14ac:dyDescent="0.2">
      <c r="A119" s="4">
        <v>3</v>
      </c>
      <c r="B119" s="252">
        <v>75</v>
      </c>
      <c r="C119" s="177">
        <f>+B119*730*0.6</f>
        <v>32850</v>
      </c>
      <c r="D119" s="189">
        <f>+$F$135+$F$136*$B119+($F$139*$C119)/100</f>
        <v>1303.155</v>
      </c>
      <c r="E119" s="179">
        <f>+$C119*$F$142/100</f>
        <v>1355.3910000000001</v>
      </c>
      <c r="F119" s="179">
        <f>+$B119*$F$145</f>
        <v>60.750000000000007</v>
      </c>
      <c r="G119" s="179">
        <f>+$B119*$F$146</f>
        <v>12.750000000000002</v>
      </c>
      <c r="H119" s="179">
        <f>+$C119*$F$148/100</f>
        <v>42.704999999999998</v>
      </c>
      <c r="I119" s="227">
        <f>+$B119*$F$147</f>
        <v>82.5</v>
      </c>
      <c r="J119" s="179">
        <f>B119*F149</f>
        <v>44.25</v>
      </c>
      <c r="K119" s="179">
        <f>+SUM(D119:J119)*0.025641</f>
        <v>74.39738714100001</v>
      </c>
      <c r="L119" s="179">
        <f>SUM(D119:K119)</f>
        <v>2975.8983871410001</v>
      </c>
      <c r="M119" s="189">
        <f>+$L$135+$L$136*$B119+$L$139/100*$C119</f>
        <v>1313.7892055065922</v>
      </c>
      <c r="N119" s="179">
        <f>+$C119*$L$142/100</f>
        <v>1355.3910000000001</v>
      </c>
      <c r="O119" s="179">
        <f>+$B119*$L$145</f>
        <v>60.750000000000007</v>
      </c>
      <c r="P119" s="179">
        <f>+$B119*$L$146</f>
        <v>12.750000000000002</v>
      </c>
      <c r="Q119" s="179">
        <f>+$C119*$L$148/100</f>
        <v>42.704999999999998</v>
      </c>
      <c r="R119" s="227">
        <f>+$B119*$L$147</f>
        <v>82.5</v>
      </c>
      <c r="S119" s="179">
        <f>B119*$L$149</f>
        <v>44.25</v>
      </c>
      <c r="T119" s="179">
        <f>+SUM(M119:S119)*0.025641</f>
        <v>74.670058804394529</v>
      </c>
      <c r="U119" s="179">
        <f>SUM(M119:T119)</f>
        <v>2986.8052643109868</v>
      </c>
      <c r="V119" s="189">
        <f>+U119-L119</f>
        <v>10.906877169986728</v>
      </c>
      <c r="W119" s="180">
        <f>+V119/L119</f>
        <v>3.6650704261663868E-3</v>
      </c>
      <c r="X119" s="190">
        <f>(+L119*100)/C119</f>
        <v>9.0590514068219186</v>
      </c>
      <c r="Y119" s="191">
        <f>(+U119*100)/C119</f>
        <v>9.0922534682221823</v>
      </c>
    </row>
    <row r="120" spans="1:25" x14ac:dyDescent="0.2">
      <c r="A120" s="4">
        <v>4</v>
      </c>
      <c r="B120" s="252">
        <v>75</v>
      </c>
      <c r="C120" s="177">
        <f>+B120*730*0.9</f>
        <v>49275</v>
      </c>
      <c r="D120" s="189">
        <f>+$G$135+($G$137*$B120+$G$138*$B120*0.99)+$G$140/100*$C120*0.25+$G$141/100*$C120*0.75</f>
        <v>1384.68068625</v>
      </c>
      <c r="E120" s="179">
        <f>+$C120*0.25*$G$143/100+$C120*0.75*$G$144/100</f>
        <v>2020.5213750000003</v>
      </c>
      <c r="F120" s="179">
        <f>$B120*$G$145</f>
        <v>60.750000000000007</v>
      </c>
      <c r="G120" s="179">
        <f>$B120*$G$146</f>
        <v>12.750000000000002</v>
      </c>
      <c r="H120" s="179">
        <f>+$C120*$G$148/100</f>
        <v>64.057500000000005</v>
      </c>
      <c r="I120" s="227">
        <f>+$B120*$F$147</f>
        <v>82.5</v>
      </c>
      <c r="J120" s="179">
        <f>B120*G149</f>
        <v>44.25</v>
      </c>
      <c r="K120" s="179">
        <f>+SUM(D120:J120)*0.025641</f>
        <v>94.089894660011254</v>
      </c>
      <c r="L120" s="179">
        <f>SUM(D120:K120)</f>
        <v>3763.5994559100113</v>
      </c>
      <c r="M120" s="189">
        <f>+$M$135+$M$137*$B120+$M$138*$B120*0.99+$M$140/100*$C120*0.25+$M$141/100*$C120*0.75</f>
        <v>1396.079251875</v>
      </c>
      <c r="N120" s="179">
        <f>+$C120*0.25*$M$143/100+$C120*0.75*$M$144/100</f>
        <v>2020.5213750000003</v>
      </c>
      <c r="O120" s="179">
        <f>$B120*$M$145</f>
        <v>60.750000000000007</v>
      </c>
      <c r="P120" s="179">
        <f>$B120*$M$146</f>
        <v>12.750000000000002</v>
      </c>
      <c r="Q120" s="179">
        <f>+$C120*$M$148/100</f>
        <v>64.057500000000005</v>
      </c>
      <c r="R120" s="227">
        <f>+$B120*$L$147</f>
        <v>82.5</v>
      </c>
      <c r="S120" s="179">
        <f>B120*$M$149</f>
        <v>44.25</v>
      </c>
      <c r="T120" s="179">
        <f>+SUM(M120:S120)*0.025641</f>
        <v>94.382165281201878</v>
      </c>
      <c r="U120" s="179">
        <f>SUM(M120:T120)</f>
        <v>3775.2902921562018</v>
      </c>
      <c r="V120" s="189">
        <f>+U120-L120</f>
        <v>11.690836246190429</v>
      </c>
      <c r="W120" s="180">
        <f>+V120/L120</f>
        <v>3.1062912998970206E-3</v>
      </c>
      <c r="X120" s="190">
        <f>(+L120*100)/C120</f>
        <v>7.637949174855426</v>
      </c>
      <c r="Y120" s="191">
        <f>(+U120*100)/C120</f>
        <v>7.661674869926336</v>
      </c>
    </row>
    <row r="121" spans="1:25" x14ac:dyDescent="0.2">
      <c r="A121" s="4">
        <v>5</v>
      </c>
      <c r="B121" s="252"/>
      <c r="C121" s="177"/>
      <c r="D121" s="189"/>
      <c r="E121" s="179"/>
      <c r="F121" s="179"/>
      <c r="G121" s="179"/>
      <c r="H121" s="179"/>
      <c r="I121" s="179"/>
      <c r="J121" s="179"/>
      <c r="K121" s="179"/>
      <c r="L121" s="229"/>
      <c r="M121" s="189"/>
      <c r="N121" s="179"/>
      <c r="O121" s="179"/>
      <c r="P121" s="179"/>
      <c r="Q121" s="179"/>
      <c r="R121" s="179"/>
      <c r="S121" s="179"/>
      <c r="T121" s="179"/>
      <c r="U121" s="179"/>
      <c r="V121" s="189"/>
      <c r="W121" s="180"/>
      <c r="X121" s="190"/>
      <c r="Y121" s="191"/>
    </row>
    <row r="122" spans="1:25" x14ac:dyDescent="0.2">
      <c r="A122" s="4">
        <v>6</v>
      </c>
      <c r="B122" s="252">
        <v>500</v>
      </c>
      <c r="C122" s="177">
        <f>+B122*730*0.2</f>
        <v>73000</v>
      </c>
      <c r="D122" s="189">
        <f>+$I$135+($I$136*$B122+$I$139*$C122)/100</f>
        <v>5184.4400000000005</v>
      </c>
      <c r="E122" s="179">
        <f>+$C122*$I$142/100</f>
        <v>3011.98</v>
      </c>
      <c r="F122" s="179">
        <f>+$C122*$I$145/100</f>
        <v>140.88999999999999</v>
      </c>
      <c r="G122" s="179">
        <f>+$C122*$I$146/100</f>
        <v>28.47</v>
      </c>
      <c r="H122" s="179">
        <f>+$C122*$I$148/100</f>
        <v>94.9</v>
      </c>
      <c r="I122" s="179">
        <f>+$B122*$I$147</f>
        <v>130.5</v>
      </c>
      <c r="J122" s="179">
        <f>C122*I149/100</f>
        <v>102.92999999999998</v>
      </c>
      <c r="K122" s="179">
        <f>+SUM(D122:J122)*0.025641</f>
        <v>222.92567450999996</v>
      </c>
      <c r="L122" s="179">
        <f>SUM(D122:K122)</f>
        <v>8917.035674509998</v>
      </c>
      <c r="M122" s="189">
        <f>+$O$135+$O$136*$B122+$O$139/100*$C122</f>
        <v>5226.6858000000002</v>
      </c>
      <c r="N122" s="179">
        <f>+$C122*$O$142/100</f>
        <v>3011.98</v>
      </c>
      <c r="O122" s="179">
        <f>+$C122*$O$145/100</f>
        <v>140.88999999999999</v>
      </c>
      <c r="P122" s="179">
        <f>+$C122*$O$146/100</f>
        <v>28.47</v>
      </c>
      <c r="Q122" s="179">
        <f>+$C122*$O$148/100</f>
        <v>94.9</v>
      </c>
      <c r="R122" s="179">
        <f>+$B122*$O$147</f>
        <v>130.5</v>
      </c>
      <c r="S122" s="179">
        <f>C122*$O$149/100</f>
        <v>102.92999999999998</v>
      </c>
      <c r="T122" s="179">
        <f>+SUM(M122:S122)*0.025641</f>
        <v>224.0088990678</v>
      </c>
      <c r="U122" s="179">
        <f>SUM(M122:T122)</f>
        <v>8960.3646990677989</v>
      </c>
      <c r="V122" s="189">
        <f>+U122-L122</f>
        <v>43.329024557800949</v>
      </c>
      <c r="W122" s="180">
        <f>+V122/L122</f>
        <v>4.8591287664868444E-3</v>
      </c>
      <c r="X122" s="190">
        <f>(+L122*100)/C122</f>
        <v>12.215117362342463</v>
      </c>
      <c r="Y122" s="191">
        <f>(+U122*100)/C122</f>
        <v>12.274472190503834</v>
      </c>
    </row>
    <row r="123" spans="1:25" x14ac:dyDescent="0.2">
      <c r="A123" s="4">
        <v>7</v>
      </c>
      <c r="B123" s="252">
        <v>500</v>
      </c>
      <c r="C123" s="177">
        <f>+B123*730*0.35</f>
        <v>127749.99999999999</v>
      </c>
      <c r="D123" s="189">
        <f>+$F$135+$F$136*$B123+($F$139*$C123)/100</f>
        <v>7839.6750000000002</v>
      </c>
      <c r="E123" s="179">
        <f>+$C123*$F$142/100</f>
        <v>5270.9650000000001</v>
      </c>
      <c r="F123" s="179">
        <f>+$B123*$F$145</f>
        <v>405</v>
      </c>
      <c r="G123" s="179">
        <f>+$B123*$F$146</f>
        <v>85</v>
      </c>
      <c r="H123" s="179">
        <f>+$C123*$F$148/100</f>
        <v>166.07499999999999</v>
      </c>
      <c r="I123" s="179">
        <f>+$B123*$F$147</f>
        <v>550</v>
      </c>
      <c r="J123" s="179">
        <f>B123*F149</f>
        <v>295</v>
      </c>
      <c r="K123" s="179">
        <f>+SUM(D123:J123)*0.025641</f>
        <v>374.658984315</v>
      </c>
      <c r="L123" s="179">
        <f>SUM(D123:K123)</f>
        <v>14986.373984315</v>
      </c>
      <c r="M123" s="189">
        <f>+$L$135+$L$136*$B123+$L$139/100*$C123</f>
        <v>7903.4859533772806</v>
      </c>
      <c r="N123" s="179">
        <f>+$C123*$L$142/100</f>
        <v>5270.9650000000001</v>
      </c>
      <c r="O123" s="179">
        <f>+$B123*$L$145</f>
        <v>405</v>
      </c>
      <c r="P123" s="179">
        <f>+$B123*$L$146</f>
        <v>85</v>
      </c>
      <c r="Q123" s="179">
        <f>+$C123*$L$148/100</f>
        <v>166.07499999999999</v>
      </c>
      <c r="R123" s="179">
        <f>+$B123*$L$147</f>
        <v>550</v>
      </c>
      <c r="S123" s="179">
        <f>B123*$L$149</f>
        <v>295</v>
      </c>
      <c r="T123" s="179">
        <f>+SUM(M123:S123)*0.025641</f>
        <v>376.29516097054687</v>
      </c>
      <c r="U123" s="179">
        <f>SUM(M123:T123)</f>
        <v>15051.821114347827</v>
      </c>
      <c r="V123" s="189">
        <f>+U123-L123</f>
        <v>65.447130032827772</v>
      </c>
      <c r="W123" s="180">
        <f>+V123/L123</f>
        <v>4.3671090886511898E-3</v>
      </c>
      <c r="X123" s="190">
        <f>(+L123*100)/C123</f>
        <v>11.731016817467712</v>
      </c>
      <c r="Y123" s="191">
        <f>(+U123*100)/C123</f>
        <v>11.782247447630395</v>
      </c>
    </row>
    <row r="124" spans="1:25" x14ac:dyDescent="0.2">
      <c r="A124" s="4">
        <v>8</v>
      </c>
      <c r="B124" s="252">
        <v>500</v>
      </c>
      <c r="C124" s="177">
        <f>+B124*730*0.6</f>
        <v>219000</v>
      </c>
      <c r="D124" s="189">
        <f>+$F$135+$F$136*$B124+($F$139*$C124)/100</f>
        <v>8505.8000000000011</v>
      </c>
      <c r="E124" s="179">
        <f>+$C124*$F$142/100</f>
        <v>9035.94</v>
      </c>
      <c r="F124" s="179">
        <f>+$B124*$F$145</f>
        <v>405</v>
      </c>
      <c r="G124" s="179">
        <f>+$B124*$F$146</f>
        <v>85</v>
      </c>
      <c r="H124" s="179">
        <f>+$C124*$F$148/100</f>
        <v>284.7</v>
      </c>
      <c r="I124" s="179">
        <f>+$B124*$F$147</f>
        <v>550</v>
      </c>
      <c r="J124" s="179">
        <f>B124*F149</f>
        <v>295</v>
      </c>
      <c r="K124" s="179">
        <f>+SUM(D124:J124)*0.025641</f>
        <v>491.31848304000005</v>
      </c>
      <c r="L124" s="179">
        <f>SUM(D124:K124)</f>
        <v>19652.758483040001</v>
      </c>
      <c r="M124" s="189">
        <f>+$L$135+$L$136*$B124+$L$139/100*$C124</f>
        <v>8574.9947033772805</v>
      </c>
      <c r="N124" s="179">
        <f>+$C124*$L$142/100</f>
        <v>9035.94</v>
      </c>
      <c r="O124" s="179">
        <f>+$B124*$L$145</f>
        <v>405</v>
      </c>
      <c r="P124" s="179">
        <f>+$B124*$L$146</f>
        <v>85</v>
      </c>
      <c r="Q124" s="179">
        <f>+$C124*$L$148/100</f>
        <v>284.7</v>
      </c>
      <c r="R124" s="179">
        <f>+$B124*$L$147</f>
        <v>550</v>
      </c>
      <c r="S124" s="179">
        <f>B124*$L$149</f>
        <v>295</v>
      </c>
      <c r="T124" s="179">
        <f>+SUM(M124:S124)*0.025641</f>
        <v>493.09270442929687</v>
      </c>
      <c r="U124" s="179">
        <f>SUM(M124:T124)</f>
        <v>19723.727407806578</v>
      </c>
      <c r="V124" s="189">
        <f>+U124-L124</f>
        <v>70.968924766577402</v>
      </c>
      <c r="W124" s="180">
        <f>+V124/L124</f>
        <v>3.6111431801201031E-3</v>
      </c>
      <c r="X124" s="190">
        <f>(+L124*100)/C124</f>
        <v>8.9738623210228319</v>
      </c>
      <c r="Y124" s="191">
        <f>(+U124*100)/C124</f>
        <v>9.0062682227427295</v>
      </c>
    </row>
    <row r="125" spans="1:25" x14ac:dyDescent="0.2">
      <c r="A125" s="4">
        <v>9</v>
      </c>
      <c r="B125" s="252">
        <v>500</v>
      </c>
      <c r="C125" s="177">
        <f>+B125*730*0.9</f>
        <v>328500</v>
      </c>
      <c r="D125" s="189">
        <f>+$G$135+($G$137*$B125+$G$138*$B125*0.99)+$G$140/100*$C125*0.25+$G$141/100*$C125*0.75</f>
        <v>9049.3045750000001</v>
      </c>
      <c r="E125" s="179">
        <f>+$C125*0.25*$G$143/100+$C125*0.75*$G$144/100</f>
        <v>13470.1425</v>
      </c>
      <c r="F125" s="179">
        <f>$B125*$G$145</f>
        <v>405</v>
      </c>
      <c r="G125" s="179">
        <f>$B125*$G$146</f>
        <v>85</v>
      </c>
      <c r="H125" s="179">
        <f>+$C125*$G$148/100</f>
        <v>427.05</v>
      </c>
      <c r="I125" s="179">
        <f>+$B125*$G$147</f>
        <v>550</v>
      </c>
      <c r="J125" s="179">
        <f>B125*G149</f>
        <v>295</v>
      </c>
      <c r="K125" s="179">
        <f>+SUM(D125:J125)*0.025641</f>
        <v>622.60186650007495</v>
      </c>
      <c r="L125" s="179">
        <f>SUM(D125:K125)</f>
        <v>24904.098941500073</v>
      </c>
      <c r="M125" s="189">
        <f>+$M$135+$M$137*$B125+$M$138*$B125*0.99+$M$140/100*$C125*0.25+$M$141/100*$C125*0.75</f>
        <v>9123.5950125000018</v>
      </c>
      <c r="N125" s="179">
        <f>+$C125*0.25*$M$143/100+$C125*0.75*$M$144/100</f>
        <v>13470.1425</v>
      </c>
      <c r="O125" s="179">
        <f>$B125*$M$145</f>
        <v>405</v>
      </c>
      <c r="P125" s="179">
        <f>$B125*$M$146</f>
        <v>85</v>
      </c>
      <c r="Q125" s="179">
        <f>+$C125*$M$148/100</f>
        <v>427.05</v>
      </c>
      <c r="R125" s="179">
        <f>+$B125*$M$147</f>
        <v>550</v>
      </c>
      <c r="S125" s="179">
        <f>B125*$M$149</f>
        <v>295</v>
      </c>
      <c r="T125" s="179">
        <f>+SUM(M125:S125)*0.025641</f>
        <v>624.50674760801257</v>
      </c>
      <c r="U125" s="179">
        <f>SUM(M125:T125)</f>
        <v>24980.294260108014</v>
      </c>
      <c r="V125" s="189">
        <f>+U125-L125</f>
        <v>76.195318607940862</v>
      </c>
      <c r="W125" s="180">
        <f>+V125/L125</f>
        <v>3.0595493049928959E-3</v>
      </c>
      <c r="X125" s="190">
        <f>(+L125*100)/C125</f>
        <v>7.5811564509893685</v>
      </c>
      <c r="Y125" s="191">
        <f>(+U125*100)/C125</f>
        <v>7.6043513729400347</v>
      </c>
    </row>
    <row r="126" spans="1:25" x14ac:dyDescent="0.2">
      <c r="A126" s="4">
        <v>10</v>
      </c>
      <c r="B126" s="252"/>
      <c r="C126" s="177"/>
      <c r="D126" s="189"/>
      <c r="E126" s="179"/>
      <c r="F126" s="179"/>
      <c r="G126" s="179"/>
      <c r="H126" s="179"/>
      <c r="I126" s="179"/>
      <c r="J126" s="179"/>
      <c r="K126" s="179"/>
      <c r="L126" s="229"/>
      <c r="M126" s="189"/>
      <c r="N126" s="179"/>
      <c r="O126" s="179"/>
      <c r="P126" s="179"/>
      <c r="Q126" s="179"/>
      <c r="R126" s="179"/>
      <c r="S126" s="179"/>
      <c r="T126" s="179"/>
      <c r="U126" s="179"/>
      <c r="V126" s="189"/>
      <c r="W126" s="180"/>
      <c r="X126" s="190"/>
      <c r="Y126" s="191"/>
    </row>
    <row r="127" spans="1:25" x14ac:dyDescent="0.2">
      <c r="A127" s="4">
        <v>11</v>
      </c>
      <c r="B127" s="252">
        <v>2000</v>
      </c>
      <c r="C127" s="177">
        <f>+B127*730*0.2</f>
        <v>292000</v>
      </c>
      <c r="D127" s="189">
        <f>+$I$135+($I$136*$B127+$I$139*$C127)/100</f>
        <v>20641.46</v>
      </c>
      <c r="E127" s="179">
        <f>+$C127*$I$142/100</f>
        <v>12047.92</v>
      </c>
      <c r="F127" s="179">
        <f>+$C127*$I$145/100</f>
        <v>563.55999999999995</v>
      </c>
      <c r="G127" s="179">
        <f>+$C127*$I$146/100</f>
        <v>113.88</v>
      </c>
      <c r="H127" s="179">
        <f>+$C127*$I$148/100</f>
        <v>379.6</v>
      </c>
      <c r="I127" s="179">
        <f>+$B127*$I$147</f>
        <v>522</v>
      </c>
      <c r="J127" s="179">
        <f>C127*I149/100</f>
        <v>411.71999999999991</v>
      </c>
      <c r="K127" s="179">
        <f>+SUM(D127:J127)*0.025641</f>
        <v>889.2334697399998</v>
      </c>
      <c r="L127" s="179">
        <f>SUM(D127:K127)</f>
        <v>35569.373469739992</v>
      </c>
      <c r="M127" s="189">
        <f>+$O$135+$O$136*$B127+$O$139/100*$C127</f>
        <v>20809.543200000004</v>
      </c>
      <c r="N127" s="179">
        <f>+$C127*$O$142/100</f>
        <v>12047.92</v>
      </c>
      <c r="O127" s="179">
        <f>+$C127*$O$145/100</f>
        <v>563.55999999999995</v>
      </c>
      <c r="P127" s="179">
        <f>+$C127*$O$146/100</f>
        <v>113.88</v>
      </c>
      <c r="Q127" s="179">
        <f>+$C127*$O$148/100</f>
        <v>379.6</v>
      </c>
      <c r="R127" s="179">
        <f>+$B127*$O$147</f>
        <v>522</v>
      </c>
      <c r="S127" s="179">
        <f>C127*$O$149/100</f>
        <v>411.71999999999991</v>
      </c>
      <c r="T127" s="179">
        <f>+SUM(M127:S127)*0.025641</f>
        <v>893.54329107119997</v>
      </c>
      <c r="U127" s="179">
        <f>SUM(M127:T127)</f>
        <v>35741.766491071197</v>
      </c>
      <c r="V127" s="189">
        <f>+U127-L127</f>
        <v>172.39302133120509</v>
      </c>
      <c r="W127" s="180">
        <f>+V127/L127</f>
        <v>4.8466701691517108E-3</v>
      </c>
      <c r="X127" s="190">
        <f>(+L127*100)/C127</f>
        <v>12.181292284157532</v>
      </c>
      <c r="Y127" s="191">
        <f>(+U127*100)/C127</f>
        <v>12.240330990092875</v>
      </c>
    </row>
    <row r="128" spans="1:25" x14ac:dyDescent="0.2">
      <c r="A128" s="4">
        <v>12</v>
      </c>
      <c r="B128" s="252">
        <v>2000</v>
      </c>
      <c r="C128" s="177">
        <f>+B128*730*0.35</f>
        <v>510999.99999999994</v>
      </c>
      <c r="D128" s="189">
        <f>+$F$135+$F$136*$B128+($F$139*$C128)/100</f>
        <v>31262.399999999998</v>
      </c>
      <c r="E128" s="179">
        <f>+$C128*$F$142/100</f>
        <v>21083.86</v>
      </c>
      <c r="F128" s="179">
        <f>+$B128*$F$145</f>
        <v>1620</v>
      </c>
      <c r="G128" s="179">
        <f>+$B128*$F$146</f>
        <v>340</v>
      </c>
      <c r="H128" s="179">
        <f>+$C128*$F$148/100</f>
        <v>664.3</v>
      </c>
      <c r="I128" s="179">
        <f>+$B128*$F$147</f>
        <v>2200</v>
      </c>
      <c r="J128" s="179">
        <f>B128*F149</f>
        <v>1180</v>
      </c>
      <c r="K128" s="179">
        <f>+SUM(D128:J128)*0.025641</f>
        <v>1496.1667089600001</v>
      </c>
      <c r="L128" s="179">
        <f>SUM(D128:K128)</f>
        <v>59846.726708959999</v>
      </c>
      <c r="M128" s="189">
        <f>+$L$135+$L$136*$B128+$L$139/100*$C128</f>
        <v>31516.743813509125</v>
      </c>
      <c r="N128" s="179">
        <f>+$C128*$L$142/100</f>
        <v>21083.86</v>
      </c>
      <c r="O128" s="179">
        <f>+$B128*$L$145</f>
        <v>1620</v>
      </c>
      <c r="P128" s="179">
        <f>+$B128*$L$146</f>
        <v>340</v>
      </c>
      <c r="Q128" s="179">
        <f>+$C128*$L$148/100</f>
        <v>664.3</v>
      </c>
      <c r="R128" s="179">
        <f>+$B128*$L$147</f>
        <v>2200</v>
      </c>
      <c r="S128" s="179">
        <f>B128*$L$149</f>
        <v>1180</v>
      </c>
      <c r="T128" s="179">
        <f>+SUM(M128:S128)*0.025641</f>
        <v>1502.6883386821876</v>
      </c>
      <c r="U128" s="179">
        <f>SUM(M128:T128)</f>
        <v>60107.592152191311</v>
      </c>
      <c r="V128" s="189">
        <f>+U128-L128</f>
        <v>260.86544323131238</v>
      </c>
      <c r="W128" s="180">
        <f>+V128/L128</f>
        <v>4.358892416955808E-3</v>
      </c>
      <c r="X128" s="190">
        <f>(+L128*100)/C128</f>
        <v>11.711688201362037</v>
      </c>
      <c r="Y128" s="191">
        <f>(+U128*100)/C128</f>
        <v>11.762738190252703</v>
      </c>
    </row>
    <row r="129" spans="1:25" x14ac:dyDescent="0.2">
      <c r="A129" s="4">
        <v>13</v>
      </c>
      <c r="B129" s="252">
        <v>2000</v>
      </c>
      <c r="C129" s="177">
        <f>+B129*730*0.6</f>
        <v>876000</v>
      </c>
      <c r="D129" s="189">
        <f>+$F$135+$F$136*$B129+($F$139*$C129)/100</f>
        <v>33926.9</v>
      </c>
      <c r="E129" s="179">
        <f>+$C129*$F$142/100</f>
        <v>36143.760000000002</v>
      </c>
      <c r="F129" s="179">
        <f>+$B129*$F$145</f>
        <v>1620</v>
      </c>
      <c r="G129" s="179">
        <f>+$B129*$F$146</f>
        <v>340</v>
      </c>
      <c r="H129" s="179">
        <f>+$C129*$F$148/100</f>
        <v>1138.8</v>
      </c>
      <c r="I129" s="179">
        <f>+$B129*$F$147</f>
        <v>2200</v>
      </c>
      <c r="J129" s="179">
        <f>B129*F149</f>
        <v>1180</v>
      </c>
      <c r="K129" s="179">
        <f>+SUM(D129:J129)*0.025641</f>
        <v>1962.8047038600002</v>
      </c>
      <c r="L129" s="179">
        <f>SUM(D129:K129)</f>
        <v>78512.264703860012</v>
      </c>
      <c r="M129" s="189">
        <f>+$L$135+$L$136*$B129+$L$139/100*$C129</f>
        <v>34202.778813509125</v>
      </c>
      <c r="N129" s="179">
        <f>+$C129*$L$142/100</f>
        <v>36143.760000000002</v>
      </c>
      <c r="O129" s="179">
        <f>+$B129*$L$145</f>
        <v>1620</v>
      </c>
      <c r="P129" s="179">
        <f>+$B129*$L$146</f>
        <v>340</v>
      </c>
      <c r="Q129" s="179">
        <f>+$C129*$L$148/100</f>
        <v>1138.8</v>
      </c>
      <c r="R129" s="179">
        <f>+$B129*$L$147</f>
        <v>2200</v>
      </c>
      <c r="S129" s="179">
        <f>B129*$L$149</f>
        <v>1180</v>
      </c>
      <c r="T129" s="179">
        <f>+SUM(M129:S129)*0.025641</f>
        <v>1969.8785125171878</v>
      </c>
      <c r="U129" s="179">
        <f>SUM(M129:T129)</f>
        <v>78795.217326026323</v>
      </c>
      <c r="V129" s="189">
        <f>+U129-L129</f>
        <v>282.9526221663109</v>
      </c>
      <c r="W129" s="180">
        <f>+V129/L129</f>
        <v>3.6039289305126831E-3</v>
      </c>
      <c r="X129" s="190">
        <f>(+L129*100)/C129</f>
        <v>8.9625872949611889</v>
      </c>
      <c r="Y129" s="191">
        <f>(+U129*100)/C129</f>
        <v>8.9948878226057456</v>
      </c>
    </row>
    <row r="130" spans="1:25" x14ac:dyDescent="0.2">
      <c r="A130" s="4">
        <v>14</v>
      </c>
      <c r="B130" s="252">
        <v>2000</v>
      </c>
      <c r="C130" s="177">
        <f>+B130*730*0.9</f>
        <v>1314000</v>
      </c>
      <c r="D130" s="189">
        <f>+$G$135+($G$137*$B130+$G$138*$B130*0.99)+$G$140/100*$C130*0.25+$G$141/100*$C130*0.75</f>
        <v>36100.918299999998</v>
      </c>
      <c r="E130" s="179">
        <f>+$C130*0.25*$G$143/100+$C130*0.75*$G$144/100</f>
        <v>53880.57</v>
      </c>
      <c r="F130" s="179">
        <f>$B130*$G$145</f>
        <v>1620</v>
      </c>
      <c r="G130" s="179">
        <f>$B130*$G$146</f>
        <v>340</v>
      </c>
      <c r="H130" s="179">
        <f>+$C130*$G$148/100</f>
        <v>1708.2</v>
      </c>
      <c r="I130" s="179">
        <f>+$B130*$G$147</f>
        <v>2200</v>
      </c>
      <c r="J130" s="179">
        <f>B130*G149</f>
        <v>1180</v>
      </c>
      <c r="K130" s="179">
        <f>+SUM(D130:J130)*0.025641</f>
        <v>2487.9382377002999</v>
      </c>
      <c r="L130" s="179">
        <f>SUM(D130:K130)</f>
        <v>99517.6265377003</v>
      </c>
      <c r="M130" s="189">
        <f>+$M$135+$M$137*$B130+$M$138*$B130*0.99+$M$140/100*$C130*0.25+$M$141/100*$C130*0.75</f>
        <v>36397.180049999995</v>
      </c>
      <c r="N130" s="179">
        <f>+$C130*0.25*$M$143/100+$C130*0.75*$M$144/100</f>
        <v>53880.57</v>
      </c>
      <c r="O130" s="179">
        <f>$B130*$M$145</f>
        <v>1620</v>
      </c>
      <c r="P130" s="179">
        <f>$B130*$M$146</f>
        <v>340</v>
      </c>
      <c r="Q130" s="179">
        <f>+$C130*$M$148/100</f>
        <v>1708.2</v>
      </c>
      <c r="R130" s="179">
        <f>+$B130*$M$147</f>
        <v>2200</v>
      </c>
      <c r="S130" s="179">
        <f>B130*$M$149</f>
        <v>1180</v>
      </c>
      <c r="T130" s="179">
        <f>+SUM(M130:S130)*0.025641</f>
        <v>2495.5346852320499</v>
      </c>
      <c r="U130" s="179">
        <f>SUM(M130:T130)</f>
        <v>99821.48473523205</v>
      </c>
      <c r="V130" s="189">
        <f>+U130-L130</f>
        <v>303.85819753175019</v>
      </c>
      <c r="W130" s="180">
        <f>+V130/L130</f>
        <v>3.0533103340908102E-3</v>
      </c>
      <c r="X130" s="190">
        <f>(+L130*100)/C130</f>
        <v>7.573639766948272</v>
      </c>
      <c r="Y130" s="191">
        <f>(+U130*100)/C130</f>
        <v>7.5967644395153764</v>
      </c>
    </row>
    <row r="131" spans="1:25" x14ac:dyDescent="0.2">
      <c r="A131" s="4">
        <v>15</v>
      </c>
      <c r="B131" s="252"/>
      <c r="C131" s="177"/>
      <c r="D131" s="189"/>
      <c r="E131" s="179"/>
      <c r="F131" s="179"/>
      <c r="G131" s="179"/>
      <c r="H131" s="179"/>
      <c r="I131" s="179"/>
      <c r="J131" s="179"/>
      <c r="K131" s="179"/>
      <c r="N131" s="179"/>
      <c r="O131" s="179"/>
      <c r="P131" s="179"/>
      <c r="Q131" s="179"/>
      <c r="R131" s="179"/>
      <c r="S131" s="179"/>
      <c r="X131" s="191"/>
    </row>
    <row r="132" spans="1:25" x14ac:dyDescent="0.2">
      <c r="A132" s="4">
        <v>16</v>
      </c>
    </row>
    <row r="133" spans="1:25" x14ac:dyDescent="0.2">
      <c r="A133" s="4">
        <v>17</v>
      </c>
      <c r="F133" s="293" t="s">
        <v>166</v>
      </c>
      <c r="G133" s="293"/>
      <c r="H133" s="293"/>
      <c r="I133" s="293"/>
      <c r="J133" s="293"/>
      <c r="K133" s="145"/>
      <c r="L133" s="293" t="s">
        <v>138</v>
      </c>
      <c r="M133" s="293"/>
      <c r="N133" s="293"/>
      <c r="O133" s="293"/>
      <c r="P133" s="293"/>
    </row>
    <row r="134" spans="1:25" x14ac:dyDescent="0.2">
      <c r="A134" s="4">
        <v>18</v>
      </c>
      <c r="C134" s="145"/>
      <c r="D134" s="145"/>
      <c r="E134" s="145"/>
      <c r="F134" s="11" t="s">
        <v>34</v>
      </c>
      <c r="G134" s="31" t="s">
        <v>237</v>
      </c>
      <c r="I134" s="32" t="s">
        <v>236</v>
      </c>
      <c r="L134" s="11" t="s">
        <v>34</v>
      </c>
      <c r="M134" s="31" t="s">
        <v>237</v>
      </c>
      <c r="O134" s="32" t="s">
        <v>236</v>
      </c>
      <c r="P134" s="32"/>
      <c r="U134" s="253"/>
    </row>
    <row r="135" spans="1:25" x14ac:dyDescent="0.2">
      <c r="A135" s="4">
        <v>19</v>
      </c>
      <c r="C135" s="7" t="s">
        <v>657</v>
      </c>
      <c r="D135" s="145"/>
      <c r="E135" s="145"/>
      <c r="F135" s="200">
        <f>+ROUND(ROUND('E-13c'!G233,2)*30,2)</f>
        <v>32.1</v>
      </c>
      <c r="G135" s="200">
        <f>+ROUND(ROUND('E-13c'!G233,2)*30,2)</f>
        <v>32.1</v>
      </c>
      <c r="H135" s="7" t="s">
        <v>56</v>
      </c>
      <c r="I135" s="200">
        <f>+ROUND(ROUND('E-13c'!G341,2)*30,2)</f>
        <v>32.1</v>
      </c>
      <c r="J135" s="7" t="s">
        <v>56</v>
      </c>
      <c r="L135" s="27">
        <f>+ROUND(ROUND('E-13c'!N233,2)*30,2)</f>
        <v>32.4</v>
      </c>
      <c r="M135" s="27">
        <f>+ROUND(ROUND('E-13c'!N236,2)*30,2)</f>
        <v>32.4</v>
      </c>
      <c r="N135" s="7" t="s">
        <v>56</v>
      </c>
      <c r="O135" s="27">
        <f>+ROUND(ROUND('E-13c'!N341,2)*30,2)</f>
        <v>32.4</v>
      </c>
      <c r="P135" s="7" t="s">
        <v>56</v>
      </c>
      <c r="S135" s="7"/>
    </row>
    <row r="136" spans="1:25" x14ac:dyDescent="0.2">
      <c r="A136" s="4">
        <v>20</v>
      </c>
      <c r="C136" s="7" t="s">
        <v>139</v>
      </c>
      <c r="D136" s="145"/>
      <c r="F136" s="200">
        <f>ROUND(+'E-13c'!G255,2)</f>
        <v>13.75</v>
      </c>
      <c r="G136" s="200">
        <v>0</v>
      </c>
      <c r="H136" s="7" t="s">
        <v>170</v>
      </c>
      <c r="I136" s="200">
        <v>0</v>
      </c>
      <c r="J136" s="7" t="s">
        <v>170</v>
      </c>
      <c r="L136" s="27">
        <f>+'E-13c'!N255</f>
        <v>13.861947406754561</v>
      </c>
      <c r="M136" s="27">
        <v>0</v>
      </c>
      <c r="N136" s="7" t="s">
        <v>170</v>
      </c>
      <c r="O136" s="27">
        <v>0</v>
      </c>
      <c r="P136" s="7" t="s">
        <v>170</v>
      </c>
      <c r="S136" s="7"/>
    </row>
    <row r="137" spans="1:25" x14ac:dyDescent="0.2">
      <c r="A137" s="4">
        <v>21</v>
      </c>
      <c r="C137" s="30" t="s">
        <v>240</v>
      </c>
      <c r="F137" s="200">
        <v>0</v>
      </c>
      <c r="G137" s="200">
        <f>ROUND(+'E-13c'!G258,2)</f>
        <v>4.4000000000000004</v>
      </c>
      <c r="H137" s="7" t="s">
        <v>170</v>
      </c>
      <c r="I137" s="200">
        <v>0</v>
      </c>
      <c r="J137" s="7" t="s">
        <v>170</v>
      </c>
      <c r="L137" s="27">
        <v>0</v>
      </c>
      <c r="M137" s="27">
        <f>ROUND(+'E-13c'!N258,2)</f>
        <v>4.4400000000000004</v>
      </c>
      <c r="N137" s="7" t="s">
        <v>170</v>
      </c>
      <c r="O137" s="27">
        <v>0</v>
      </c>
      <c r="P137" s="7" t="s">
        <v>170</v>
      </c>
      <c r="S137" s="7"/>
      <c r="V137" s="91"/>
    </row>
    <row r="138" spans="1:25" x14ac:dyDescent="0.2">
      <c r="A138" s="4">
        <v>22</v>
      </c>
      <c r="C138" s="30" t="s">
        <v>241</v>
      </c>
      <c r="F138" s="200">
        <v>0</v>
      </c>
      <c r="G138" s="200">
        <f>ROUND(+'E-13c'!G261,2)</f>
        <v>8.99</v>
      </c>
      <c r="H138" s="7" t="s">
        <v>170</v>
      </c>
      <c r="I138" s="200">
        <v>0</v>
      </c>
      <c r="J138" s="7" t="s">
        <v>170</v>
      </c>
      <c r="L138" s="27">
        <v>0</v>
      </c>
      <c r="M138" s="27">
        <f>ROUND(+'E-13c'!N261,2)</f>
        <v>9.06</v>
      </c>
      <c r="N138" s="7" t="s">
        <v>170</v>
      </c>
      <c r="O138" s="27">
        <v>0</v>
      </c>
      <c r="P138" s="7" t="s">
        <v>170</v>
      </c>
      <c r="S138" s="7"/>
    </row>
    <row r="139" spans="1:25" x14ac:dyDescent="0.2">
      <c r="A139" s="4">
        <v>23</v>
      </c>
      <c r="C139" s="7" t="s">
        <v>140</v>
      </c>
      <c r="D139" s="145"/>
      <c r="F139" s="204">
        <f>ROUND(+'E-13c'!G242,3)/10</f>
        <v>0.73</v>
      </c>
      <c r="G139" s="204">
        <v>0</v>
      </c>
      <c r="H139" s="7" t="s">
        <v>245</v>
      </c>
      <c r="I139" s="204">
        <f>ROUND(+'E-13c'!G347,4)/10</f>
        <v>7.0579999999999998</v>
      </c>
      <c r="J139" s="7" t="s">
        <v>245</v>
      </c>
      <c r="L139" s="28">
        <f>ROUND(+'E-13c'!N242,3)/10</f>
        <v>0.7359</v>
      </c>
      <c r="M139" s="27">
        <v>0</v>
      </c>
      <c r="N139" s="7" t="s">
        <v>245</v>
      </c>
      <c r="O139" s="28">
        <f>+ROUND('E-13c'!N347,4)/10</f>
        <v>7.1154600000000006</v>
      </c>
      <c r="P139" s="7" t="s">
        <v>245</v>
      </c>
      <c r="S139" s="7"/>
    </row>
    <row r="140" spans="1:25" x14ac:dyDescent="0.2">
      <c r="A140" s="4">
        <v>24</v>
      </c>
      <c r="C140" s="8" t="s">
        <v>238</v>
      </c>
      <c r="F140" s="204">
        <v>0</v>
      </c>
      <c r="G140" s="204">
        <f>+ROUND('E-13c'!G245,4)/10</f>
        <v>1.1830000000000001</v>
      </c>
      <c r="H140" s="7" t="s">
        <v>245</v>
      </c>
      <c r="I140" s="204">
        <v>0</v>
      </c>
      <c r="J140" s="7" t="s">
        <v>245</v>
      </c>
      <c r="L140" s="27">
        <v>0</v>
      </c>
      <c r="M140" s="28">
        <f>ROUND(+'E-13c'!N245,4)/10</f>
        <v>1.1926299999999999</v>
      </c>
      <c r="N140" s="7" t="s">
        <v>245</v>
      </c>
      <c r="O140" s="27">
        <v>0</v>
      </c>
      <c r="P140" s="7" t="s">
        <v>245</v>
      </c>
      <c r="S140" s="7"/>
    </row>
    <row r="141" spans="1:25" x14ac:dyDescent="0.2">
      <c r="A141" s="4">
        <v>25</v>
      </c>
      <c r="B141" s="251"/>
      <c r="C141" s="8" t="s">
        <v>239</v>
      </c>
      <c r="F141" s="204">
        <v>0</v>
      </c>
      <c r="G141" s="204">
        <f>+ROUND('E-13c'!G248,4)/10</f>
        <v>0.56645999999999996</v>
      </c>
      <c r="H141" s="7" t="s">
        <v>245</v>
      </c>
      <c r="I141" s="204">
        <v>0</v>
      </c>
      <c r="J141" s="7" t="s">
        <v>245</v>
      </c>
      <c r="L141" s="27">
        <v>0</v>
      </c>
      <c r="M141" s="28">
        <f>ROUND(+'E-13c'!N248,3)/10</f>
        <v>0.57110000000000005</v>
      </c>
      <c r="N141" s="7" t="s">
        <v>245</v>
      </c>
      <c r="O141" s="27">
        <v>0</v>
      </c>
      <c r="P141" s="7" t="s">
        <v>245</v>
      </c>
      <c r="S141" s="7"/>
      <c r="T141" s="177"/>
      <c r="U141" s="177"/>
      <c r="V141" s="177"/>
      <c r="W141" s="177"/>
      <c r="X141" s="177"/>
    </row>
    <row r="142" spans="1:25" x14ac:dyDescent="0.2">
      <c r="A142" s="4">
        <v>26</v>
      </c>
      <c r="B142" s="251"/>
      <c r="C142" s="7" t="s">
        <v>171</v>
      </c>
      <c r="D142" s="145"/>
      <c r="F142" s="204">
        <v>4.1260000000000003</v>
      </c>
      <c r="G142" s="204">
        <v>0</v>
      </c>
      <c r="H142" s="7" t="s">
        <v>245</v>
      </c>
      <c r="I142" s="204">
        <v>4.1260000000000003</v>
      </c>
      <c r="J142" s="7" t="s">
        <v>245</v>
      </c>
      <c r="L142" s="204">
        <f t="shared" ref="L142:M149" si="3">+F142</f>
        <v>4.1260000000000003</v>
      </c>
      <c r="M142" s="204">
        <f t="shared" si="3"/>
        <v>0</v>
      </c>
      <c r="N142" s="7" t="s">
        <v>245</v>
      </c>
      <c r="O142" s="204">
        <f t="shared" ref="O142:O149" si="4">+I142</f>
        <v>4.1260000000000003</v>
      </c>
      <c r="P142" s="7" t="s">
        <v>245</v>
      </c>
      <c r="S142" s="7"/>
      <c r="T142" s="177"/>
      <c r="U142" s="177"/>
      <c r="V142" s="177"/>
      <c r="W142" s="177"/>
      <c r="X142" s="177"/>
    </row>
    <row r="143" spans="1:25" x14ac:dyDescent="0.2">
      <c r="A143" s="4">
        <v>27</v>
      </c>
      <c r="B143" s="251"/>
      <c r="C143" s="8" t="s">
        <v>238</v>
      </c>
      <c r="F143" s="204">
        <v>0</v>
      </c>
      <c r="G143" s="204">
        <v>4.4800000000000004</v>
      </c>
      <c r="H143" s="7" t="s">
        <v>245</v>
      </c>
      <c r="I143" s="204">
        <v>0</v>
      </c>
      <c r="J143" s="7" t="s">
        <v>245</v>
      </c>
      <c r="L143" s="204">
        <f t="shared" si="3"/>
        <v>0</v>
      </c>
      <c r="M143" s="204">
        <f t="shared" si="3"/>
        <v>4.4800000000000004</v>
      </c>
      <c r="N143" s="7" t="s">
        <v>245</v>
      </c>
      <c r="O143" s="204">
        <f t="shared" si="4"/>
        <v>0</v>
      </c>
      <c r="P143" s="7" t="s">
        <v>245</v>
      </c>
      <c r="S143" s="7"/>
      <c r="T143" s="177"/>
      <c r="U143" s="177"/>
      <c r="V143" s="177"/>
      <c r="W143" s="177"/>
      <c r="X143" s="177"/>
    </row>
    <row r="144" spans="1:25" x14ac:dyDescent="0.2">
      <c r="A144" s="4">
        <v>28</v>
      </c>
      <c r="B144" s="251"/>
      <c r="C144" s="8" t="s">
        <v>239</v>
      </c>
      <c r="F144" s="204">
        <v>0</v>
      </c>
      <c r="G144" s="204">
        <v>3.9740000000000002</v>
      </c>
      <c r="H144" s="7" t="s">
        <v>245</v>
      </c>
      <c r="I144" s="204">
        <v>0</v>
      </c>
      <c r="J144" s="7" t="s">
        <v>245</v>
      </c>
      <c r="L144" s="204">
        <f t="shared" si="3"/>
        <v>0</v>
      </c>
      <c r="M144" s="204">
        <f t="shared" si="3"/>
        <v>3.9740000000000002</v>
      </c>
      <c r="N144" s="7" t="s">
        <v>245</v>
      </c>
      <c r="O144" s="204">
        <f t="shared" si="4"/>
        <v>0</v>
      </c>
      <c r="P144" s="7" t="s">
        <v>245</v>
      </c>
      <c r="S144" s="7"/>
      <c r="T144" s="177"/>
      <c r="U144" s="177"/>
      <c r="V144" s="177"/>
      <c r="W144" s="177"/>
      <c r="X144" s="177"/>
    </row>
    <row r="145" spans="1:24" x14ac:dyDescent="0.2">
      <c r="A145" s="4">
        <v>29</v>
      </c>
      <c r="B145" s="251"/>
      <c r="C145" s="7" t="s">
        <v>172</v>
      </c>
      <c r="D145" s="145"/>
      <c r="F145" s="200">
        <v>0.81</v>
      </c>
      <c r="G145" s="200">
        <v>0.81</v>
      </c>
      <c r="H145" s="7" t="s">
        <v>170</v>
      </c>
      <c r="I145" s="204">
        <v>0.193</v>
      </c>
      <c r="J145" s="7" t="s">
        <v>245</v>
      </c>
      <c r="L145" s="200">
        <f t="shared" si="3"/>
        <v>0.81</v>
      </c>
      <c r="M145" s="200">
        <f t="shared" si="3"/>
        <v>0.81</v>
      </c>
      <c r="N145" s="7" t="s">
        <v>170</v>
      </c>
      <c r="O145" s="204">
        <f t="shared" si="4"/>
        <v>0.193</v>
      </c>
      <c r="P145" s="7" t="s">
        <v>245</v>
      </c>
      <c r="S145" s="7"/>
      <c r="T145" s="177"/>
      <c r="U145" s="177"/>
      <c r="V145" s="177"/>
      <c r="W145" s="177"/>
      <c r="X145" s="177"/>
    </row>
    <row r="146" spans="1:24" x14ac:dyDescent="0.2">
      <c r="A146" s="4">
        <v>30</v>
      </c>
      <c r="B146" s="251"/>
      <c r="C146" s="7" t="s">
        <v>173</v>
      </c>
      <c r="D146" s="145"/>
      <c r="F146" s="200">
        <v>0.17</v>
      </c>
      <c r="G146" s="200">
        <v>0.17</v>
      </c>
      <c r="H146" s="7" t="s">
        <v>170</v>
      </c>
      <c r="I146" s="204">
        <v>3.9E-2</v>
      </c>
      <c r="J146" s="7" t="s">
        <v>245</v>
      </c>
      <c r="L146" s="200">
        <f t="shared" si="3"/>
        <v>0.17</v>
      </c>
      <c r="M146" s="200">
        <f t="shared" si="3"/>
        <v>0.17</v>
      </c>
      <c r="N146" s="7" t="s">
        <v>170</v>
      </c>
      <c r="O146" s="204">
        <f t="shared" si="4"/>
        <v>3.9E-2</v>
      </c>
      <c r="P146" s="7" t="s">
        <v>245</v>
      </c>
      <c r="S146" s="7"/>
      <c r="T146" s="177"/>
      <c r="U146" s="177"/>
      <c r="V146" s="177"/>
      <c r="W146" s="177"/>
      <c r="X146" s="177"/>
    </row>
    <row r="147" spans="1:24" x14ac:dyDescent="0.2">
      <c r="A147" s="4">
        <v>31</v>
      </c>
      <c r="B147" s="251"/>
      <c r="C147" s="7" t="s">
        <v>667</v>
      </c>
      <c r="D147" s="145"/>
      <c r="F147" s="27">
        <v>1.1000000000000001</v>
      </c>
      <c r="G147" s="27">
        <v>1.1000000000000001</v>
      </c>
      <c r="H147" s="7" t="s">
        <v>170</v>
      </c>
      <c r="I147" s="28">
        <v>0.26100000000000001</v>
      </c>
      <c r="J147" s="7" t="s">
        <v>245</v>
      </c>
      <c r="L147" s="27">
        <f t="shared" si="3"/>
        <v>1.1000000000000001</v>
      </c>
      <c r="M147" s="27">
        <f t="shared" si="3"/>
        <v>1.1000000000000001</v>
      </c>
      <c r="N147" s="7" t="s">
        <v>170</v>
      </c>
      <c r="O147" s="28">
        <f t="shared" si="4"/>
        <v>0.26100000000000001</v>
      </c>
      <c r="P147" s="7" t="s">
        <v>245</v>
      </c>
      <c r="S147" s="7"/>
      <c r="T147" s="177"/>
      <c r="U147" s="177"/>
      <c r="V147" s="177"/>
      <c r="W147" s="177"/>
      <c r="X147" s="177"/>
    </row>
    <row r="148" spans="1:24" x14ac:dyDescent="0.2">
      <c r="A148" s="4">
        <v>32</v>
      </c>
      <c r="B148" s="251"/>
      <c r="C148" s="7" t="s">
        <v>174</v>
      </c>
      <c r="D148" s="145"/>
      <c r="F148" s="204">
        <v>0.13</v>
      </c>
      <c r="G148" s="204">
        <v>0.13</v>
      </c>
      <c r="H148" s="7" t="s">
        <v>245</v>
      </c>
      <c r="I148" s="204">
        <v>0.13</v>
      </c>
      <c r="J148" s="7" t="s">
        <v>245</v>
      </c>
      <c r="L148" s="204">
        <f t="shared" si="3"/>
        <v>0.13</v>
      </c>
      <c r="M148" s="204">
        <f t="shared" si="3"/>
        <v>0.13</v>
      </c>
      <c r="N148" s="7" t="s">
        <v>245</v>
      </c>
      <c r="O148" s="204">
        <f t="shared" si="4"/>
        <v>0.13</v>
      </c>
      <c r="P148" s="7" t="s">
        <v>245</v>
      </c>
      <c r="S148" s="7"/>
      <c r="T148" s="177"/>
      <c r="U148" s="177"/>
      <c r="V148" s="177"/>
      <c r="W148" s="177"/>
      <c r="X148" s="177"/>
    </row>
    <row r="149" spans="1:24" x14ac:dyDescent="0.2">
      <c r="A149" s="4">
        <v>33</v>
      </c>
      <c r="B149" s="251"/>
      <c r="C149" s="7" t="s">
        <v>527</v>
      </c>
      <c r="D149" s="145"/>
      <c r="F149" s="207">
        <v>0.59</v>
      </c>
      <c r="G149" s="207">
        <v>0.59</v>
      </c>
      <c r="H149" s="7" t="s">
        <v>170</v>
      </c>
      <c r="I149" s="204">
        <v>0.14099999999999999</v>
      </c>
      <c r="J149" s="7" t="s">
        <v>245</v>
      </c>
      <c r="L149" s="207">
        <f t="shared" si="3"/>
        <v>0.59</v>
      </c>
      <c r="M149" s="207">
        <f t="shared" si="3"/>
        <v>0.59</v>
      </c>
      <c r="N149" s="7" t="s">
        <v>170</v>
      </c>
      <c r="O149" s="204">
        <f t="shared" si="4"/>
        <v>0.14099999999999999</v>
      </c>
      <c r="P149" s="7" t="s">
        <v>245</v>
      </c>
      <c r="S149" s="7"/>
      <c r="T149" s="177"/>
      <c r="U149" s="177"/>
      <c r="V149" s="177"/>
      <c r="W149" s="177"/>
      <c r="X149" s="177"/>
    </row>
    <row r="150" spans="1:24" x14ac:dyDescent="0.2">
      <c r="A150" s="4">
        <v>34</v>
      </c>
      <c r="B150" s="251"/>
      <c r="C150" s="7"/>
      <c r="D150" s="145"/>
      <c r="F150" s="207"/>
      <c r="G150" s="207"/>
      <c r="H150" s="7"/>
      <c r="I150" s="7"/>
      <c r="J150" s="7"/>
      <c r="K150" s="204"/>
      <c r="L150" s="7"/>
      <c r="N150" s="27"/>
      <c r="O150" s="27"/>
      <c r="P150" s="7"/>
      <c r="Q150" s="28"/>
      <c r="R150" s="28"/>
      <c r="S150" s="7"/>
      <c r="T150" s="177"/>
      <c r="U150" s="177"/>
      <c r="V150" s="177"/>
      <c r="W150" s="177"/>
      <c r="X150" s="177"/>
    </row>
    <row r="151" spans="1:24" x14ac:dyDescent="0.2">
      <c r="A151" s="4">
        <v>35</v>
      </c>
      <c r="B151" s="251"/>
      <c r="C151" s="177" t="s">
        <v>176</v>
      </c>
      <c r="Q151" s="177"/>
      <c r="R151" s="177"/>
      <c r="S151" s="177"/>
      <c r="T151" s="177"/>
      <c r="U151" s="177"/>
      <c r="V151" s="177"/>
      <c r="W151" s="177"/>
      <c r="X151" s="177"/>
    </row>
    <row r="152" spans="1:24" x14ac:dyDescent="0.2">
      <c r="A152" s="4">
        <v>36</v>
      </c>
      <c r="B152" s="251"/>
      <c r="C152" s="177" t="s">
        <v>372</v>
      </c>
      <c r="Q152" s="177"/>
      <c r="R152" s="177"/>
      <c r="S152" s="177"/>
      <c r="T152" s="177"/>
      <c r="U152" s="177"/>
      <c r="V152" s="177"/>
      <c r="W152" s="177"/>
      <c r="X152" s="177"/>
    </row>
    <row r="153" spans="1:24" x14ac:dyDescent="0.2">
      <c r="A153" s="4">
        <v>37</v>
      </c>
      <c r="B153" s="9"/>
      <c r="C153" s="177" t="s">
        <v>371</v>
      </c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 x14ac:dyDescent="0.2">
      <c r="A154" s="4">
        <v>38</v>
      </c>
      <c r="B154" s="9"/>
      <c r="C154" s="177" t="s">
        <v>244</v>
      </c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x14ac:dyDescent="0.2">
      <c r="A155" s="4">
        <v>39</v>
      </c>
      <c r="B155" s="9"/>
      <c r="C155" s="177" t="s">
        <v>370</v>
      </c>
      <c r="D155" s="9"/>
      <c r="E155" s="9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x14ac:dyDescent="0.2">
      <c r="A156" s="4">
        <v>40</v>
      </c>
      <c r="B156" s="9"/>
      <c r="C156" s="177" t="s">
        <v>757</v>
      </c>
      <c r="D156" s="9"/>
      <c r="E156" s="9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x14ac:dyDescent="0.2">
      <c r="A157" s="4">
        <v>41</v>
      </c>
      <c r="B157" s="9"/>
      <c r="C157" s="177"/>
      <c r="D157" s="9"/>
      <c r="E157" s="9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13.5" thickBot="1" x14ac:dyDescent="0.25">
      <c r="A158" s="4">
        <v>42</v>
      </c>
      <c r="B158" s="16"/>
      <c r="C158" s="81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1:24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 spans="1:24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20"/>
      <c r="M161" s="20"/>
      <c r="N161" s="9"/>
      <c r="O161" s="20"/>
      <c r="P161" s="20"/>
      <c r="Q161" s="20"/>
      <c r="R161" s="20"/>
      <c r="S161" s="20"/>
      <c r="T161" s="20"/>
      <c r="U161" s="20"/>
      <c r="V161" s="9"/>
      <c r="W161" s="9"/>
      <c r="X161" s="20"/>
    </row>
    <row r="162" spans="1:24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70"/>
      <c r="M162" s="20"/>
      <c r="N162" s="9"/>
      <c r="O162" s="9"/>
      <c r="P162" s="9"/>
      <c r="Q162" s="9"/>
      <c r="R162" s="9"/>
      <c r="S162" s="9"/>
      <c r="T162" s="70"/>
      <c r="U162" s="70"/>
      <c r="V162" s="20"/>
      <c r="W162" s="9"/>
      <c r="X162" s="70"/>
    </row>
    <row r="163" spans="1:24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70"/>
      <c r="M163" s="20"/>
      <c r="N163" s="70"/>
      <c r="O163" s="9"/>
      <c r="P163" s="9"/>
      <c r="Q163" s="9"/>
      <c r="R163" s="9"/>
      <c r="S163" s="9"/>
      <c r="T163" s="9"/>
      <c r="U163" s="20"/>
      <c r="V163" s="20"/>
      <c r="W163" s="9"/>
      <c r="X163" s="70"/>
    </row>
    <row r="164" spans="1:24" x14ac:dyDescent="0.2">
      <c r="A164" s="9"/>
      <c r="B164" s="9"/>
      <c r="C164" s="9"/>
      <c r="D164" s="9"/>
      <c r="E164" s="9"/>
      <c r="F164" s="9"/>
      <c r="G164" s="296"/>
      <c r="H164" s="296"/>
      <c r="I164" s="296"/>
      <c r="J164" s="296"/>
      <c r="K164" s="296"/>
      <c r="L164" s="296"/>
      <c r="M164" s="296"/>
      <c r="N164" s="296"/>
      <c r="O164" s="296"/>
      <c r="P164" s="296"/>
      <c r="Q164" s="9"/>
      <c r="R164" s="9"/>
      <c r="S164" s="9"/>
      <c r="T164" s="9"/>
      <c r="U164" s="70"/>
      <c r="V164" s="20"/>
      <c r="W164" s="9"/>
      <c r="X164" s="70"/>
    </row>
    <row r="165" spans="1:24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14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 spans="1:24" x14ac:dyDescent="0.2">
      <c r="A166" s="9"/>
      <c r="B166" s="292"/>
      <c r="C166" s="292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x14ac:dyDescent="0.2">
      <c r="A167" s="9"/>
      <c r="B167" s="292"/>
      <c r="C167" s="292"/>
      <c r="D167" s="293"/>
      <c r="E167" s="293"/>
      <c r="F167" s="293"/>
      <c r="G167" s="293"/>
      <c r="H167" s="293"/>
      <c r="I167" s="293"/>
      <c r="J167" s="293"/>
      <c r="K167" s="293"/>
      <c r="L167" s="293"/>
      <c r="M167" s="293"/>
      <c r="N167" s="293"/>
      <c r="O167" s="293"/>
      <c r="P167" s="293"/>
      <c r="Q167" s="293"/>
      <c r="R167" s="293"/>
      <c r="S167" s="293"/>
      <c r="T167" s="293"/>
      <c r="U167" s="292"/>
      <c r="V167" s="292"/>
      <c r="W167" s="292"/>
      <c r="X167" s="292"/>
    </row>
    <row r="168" spans="1:24" x14ac:dyDescent="0.2">
      <c r="A168" s="9"/>
      <c r="B168" s="149"/>
      <c r="C168" s="145"/>
      <c r="D168" s="145"/>
      <c r="E168" s="145"/>
      <c r="F168" s="14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3"/>
      <c r="X168" s="33"/>
    </row>
    <row r="169" spans="1:24" x14ac:dyDescent="0.2">
      <c r="A169" s="9"/>
      <c r="B169" s="149"/>
      <c r="C169" s="145"/>
      <c r="D169" s="145"/>
      <c r="E169" s="145"/>
      <c r="F169" s="145"/>
      <c r="G169" s="3"/>
      <c r="H169" s="34"/>
      <c r="I169" s="34"/>
      <c r="J169" s="34"/>
      <c r="K169" s="34"/>
      <c r="L169" s="3"/>
      <c r="M169" s="145"/>
      <c r="N169" s="145"/>
      <c r="O169" s="3"/>
      <c r="P169" s="3"/>
      <c r="Q169" s="34"/>
      <c r="R169" s="34"/>
      <c r="S169" s="34"/>
      <c r="T169" s="3"/>
      <c r="U169" s="3"/>
      <c r="V169" s="3"/>
      <c r="W169" s="149"/>
      <c r="X169" s="149"/>
    </row>
    <row r="170" spans="1:24" x14ac:dyDescent="0.2">
      <c r="A170" s="9"/>
      <c r="B170" s="254"/>
      <c r="C170" s="187"/>
      <c r="D170" s="187"/>
      <c r="E170" s="187"/>
      <c r="F170" s="187"/>
      <c r="G170" s="3"/>
      <c r="H170" s="187"/>
      <c r="I170" s="187"/>
      <c r="J170" s="187"/>
      <c r="K170" s="187"/>
      <c r="L170" s="187"/>
      <c r="M170" s="3"/>
      <c r="N170" s="3"/>
      <c r="O170" s="3"/>
      <c r="P170" s="3"/>
      <c r="Q170" s="187"/>
      <c r="R170" s="187"/>
      <c r="S170" s="187"/>
      <c r="T170" s="187"/>
      <c r="U170" s="187"/>
      <c r="V170" s="187"/>
      <c r="W170" s="149"/>
      <c r="X170" s="149"/>
    </row>
    <row r="171" spans="1:24" x14ac:dyDescent="0.2">
      <c r="A171" s="9"/>
      <c r="B171" s="255"/>
      <c r="C171" s="177"/>
      <c r="D171" s="179"/>
      <c r="E171" s="179"/>
      <c r="F171" s="179"/>
      <c r="G171" s="179"/>
      <c r="H171" s="179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80"/>
      <c r="W171" s="201"/>
      <c r="X171" s="206"/>
    </row>
    <row r="172" spans="1:24" x14ac:dyDescent="0.2">
      <c r="A172" s="9"/>
      <c r="B172" s="255"/>
      <c r="C172" s="177"/>
      <c r="D172" s="179"/>
      <c r="E172" s="179"/>
      <c r="F172" s="179"/>
      <c r="G172" s="179"/>
      <c r="H172" s="179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80"/>
      <c r="W172" s="201"/>
      <c r="X172" s="206"/>
    </row>
    <row r="173" spans="1:24" x14ac:dyDescent="0.2">
      <c r="A173" s="9"/>
      <c r="B173" s="255"/>
      <c r="C173" s="177"/>
      <c r="D173" s="179"/>
      <c r="E173" s="179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80"/>
      <c r="W173" s="201"/>
      <c r="X173" s="206"/>
    </row>
    <row r="174" spans="1:24" x14ac:dyDescent="0.2">
      <c r="A174" s="9"/>
      <c r="B174" s="37"/>
      <c r="C174" s="37"/>
      <c r="D174" s="256"/>
      <c r="E174" s="256"/>
      <c r="F174" s="256"/>
      <c r="G174" s="256"/>
      <c r="H174" s="256"/>
      <c r="I174" s="256"/>
      <c r="J174" s="256"/>
      <c r="K174" s="256"/>
      <c r="L174" s="256"/>
      <c r="M174" s="256"/>
      <c r="N174" s="256"/>
      <c r="O174" s="256"/>
      <c r="P174" s="256"/>
      <c r="Q174" s="256"/>
      <c r="R174" s="256"/>
      <c r="S174" s="256"/>
      <c r="T174" s="256"/>
      <c r="U174" s="179"/>
      <c r="V174" s="180"/>
      <c r="W174" s="202"/>
      <c r="X174" s="193"/>
    </row>
    <row r="175" spans="1:24" x14ac:dyDescent="0.2">
      <c r="A175" s="9"/>
      <c r="B175" s="257"/>
      <c r="C175" s="177"/>
      <c r="D175" s="179"/>
      <c r="E175" s="179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80"/>
      <c r="W175" s="201"/>
      <c r="X175" s="206"/>
    </row>
    <row r="176" spans="1:24" x14ac:dyDescent="0.2">
      <c r="A176" s="9"/>
      <c r="B176" s="257"/>
      <c r="C176" s="177"/>
      <c r="D176" s="179"/>
      <c r="E176" s="179"/>
      <c r="F176" s="179"/>
      <c r="G176" s="179"/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80"/>
      <c r="W176" s="201"/>
      <c r="X176" s="206"/>
    </row>
    <row r="177" spans="1:24" x14ac:dyDescent="0.2">
      <c r="A177" s="9"/>
      <c r="B177" s="257"/>
      <c r="C177" s="177"/>
      <c r="D177" s="179"/>
      <c r="E177" s="179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180"/>
      <c r="W177" s="201"/>
      <c r="X177" s="206"/>
    </row>
    <row r="178" spans="1:24" x14ac:dyDescent="0.2">
      <c r="A178" s="9"/>
      <c r="B178" s="37"/>
      <c r="C178" s="37"/>
      <c r="D178" s="256"/>
      <c r="E178" s="256"/>
      <c r="F178" s="256"/>
      <c r="G178" s="256"/>
      <c r="H178" s="256"/>
      <c r="I178" s="256"/>
      <c r="J178" s="256"/>
      <c r="K178" s="256"/>
      <c r="L178" s="256"/>
      <c r="M178" s="256"/>
      <c r="N178" s="256"/>
      <c r="O178" s="256"/>
      <c r="P178" s="256"/>
      <c r="Q178" s="256"/>
      <c r="R178" s="256"/>
      <c r="S178" s="256"/>
      <c r="T178" s="256"/>
      <c r="U178" s="179"/>
      <c r="V178" s="180"/>
      <c r="W178" s="202"/>
      <c r="X178" s="193"/>
    </row>
    <row r="179" spans="1:24" x14ac:dyDescent="0.2">
      <c r="A179" s="9"/>
      <c r="B179" s="258"/>
      <c r="C179" s="177"/>
      <c r="D179" s="179"/>
      <c r="E179" s="179"/>
      <c r="F179" s="179"/>
      <c r="G179" s="179"/>
      <c r="H179" s="179"/>
      <c r="I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  <c r="T179" s="179"/>
      <c r="U179" s="179"/>
      <c r="V179" s="180"/>
      <c r="W179" s="201"/>
      <c r="X179" s="206"/>
    </row>
    <row r="180" spans="1:24" x14ac:dyDescent="0.2">
      <c r="A180" s="9"/>
      <c r="B180" s="258"/>
      <c r="C180" s="177"/>
      <c r="D180" s="179"/>
      <c r="E180" s="179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79"/>
      <c r="Q180" s="179"/>
      <c r="R180" s="179"/>
      <c r="S180" s="179"/>
      <c r="T180" s="179"/>
      <c r="U180" s="179"/>
      <c r="V180" s="180"/>
      <c r="W180" s="201"/>
      <c r="X180" s="206"/>
    </row>
    <row r="181" spans="1:24" x14ac:dyDescent="0.2">
      <c r="A181" s="9"/>
      <c r="B181" s="258"/>
      <c r="C181" s="177"/>
      <c r="D181" s="179"/>
      <c r="E181" s="179"/>
      <c r="F181" s="179"/>
      <c r="G181" s="179"/>
      <c r="H181" s="179"/>
      <c r="I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  <c r="T181" s="179"/>
      <c r="U181" s="179"/>
      <c r="V181" s="180"/>
      <c r="W181" s="201"/>
      <c r="X181" s="206"/>
    </row>
    <row r="182" spans="1:24" x14ac:dyDescent="0.2">
      <c r="A182" s="9"/>
      <c r="B182" s="37"/>
      <c r="C182" s="37"/>
      <c r="D182" s="259"/>
      <c r="E182" s="259"/>
      <c r="F182" s="259"/>
      <c r="G182" s="259"/>
      <c r="H182" s="259"/>
      <c r="I182" s="259"/>
      <c r="J182" s="259"/>
      <c r="K182" s="259"/>
      <c r="L182" s="259"/>
      <c r="M182" s="259"/>
      <c r="N182" s="259"/>
      <c r="O182" s="259"/>
      <c r="P182" s="259"/>
      <c r="Q182" s="259"/>
      <c r="R182" s="259"/>
      <c r="S182" s="259"/>
      <c r="T182" s="259"/>
      <c r="U182" s="201"/>
      <c r="V182" s="180"/>
      <c r="W182" s="177"/>
      <c r="X182" s="177"/>
    </row>
    <row r="183" spans="1:24" x14ac:dyDescent="0.2">
      <c r="A183" s="9"/>
      <c r="B183" s="37"/>
      <c r="C183" s="37"/>
      <c r="D183" s="37"/>
      <c r="E183" s="37"/>
      <c r="F183" s="293"/>
      <c r="G183" s="293"/>
      <c r="H183" s="145"/>
      <c r="I183" s="145"/>
      <c r="J183" s="145"/>
      <c r="K183" s="145"/>
      <c r="L183" s="293"/>
      <c r="M183" s="293"/>
      <c r="N183" s="293"/>
      <c r="O183" s="293"/>
      <c r="P183" s="37"/>
      <c r="Q183" s="37"/>
      <c r="R183" s="37"/>
      <c r="S183" s="37"/>
      <c r="T183" s="37"/>
      <c r="U183" s="37"/>
      <c r="V183" s="37"/>
      <c r="W183" s="37"/>
      <c r="X183" s="37"/>
    </row>
    <row r="184" spans="1:24" x14ac:dyDescent="0.2">
      <c r="A184" s="9"/>
      <c r="B184" s="37"/>
      <c r="C184" s="145"/>
      <c r="D184" s="145"/>
      <c r="E184" s="145"/>
      <c r="F184" s="149"/>
      <c r="G184" s="149"/>
      <c r="H184" s="9"/>
      <c r="I184" s="9"/>
      <c r="J184" s="9"/>
      <c r="K184" s="37"/>
      <c r="L184" s="37"/>
      <c r="M184" s="149"/>
      <c r="N184" s="9"/>
      <c r="O184" s="37"/>
      <c r="P184" s="37"/>
      <c r="Q184" s="37"/>
      <c r="R184" s="37"/>
      <c r="S184" s="37"/>
      <c r="T184" s="37"/>
      <c r="U184" s="37"/>
      <c r="V184" s="37"/>
      <c r="W184" s="37"/>
      <c r="X184" s="37"/>
    </row>
    <row r="185" spans="1:24" x14ac:dyDescent="0.2">
      <c r="A185" s="9"/>
      <c r="B185" s="37"/>
      <c r="C185" s="7"/>
      <c r="D185" s="145"/>
      <c r="E185" s="145"/>
      <c r="F185" s="200"/>
      <c r="G185" s="200"/>
      <c r="H185" s="7"/>
      <c r="I185" s="7"/>
      <c r="J185" s="7"/>
      <c r="K185" s="37"/>
      <c r="L185" s="37"/>
      <c r="M185" s="27"/>
      <c r="N185" s="7"/>
      <c r="O185" s="37"/>
      <c r="P185" s="37"/>
      <c r="Q185" s="37"/>
      <c r="R185" s="37"/>
      <c r="S185" s="37"/>
      <c r="T185" s="37"/>
      <c r="U185" s="37"/>
      <c r="V185" s="37"/>
      <c r="W185" s="37"/>
      <c r="X185" s="37"/>
    </row>
    <row r="186" spans="1:24" x14ac:dyDescent="0.2">
      <c r="A186" s="9"/>
      <c r="B186" s="37"/>
      <c r="C186" s="7"/>
      <c r="D186" s="145"/>
      <c r="E186" s="37"/>
      <c r="F186" s="200"/>
      <c r="G186" s="200"/>
      <c r="H186" s="7"/>
      <c r="I186" s="7"/>
      <c r="J186" s="7"/>
      <c r="K186" s="37"/>
      <c r="L186" s="37"/>
      <c r="M186" s="27"/>
      <c r="N186" s="7"/>
      <c r="O186" s="37"/>
      <c r="P186" s="201"/>
      <c r="Q186" s="201"/>
      <c r="R186" s="201"/>
      <c r="S186" s="201"/>
      <c r="T186" s="201"/>
      <c r="U186" s="177"/>
      <c r="V186" s="180"/>
      <c r="W186" s="177"/>
      <c r="X186" s="177"/>
    </row>
    <row r="187" spans="1:24" x14ac:dyDescent="0.2">
      <c r="A187" s="9"/>
      <c r="B187" s="258"/>
      <c r="C187" s="7"/>
      <c r="D187" s="145"/>
      <c r="E187" s="37"/>
      <c r="F187" s="204"/>
      <c r="G187" s="204"/>
      <c r="H187" s="7"/>
      <c r="I187" s="7"/>
      <c r="J187" s="7"/>
      <c r="K187" s="37"/>
      <c r="L187" s="37"/>
      <c r="M187" s="28"/>
      <c r="N187" s="7"/>
      <c r="O187" s="37"/>
      <c r="P187" s="201"/>
      <c r="Q187" s="201"/>
      <c r="R187" s="201"/>
      <c r="S187" s="201"/>
      <c r="T187" s="201"/>
      <c r="U187" s="201"/>
      <c r="V187" s="180"/>
      <c r="W187" s="201"/>
      <c r="X187" s="206"/>
    </row>
    <row r="188" spans="1:24" x14ac:dyDescent="0.2">
      <c r="A188" s="9"/>
      <c r="B188" s="258"/>
      <c r="C188" s="7"/>
      <c r="D188" s="145"/>
      <c r="E188" s="37"/>
      <c r="F188" s="35"/>
      <c r="G188" s="35"/>
      <c r="H188" s="7"/>
      <c r="I188" s="7"/>
      <c r="J188" s="7"/>
      <c r="K188" s="37"/>
      <c r="L188" s="37"/>
      <c r="M188" s="28"/>
      <c r="N188" s="7"/>
      <c r="O188" s="37"/>
      <c r="P188" s="201"/>
      <c r="Q188" s="201"/>
      <c r="R188" s="201"/>
      <c r="S188" s="201"/>
      <c r="T188" s="201"/>
      <c r="U188" s="201"/>
      <c r="V188" s="180"/>
      <c r="W188" s="201"/>
      <c r="X188" s="206"/>
    </row>
    <row r="189" spans="1:24" x14ac:dyDescent="0.2">
      <c r="A189" s="9"/>
      <c r="B189" s="258"/>
      <c r="C189" s="8"/>
      <c r="D189" s="37"/>
      <c r="E189" s="37"/>
      <c r="F189" s="35"/>
      <c r="G189" s="35"/>
      <c r="H189" s="7"/>
      <c r="I189" s="7"/>
      <c r="J189" s="7"/>
      <c r="K189" s="37"/>
      <c r="L189" s="37"/>
      <c r="M189" s="27"/>
      <c r="N189" s="7"/>
      <c r="O189" s="37"/>
      <c r="P189" s="201"/>
      <c r="Q189" s="201"/>
      <c r="R189" s="201"/>
      <c r="S189" s="201"/>
      <c r="T189" s="201"/>
      <c r="U189" s="201"/>
      <c r="V189" s="180"/>
      <c r="W189" s="201"/>
      <c r="X189" s="206"/>
    </row>
    <row r="190" spans="1:24" x14ac:dyDescent="0.2">
      <c r="A190" s="9"/>
      <c r="B190" s="258"/>
      <c r="C190" s="8"/>
      <c r="D190" s="37"/>
      <c r="E190" s="37"/>
      <c r="F190" s="35"/>
      <c r="G190" s="35"/>
      <c r="H190" s="7"/>
      <c r="I190" s="7"/>
      <c r="J190" s="7"/>
      <c r="K190" s="37"/>
      <c r="L190" s="37"/>
      <c r="M190" s="27"/>
      <c r="N190" s="7"/>
      <c r="O190" s="37"/>
      <c r="P190" s="177"/>
      <c r="Q190" s="177"/>
      <c r="R190" s="177"/>
      <c r="S190" s="177"/>
      <c r="T190" s="177"/>
      <c r="U190" s="177"/>
      <c r="V190" s="180"/>
      <c r="W190" s="177"/>
      <c r="X190" s="177"/>
    </row>
    <row r="191" spans="1:24" x14ac:dyDescent="0.2">
      <c r="A191" s="9"/>
      <c r="B191" s="258"/>
      <c r="C191" s="7"/>
      <c r="D191" s="145"/>
      <c r="E191" s="37"/>
      <c r="F191" s="35"/>
      <c r="G191" s="35"/>
      <c r="H191" s="7"/>
      <c r="I191" s="7"/>
      <c r="J191" s="7"/>
      <c r="K191" s="37"/>
      <c r="L191" s="37"/>
      <c r="M191" s="27"/>
      <c r="N191" s="7"/>
      <c r="O191" s="37"/>
      <c r="P191" s="201"/>
      <c r="Q191" s="201"/>
      <c r="R191" s="201"/>
      <c r="S191" s="201"/>
      <c r="T191" s="201"/>
      <c r="U191" s="201"/>
      <c r="V191" s="180"/>
      <c r="W191" s="201"/>
      <c r="X191" s="206"/>
    </row>
    <row r="192" spans="1:24" x14ac:dyDescent="0.2">
      <c r="A192" s="9"/>
      <c r="B192" s="258"/>
      <c r="C192" s="7"/>
      <c r="D192" s="145"/>
      <c r="E192" s="37"/>
      <c r="F192" s="35"/>
      <c r="G192" s="35"/>
      <c r="H192" s="7"/>
      <c r="I192" s="7"/>
      <c r="J192" s="7"/>
      <c r="K192" s="37"/>
      <c r="L192" s="37"/>
      <c r="M192" s="27"/>
      <c r="N192" s="7"/>
      <c r="O192" s="37"/>
      <c r="P192" s="201"/>
      <c r="Q192" s="201"/>
      <c r="R192" s="201"/>
      <c r="S192" s="201"/>
      <c r="T192" s="201"/>
      <c r="U192" s="201"/>
      <c r="V192" s="180"/>
      <c r="W192" s="201"/>
      <c r="X192" s="206"/>
    </row>
    <row r="193" spans="1:24" x14ac:dyDescent="0.2">
      <c r="A193" s="9"/>
      <c r="B193" s="258"/>
      <c r="C193" s="7"/>
      <c r="D193" s="145"/>
      <c r="E193" s="37"/>
      <c r="F193" s="35"/>
      <c r="G193" s="35"/>
      <c r="H193" s="7"/>
      <c r="I193" s="7"/>
      <c r="J193" s="7"/>
      <c r="K193" s="37"/>
      <c r="L193" s="37"/>
      <c r="M193" s="28"/>
      <c r="N193" s="7"/>
      <c r="O193" s="37"/>
      <c r="P193" s="201"/>
      <c r="Q193" s="201"/>
      <c r="R193" s="201"/>
      <c r="S193" s="201"/>
      <c r="T193" s="201"/>
      <c r="U193" s="201"/>
      <c r="V193" s="180"/>
      <c r="W193" s="201"/>
      <c r="X193" s="206"/>
    </row>
    <row r="194" spans="1:24" x14ac:dyDescent="0.2">
      <c r="A194" s="9"/>
      <c r="B194" s="37"/>
      <c r="C194" s="188"/>
      <c r="D194" s="37"/>
      <c r="E194" s="37"/>
      <c r="F194" s="200"/>
      <c r="G194" s="200"/>
      <c r="H194" s="7"/>
      <c r="I194" s="7"/>
      <c r="J194" s="7"/>
      <c r="K194" s="37"/>
      <c r="L194" s="37"/>
      <c r="M194" s="27"/>
      <c r="N194" s="7"/>
      <c r="O194" s="37"/>
      <c r="P194" s="37"/>
      <c r="Q194" s="37"/>
      <c r="R194" s="37"/>
      <c r="S194" s="37"/>
      <c r="T194" s="37"/>
      <c r="U194" s="177"/>
      <c r="V194" s="177"/>
      <c r="W194" s="177"/>
      <c r="X194" s="177"/>
    </row>
    <row r="195" spans="1:24" x14ac:dyDescent="0.2">
      <c r="A195" s="9"/>
      <c r="B195" s="258"/>
      <c r="C195" s="9"/>
      <c r="D195" s="37"/>
      <c r="E195" s="37"/>
      <c r="F195" s="37"/>
      <c r="G195" s="37"/>
      <c r="H195" s="37"/>
      <c r="I195" s="37"/>
      <c r="J195" s="37"/>
      <c r="K195" s="37"/>
      <c r="L195" s="37"/>
      <c r="M195" s="27"/>
      <c r="N195" s="9"/>
      <c r="O195" s="37"/>
      <c r="P195" s="201"/>
      <c r="Q195" s="201"/>
      <c r="R195" s="201"/>
      <c r="S195" s="201"/>
      <c r="T195" s="201"/>
      <c r="U195" s="201"/>
      <c r="V195" s="180"/>
      <c r="W195" s="201"/>
      <c r="X195" s="206"/>
    </row>
    <row r="196" spans="1:24" x14ac:dyDescent="0.2">
      <c r="A196" s="9"/>
      <c r="B196" s="258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201"/>
      <c r="Q196" s="201"/>
      <c r="R196" s="201"/>
      <c r="S196" s="201"/>
      <c r="T196" s="201"/>
      <c r="U196" s="201"/>
      <c r="V196" s="180"/>
      <c r="W196" s="201"/>
      <c r="X196" s="206"/>
    </row>
    <row r="197" spans="1:24" x14ac:dyDescent="0.2">
      <c r="A197" s="9"/>
      <c r="B197" s="258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201"/>
      <c r="Q197" s="201"/>
      <c r="R197" s="201"/>
      <c r="S197" s="201"/>
      <c r="T197" s="201"/>
      <c r="U197" s="201"/>
      <c r="V197" s="180"/>
      <c r="W197" s="201"/>
      <c r="X197" s="206"/>
    </row>
    <row r="198" spans="1:24" x14ac:dyDescent="0.2">
      <c r="A198" s="9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177"/>
      <c r="V198" s="177"/>
      <c r="W198" s="177"/>
      <c r="X198" s="177"/>
    </row>
    <row r="199" spans="1:24" x14ac:dyDescent="0.2">
      <c r="A199" s="9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177"/>
      <c r="V199" s="177"/>
      <c r="W199" s="177"/>
      <c r="X199" s="177"/>
    </row>
    <row r="200" spans="1:24" x14ac:dyDescent="0.2">
      <c r="A200" s="9"/>
      <c r="B200" s="251"/>
      <c r="C200" s="17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177"/>
      <c r="Q200" s="177"/>
      <c r="R200" s="177"/>
      <c r="S200" s="177"/>
      <c r="T200" s="177"/>
      <c r="U200" s="177"/>
      <c r="V200" s="177"/>
      <c r="W200" s="177"/>
      <c r="X200" s="177"/>
    </row>
    <row r="201" spans="1:24" x14ac:dyDescent="0.2">
      <c r="A201" s="9"/>
      <c r="B201" s="251"/>
      <c r="C201" s="17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177"/>
      <c r="R201" s="177"/>
      <c r="S201" s="177"/>
      <c r="T201" s="177"/>
      <c r="U201" s="177"/>
      <c r="V201" s="177"/>
      <c r="W201" s="177"/>
      <c r="X201" s="177"/>
    </row>
    <row r="202" spans="1:24" x14ac:dyDescent="0.2">
      <c r="A202" s="9"/>
      <c r="B202" s="251"/>
      <c r="C202" s="17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177"/>
      <c r="R202" s="177"/>
      <c r="S202" s="177"/>
      <c r="T202" s="177"/>
      <c r="U202" s="177"/>
      <c r="V202" s="177"/>
      <c r="W202" s="177"/>
      <c r="X202" s="177"/>
    </row>
    <row r="203" spans="1:24" x14ac:dyDescent="0.2">
      <c r="A203" s="9"/>
      <c r="B203" s="251"/>
      <c r="C203" s="17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177"/>
      <c r="R203" s="177"/>
      <c r="S203" s="177"/>
      <c r="T203" s="177"/>
      <c r="U203" s="177"/>
      <c r="V203" s="177"/>
      <c r="W203" s="177"/>
      <c r="X203" s="177"/>
    </row>
    <row r="204" spans="1:24" x14ac:dyDescent="0.2">
      <c r="A204" s="9"/>
      <c r="B204" s="251"/>
      <c r="C204" s="177"/>
      <c r="D204" s="37"/>
      <c r="E204" s="37"/>
      <c r="F204" s="37"/>
      <c r="G204" s="37"/>
      <c r="H204" s="37"/>
      <c r="I204" s="37"/>
      <c r="J204" s="37"/>
      <c r="K204" s="37"/>
      <c r="L204" s="37"/>
      <c r="M204" s="177"/>
      <c r="N204" s="177"/>
      <c r="O204" s="37"/>
      <c r="P204" s="37"/>
      <c r="Q204" s="177"/>
      <c r="R204" s="177"/>
      <c r="S204" s="177"/>
      <c r="T204" s="177"/>
      <c r="U204" s="177"/>
      <c r="V204" s="177"/>
      <c r="W204" s="177"/>
      <c r="X204" s="177"/>
    </row>
    <row r="205" spans="1:24" x14ac:dyDescent="0.2">
      <c r="A205" s="9"/>
      <c r="B205" s="9"/>
      <c r="C205" s="177"/>
      <c r="D205" s="37"/>
      <c r="E205" s="37"/>
      <c r="F205" s="37"/>
      <c r="G205" s="37"/>
      <c r="H205" s="37"/>
      <c r="I205" s="37"/>
      <c r="J205" s="37"/>
      <c r="K205" s="37"/>
      <c r="L205" s="37"/>
      <c r="M205" s="6"/>
      <c r="N205" s="177"/>
      <c r="O205" s="37"/>
      <c r="P205" s="37"/>
      <c r="Q205" s="6"/>
      <c r="R205" s="6"/>
      <c r="S205" s="6"/>
      <c r="T205" s="6"/>
      <c r="U205" s="6"/>
      <c r="V205" s="6"/>
      <c r="W205" s="6"/>
      <c r="X205" s="6"/>
    </row>
    <row r="206" spans="1:24" x14ac:dyDescent="0.2">
      <c r="A206" s="9"/>
      <c r="B206" s="9"/>
      <c r="C206" s="177"/>
      <c r="D206" s="37"/>
      <c r="E206" s="37"/>
      <c r="F206" s="37"/>
      <c r="G206" s="37"/>
      <c r="H206" s="37"/>
      <c r="I206" s="37"/>
      <c r="J206" s="37"/>
      <c r="K206" s="37"/>
      <c r="L206" s="37"/>
      <c r="M206" s="6"/>
      <c r="N206" s="177"/>
      <c r="O206" s="37"/>
      <c r="P206" s="37"/>
      <c r="Q206" s="6"/>
      <c r="R206" s="6"/>
      <c r="S206" s="6"/>
      <c r="T206" s="6"/>
      <c r="U206" s="6"/>
      <c r="V206" s="6"/>
      <c r="W206" s="6"/>
      <c r="X206" s="6"/>
    </row>
    <row r="207" spans="1:24" x14ac:dyDescent="0.2">
      <c r="A207" s="9"/>
      <c r="B207" s="9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6"/>
      <c r="N207" s="177"/>
      <c r="O207" s="37"/>
      <c r="P207" s="37"/>
      <c r="Q207" s="6"/>
      <c r="R207" s="6"/>
      <c r="S207" s="6"/>
      <c r="T207" s="6"/>
      <c r="U207" s="6"/>
      <c r="V207" s="6"/>
      <c r="W207" s="6"/>
      <c r="X207" s="6"/>
    </row>
    <row r="208" spans="1:24" x14ac:dyDescent="0.2">
      <c r="A208" s="9"/>
      <c r="B208" s="9"/>
      <c r="C208" s="37"/>
      <c r="D208" s="9"/>
      <c r="E208" s="9"/>
      <c r="F208" s="37"/>
      <c r="G208" s="37"/>
      <c r="H208" s="37"/>
      <c r="I208" s="37"/>
      <c r="J208" s="37"/>
      <c r="K208" s="37"/>
      <c r="L208" s="37"/>
      <c r="M208" s="6"/>
      <c r="N208" s="6"/>
      <c r="O208" s="37"/>
      <c r="P208" s="37"/>
      <c r="Q208" s="6"/>
      <c r="R208" s="6"/>
      <c r="S208" s="6"/>
      <c r="T208" s="6"/>
      <c r="U208" s="6"/>
      <c r="V208" s="6"/>
      <c r="W208" s="6"/>
      <c r="X208" s="6"/>
    </row>
    <row r="209" spans="1:24" x14ac:dyDescent="0.2">
      <c r="A209" s="9"/>
      <c r="B209" s="9"/>
      <c r="C209" s="37"/>
      <c r="D209" s="37"/>
      <c r="E209" s="37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 spans="1:24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 spans="1:24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 spans="1:24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20"/>
      <c r="M212" s="20"/>
      <c r="N212" s="9"/>
      <c r="O212" s="20"/>
      <c r="P212" s="20"/>
      <c r="Q212" s="20"/>
      <c r="R212" s="20"/>
      <c r="S212" s="20"/>
      <c r="T212" s="20"/>
      <c r="U212" s="20"/>
      <c r="V212" s="9"/>
      <c r="W212" s="9"/>
      <c r="X212" s="20"/>
    </row>
    <row r="213" spans="1:24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70"/>
      <c r="M213" s="20"/>
      <c r="N213" s="9"/>
      <c r="O213" s="9"/>
      <c r="P213" s="9"/>
      <c r="Q213" s="9"/>
      <c r="R213" s="9"/>
      <c r="S213" s="9"/>
      <c r="T213" s="70"/>
      <c r="U213" s="70"/>
      <c r="V213" s="20"/>
      <c r="W213" s="9"/>
      <c r="X213" s="70"/>
    </row>
    <row r="214" spans="1:24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70"/>
      <c r="M214" s="20"/>
      <c r="N214" s="70"/>
      <c r="O214" s="9"/>
      <c r="P214" s="9"/>
      <c r="Q214" s="9"/>
      <c r="R214" s="9"/>
      <c r="S214" s="9"/>
      <c r="T214" s="9"/>
      <c r="U214" s="20"/>
      <c r="V214" s="20"/>
      <c r="W214" s="9"/>
      <c r="X214" s="70"/>
    </row>
    <row r="215" spans="1:24" x14ac:dyDescent="0.2">
      <c r="A215" s="9"/>
      <c r="B215" s="9"/>
      <c r="C215" s="9"/>
      <c r="D215" s="9"/>
      <c r="E215" s="9"/>
      <c r="F215" s="9"/>
      <c r="G215" s="296"/>
      <c r="H215" s="296"/>
      <c r="I215" s="296"/>
      <c r="J215" s="296"/>
      <c r="K215" s="296"/>
      <c r="L215" s="296"/>
      <c r="M215" s="296"/>
      <c r="N215" s="296"/>
      <c r="O215" s="296"/>
      <c r="P215" s="296"/>
      <c r="Q215" s="9"/>
      <c r="R215" s="9"/>
      <c r="S215" s="9"/>
      <c r="T215" s="9"/>
      <c r="U215" s="70"/>
      <c r="V215" s="20"/>
      <c r="W215" s="9"/>
      <c r="X215" s="70"/>
    </row>
    <row r="216" spans="1:24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14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 spans="1:24" x14ac:dyDescent="0.2">
      <c r="A217" s="9"/>
      <c r="B217" s="292"/>
      <c r="C217" s="292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x14ac:dyDescent="0.2">
      <c r="A218" s="9"/>
      <c r="B218" s="292"/>
      <c r="C218" s="292"/>
      <c r="D218" s="293"/>
      <c r="E218" s="293"/>
      <c r="F218" s="293"/>
      <c r="G218" s="293"/>
      <c r="H218" s="293"/>
      <c r="I218" s="293"/>
      <c r="J218" s="293"/>
      <c r="K218" s="293"/>
      <c r="L218" s="293"/>
      <c r="M218" s="293"/>
      <c r="N218" s="293"/>
      <c r="O218" s="293"/>
      <c r="P218" s="293"/>
      <c r="Q218" s="293"/>
      <c r="R218" s="293"/>
      <c r="S218" s="293"/>
      <c r="T218" s="293"/>
      <c r="U218" s="292"/>
      <c r="V218" s="292"/>
      <c r="W218" s="292"/>
      <c r="X218" s="292"/>
    </row>
    <row r="219" spans="1:24" x14ac:dyDescent="0.2">
      <c r="A219" s="9"/>
      <c r="B219" s="149"/>
      <c r="C219" s="145"/>
      <c r="D219" s="145"/>
      <c r="E219" s="145"/>
      <c r="F219" s="14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3"/>
      <c r="X219" s="33"/>
    </row>
    <row r="220" spans="1:24" x14ac:dyDescent="0.2">
      <c r="A220" s="9"/>
      <c r="B220" s="149"/>
      <c r="C220" s="145"/>
      <c r="D220" s="145"/>
      <c r="E220" s="145"/>
      <c r="F220" s="145"/>
      <c r="G220" s="3"/>
      <c r="H220" s="34"/>
      <c r="I220" s="34"/>
      <c r="J220" s="34"/>
      <c r="K220" s="34"/>
      <c r="L220" s="3"/>
      <c r="M220" s="145"/>
      <c r="N220" s="145"/>
      <c r="O220" s="3"/>
      <c r="P220" s="3"/>
      <c r="Q220" s="34"/>
      <c r="R220" s="34"/>
      <c r="S220" s="34"/>
      <c r="T220" s="3"/>
      <c r="U220" s="3"/>
      <c r="V220" s="3"/>
      <c r="W220" s="149"/>
      <c r="X220" s="149"/>
    </row>
    <row r="221" spans="1:24" x14ac:dyDescent="0.2">
      <c r="A221" s="9"/>
      <c r="B221" s="254"/>
      <c r="C221" s="187"/>
      <c r="D221" s="187"/>
      <c r="E221" s="187"/>
      <c r="F221" s="187"/>
      <c r="G221" s="3"/>
      <c r="H221" s="187"/>
      <c r="I221" s="187"/>
      <c r="J221" s="187"/>
      <c r="K221" s="187"/>
      <c r="L221" s="187"/>
      <c r="M221" s="3"/>
      <c r="N221" s="3"/>
      <c r="O221" s="3"/>
      <c r="P221" s="3"/>
      <c r="Q221" s="187"/>
      <c r="R221" s="187"/>
      <c r="S221" s="187"/>
      <c r="T221" s="187"/>
      <c r="U221" s="187"/>
      <c r="V221" s="187"/>
      <c r="W221" s="149"/>
      <c r="X221" s="149"/>
    </row>
    <row r="222" spans="1:24" x14ac:dyDescent="0.2">
      <c r="A222" s="9"/>
      <c r="B222" s="255"/>
      <c r="C222" s="177"/>
      <c r="D222" s="179"/>
      <c r="E222" s="179"/>
      <c r="F222" s="179"/>
      <c r="G222" s="179"/>
      <c r="H222" s="179"/>
      <c r="I222" s="179"/>
      <c r="J222" s="179"/>
      <c r="K222" s="179"/>
      <c r="L222" s="179"/>
      <c r="M222" s="179"/>
      <c r="N222" s="179"/>
      <c r="O222" s="179"/>
      <c r="P222" s="179"/>
      <c r="Q222" s="179"/>
      <c r="R222" s="179"/>
      <c r="S222" s="179"/>
      <c r="T222" s="179"/>
      <c r="U222" s="179"/>
      <c r="V222" s="180"/>
      <c r="W222" s="201"/>
      <c r="X222" s="206"/>
    </row>
    <row r="223" spans="1:24" x14ac:dyDescent="0.2">
      <c r="A223" s="9"/>
      <c r="B223" s="255"/>
      <c r="C223" s="177"/>
      <c r="D223" s="179"/>
      <c r="E223" s="179"/>
      <c r="F223" s="179"/>
      <c r="G223" s="179"/>
      <c r="H223" s="179"/>
      <c r="I223" s="179"/>
      <c r="J223" s="179"/>
      <c r="K223" s="179"/>
      <c r="L223" s="179"/>
      <c r="M223" s="179"/>
      <c r="N223" s="179"/>
      <c r="O223" s="179"/>
      <c r="P223" s="179"/>
      <c r="Q223" s="179"/>
      <c r="R223" s="179"/>
      <c r="S223" s="179"/>
      <c r="T223" s="179"/>
      <c r="U223" s="179"/>
      <c r="V223" s="180"/>
      <c r="W223" s="201"/>
      <c r="X223" s="206"/>
    </row>
    <row r="224" spans="1:24" x14ac:dyDescent="0.2">
      <c r="A224" s="9"/>
      <c r="B224" s="255"/>
      <c r="C224" s="177"/>
      <c r="D224" s="179"/>
      <c r="E224" s="179"/>
      <c r="F224" s="179"/>
      <c r="G224" s="179"/>
      <c r="H224" s="179"/>
      <c r="I224" s="179"/>
      <c r="J224" s="179"/>
      <c r="K224" s="179"/>
      <c r="L224" s="179"/>
      <c r="M224" s="179"/>
      <c r="N224" s="179"/>
      <c r="O224" s="179"/>
      <c r="P224" s="179"/>
      <c r="Q224" s="179"/>
      <c r="R224" s="179"/>
      <c r="S224" s="179"/>
      <c r="T224" s="179"/>
      <c r="U224" s="179"/>
      <c r="V224" s="180"/>
      <c r="W224" s="201"/>
      <c r="X224" s="206"/>
    </row>
    <row r="225" spans="1:24" x14ac:dyDescent="0.2">
      <c r="A225" s="9"/>
      <c r="B225" s="251"/>
      <c r="C225" s="37"/>
      <c r="D225" s="179"/>
      <c r="E225" s="179"/>
      <c r="F225" s="179"/>
      <c r="G225" s="179"/>
      <c r="H225" s="179"/>
      <c r="I225" s="179"/>
      <c r="J225" s="179"/>
      <c r="K225" s="179"/>
      <c r="L225" s="179"/>
      <c r="M225" s="256"/>
      <c r="N225" s="256"/>
      <c r="O225" s="256"/>
      <c r="P225" s="256"/>
      <c r="Q225" s="256"/>
      <c r="R225" s="256"/>
      <c r="S225" s="256"/>
      <c r="T225" s="256"/>
      <c r="U225" s="179"/>
      <c r="V225" s="180"/>
      <c r="W225" s="202"/>
      <c r="X225" s="193"/>
    </row>
    <row r="226" spans="1:24" x14ac:dyDescent="0.2">
      <c r="A226" s="9"/>
      <c r="B226" s="257"/>
      <c r="C226" s="177"/>
      <c r="D226" s="179"/>
      <c r="E226" s="179"/>
      <c r="F226" s="179"/>
      <c r="G226" s="179"/>
      <c r="H226" s="179"/>
      <c r="I226" s="179"/>
      <c r="J226" s="179"/>
      <c r="K226" s="179"/>
      <c r="L226" s="179"/>
      <c r="M226" s="179"/>
      <c r="N226" s="179"/>
      <c r="O226" s="179"/>
      <c r="P226" s="179"/>
      <c r="Q226" s="179"/>
      <c r="R226" s="179"/>
      <c r="S226" s="179"/>
      <c r="T226" s="179"/>
      <c r="U226" s="179"/>
      <c r="V226" s="180"/>
      <c r="W226" s="201"/>
      <c r="X226" s="206"/>
    </row>
    <row r="227" spans="1:24" x14ac:dyDescent="0.2">
      <c r="A227" s="9"/>
      <c r="B227" s="257"/>
      <c r="C227" s="177"/>
      <c r="D227" s="179"/>
      <c r="E227" s="179"/>
      <c r="F227" s="179"/>
      <c r="G227" s="179"/>
      <c r="H227" s="179"/>
      <c r="I227" s="179"/>
      <c r="J227" s="179"/>
      <c r="K227" s="179"/>
      <c r="L227" s="179"/>
      <c r="M227" s="179"/>
      <c r="N227" s="179"/>
      <c r="O227" s="179"/>
      <c r="P227" s="179"/>
      <c r="Q227" s="179"/>
      <c r="R227" s="179"/>
      <c r="S227" s="179"/>
      <c r="T227" s="179"/>
      <c r="U227" s="179"/>
      <c r="V227" s="180"/>
      <c r="W227" s="201"/>
      <c r="X227" s="206"/>
    </row>
    <row r="228" spans="1:24" x14ac:dyDescent="0.2">
      <c r="A228" s="9"/>
      <c r="B228" s="257"/>
      <c r="C228" s="177"/>
      <c r="D228" s="179"/>
      <c r="E228" s="179"/>
      <c r="F228" s="179"/>
      <c r="G228" s="179"/>
      <c r="H228" s="179"/>
      <c r="I228" s="179"/>
      <c r="J228" s="179"/>
      <c r="K228" s="179"/>
      <c r="L228" s="179"/>
      <c r="M228" s="179"/>
      <c r="N228" s="179"/>
      <c r="O228" s="179"/>
      <c r="P228" s="179"/>
      <c r="Q228" s="179"/>
      <c r="R228" s="179"/>
      <c r="S228" s="179"/>
      <c r="T228" s="179"/>
      <c r="U228" s="179"/>
      <c r="V228" s="180"/>
      <c r="W228" s="201"/>
      <c r="X228" s="206"/>
    </row>
    <row r="229" spans="1:24" x14ac:dyDescent="0.2">
      <c r="A229" s="9"/>
      <c r="B229" s="257"/>
      <c r="C229" s="37"/>
      <c r="D229" s="179"/>
      <c r="E229" s="179"/>
      <c r="F229" s="179"/>
      <c r="G229" s="179"/>
      <c r="H229" s="179"/>
      <c r="I229" s="179"/>
      <c r="J229" s="179"/>
      <c r="K229" s="179"/>
      <c r="L229" s="179"/>
      <c r="M229" s="256"/>
      <c r="N229" s="256"/>
      <c r="O229" s="256"/>
      <c r="P229" s="256"/>
      <c r="Q229" s="256"/>
      <c r="R229" s="256"/>
      <c r="S229" s="256"/>
      <c r="T229" s="256"/>
      <c r="U229" s="179"/>
      <c r="V229" s="180"/>
      <c r="W229" s="202"/>
      <c r="X229" s="193"/>
    </row>
    <row r="230" spans="1:24" x14ac:dyDescent="0.2">
      <c r="A230" s="9"/>
      <c r="B230" s="258"/>
      <c r="C230" s="177"/>
      <c r="D230" s="179"/>
      <c r="E230" s="179"/>
      <c r="F230" s="179"/>
      <c r="G230" s="179"/>
      <c r="H230" s="179"/>
      <c r="I230" s="179"/>
      <c r="J230" s="179"/>
      <c r="K230" s="179"/>
      <c r="L230" s="179"/>
      <c r="M230" s="179"/>
      <c r="N230" s="179"/>
      <c r="O230" s="179"/>
      <c r="P230" s="179"/>
      <c r="Q230" s="179"/>
      <c r="R230" s="179"/>
      <c r="S230" s="179"/>
      <c r="T230" s="179"/>
      <c r="U230" s="179"/>
      <c r="V230" s="180"/>
      <c r="W230" s="201"/>
      <c r="X230" s="206"/>
    </row>
    <row r="231" spans="1:24" x14ac:dyDescent="0.2">
      <c r="A231" s="9"/>
      <c r="B231" s="258"/>
      <c r="C231" s="177"/>
      <c r="D231" s="179"/>
      <c r="E231" s="179"/>
      <c r="F231" s="179"/>
      <c r="G231" s="179"/>
      <c r="H231" s="179"/>
      <c r="I231" s="179"/>
      <c r="J231" s="179"/>
      <c r="K231" s="179"/>
      <c r="L231" s="179"/>
      <c r="M231" s="179"/>
      <c r="N231" s="179"/>
      <c r="O231" s="179"/>
      <c r="P231" s="179"/>
      <c r="Q231" s="179"/>
      <c r="R231" s="179"/>
      <c r="S231" s="179"/>
      <c r="T231" s="179"/>
      <c r="U231" s="179"/>
      <c r="V231" s="180"/>
      <c r="W231" s="201"/>
      <c r="X231" s="206"/>
    </row>
    <row r="232" spans="1:24" x14ac:dyDescent="0.2">
      <c r="A232" s="9"/>
      <c r="B232" s="258"/>
      <c r="C232" s="177"/>
      <c r="D232" s="179"/>
      <c r="E232" s="179"/>
      <c r="F232" s="179"/>
      <c r="G232" s="179"/>
      <c r="H232" s="179"/>
      <c r="I232" s="179"/>
      <c r="J232" s="179"/>
      <c r="K232" s="179"/>
      <c r="L232" s="179"/>
      <c r="M232" s="179"/>
      <c r="N232" s="179"/>
      <c r="O232" s="179"/>
      <c r="P232" s="179"/>
      <c r="Q232" s="179"/>
      <c r="R232" s="179"/>
      <c r="S232" s="179"/>
      <c r="T232" s="179"/>
      <c r="U232" s="179"/>
      <c r="V232" s="180"/>
      <c r="W232" s="201"/>
      <c r="X232" s="206"/>
    </row>
    <row r="233" spans="1:24" x14ac:dyDescent="0.2">
      <c r="A233" s="9"/>
      <c r="B233" s="37"/>
      <c r="C233" s="37"/>
      <c r="D233" s="201"/>
      <c r="E233" s="201"/>
      <c r="F233" s="201"/>
      <c r="G233" s="201"/>
      <c r="H233" s="201"/>
      <c r="I233" s="201"/>
      <c r="J233" s="201"/>
      <c r="K233" s="201"/>
      <c r="L233" s="201"/>
      <c r="M233" s="259"/>
      <c r="N233" s="259"/>
      <c r="O233" s="259"/>
      <c r="P233" s="259"/>
      <c r="Q233" s="259"/>
      <c r="R233" s="259"/>
      <c r="S233" s="259"/>
      <c r="T233" s="259"/>
      <c r="U233" s="201"/>
      <c r="V233" s="180"/>
      <c r="W233" s="177"/>
      <c r="X233" s="177"/>
    </row>
    <row r="234" spans="1:24" x14ac:dyDescent="0.2">
      <c r="A234" s="9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</row>
    <row r="235" spans="1:24" x14ac:dyDescent="0.2">
      <c r="A235" s="9"/>
      <c r="B235" s="37"/>
      <c r="C235" s="37"/>
      <c r="D235" s="37"/>
      <c r="E235" s="37"/>
      <c r="F235" s="293"/>
      <c r="G235" s="293"/>
      <c r="H235" s="145"/>
      <c r="I235" s="145"/>
      <c r="J235" s="145"/>
      <c r="K235" s="145"/>
      <c r="L235" s="293"/>
      <c r="M235" s="293"/>
      <c r="N235" s="293"/>
      <c r="O235" s="293"/>
      <c r="P235" s="37"/>
      <c r="Q235" s="37"/>
      <c r="R235" s="37"/>
      <c r="S235" s="37"/>
      <c r="T235" s="37"/>
      <c r="U235" s="37"/>
      <c r="V235" s="37"/>
      <c r="W235" s="37"/>
      <c r="X235" s="37"/>
    </row>
    <row r="236" spans="1:24" x14ac:dyDescent="0.2">
      <c r="A236" s="9"/>
      <c r="B236" s="37"/>
      <c r="C236" s="145"/>
      <c r="D236" s="145"/>
      <c r="E236" s="145"/>
      <c r="F236" s="149"/>
      <c r="G236" s="149"/>
      <c r="H236" s="9"/>
      <c r="I236" s="9"/>
      <c r="J236" s="9"/>
      <c r="K236" s="37"/>
      <c r="L236" s="37"/>
      <c r="M236" s="149"/>
      <c r="N236" s="9"/>
      <c r="O236" s="37"/>
      <c r="P236" s="37"/>
      <c r="Q236" s="37"/>
      <c r="R236" s="37"/>
      <c r="S236" s="37"/>
      <c r="T236" s="37"/>
      <c r="U236" s="37"/>
      <c r="V236" s="37"/>
      <c r="W236" s="37"/>
      <c r="X236" s="37"/>
    </row>
    <row r="237" spans="1:24" x14ac:dyDescent="0.2">
      <c r="A237" s="9"/>
      <c r="B237" s="37"/>
      <c r="C237" s="7"/>
      <c r="D237" s="145"/>
      <c r="E237" s="145"/>
      <c r="F237" s="207"/>
      <c r="G237" s="207"/>
      <c r="H237" s="7"/>
      <c r="I237" s="7"/>
      <c r="J237" s="7"/>
      <c r="K237" s="75"/>
      <c r="L237" s="75"/>
      <c r="M237" s="27"/>
      <c r="N237" s="7"/>
      <c r="O237" s="37"/>
      <c r="P237" s="37"/>
      <c r="Q237" s="37"/>
      <c r="R237" s="37"/>
      <c r="S237" s="37"/>
      <c r="T237" s="37"/>
      <c r="U237" s="37"/>
      <c r="V237" s="37"/>
      <c r="W237" s="37"/>
      <c r="X237" s="37"/>
    </row>
    <row r="238" spans="1:24" x14ac:dyDescent="0.2">
      <c r="A238" s="9"/>
      <c r="B238" s="37"/>
      <c r="C238" s="7"/>
      <c r="D238" s="145"/>
      <c r="E238" s="37"/>
      <c r="F238" s="207"/>
      <c r="G238" s="207"/>
      <c r="H238" s="7"/>
      <c r="I238" s="7"/>
      <c r="J238" s="7"/>
      <c r="K238" s="37"/>
      <c r="L238" s="37"/>
      <c r="M238" s="27"/>
      <c r="N238" s="7"/>
      <c r="O238" s="37"/>
      <c r="P238" s="201"/>
      <c r="Q238" s="201"/>
      <c r="R238" s="201"/>
      <c r="S238" s="201"/>
      <c r="T238" s="201"/>
      <c r="U238" s="177"/>
      <c r="V238" s="180"/>
      <c r="W238" s="177"/>
      <c r="X238" s="177"/>
    </row>
    <row r="239" spans="1:24" x14ac:dyDescent="0.2">
      <c r="A239" s="9"/>
      <c r="B239" s="258"/>
      <c r="C239" s="7"/>
      <c r="D239" s="145"/>
      <c r="E239" s="37"/>
      <c r="F239" s="204"/>
      <c r="G239" s="204"/>
      <c r="H239" s="7"/>
      <c r="I239" s="7"/>
      <c r="J239" s="7"/>
      <c r="K239" s="37"/>
      <c r="L239" s="37"/>
      <c r="M239" s="28"/>
      <c r="N239" s="7"/>
      <c r="O239" s="37"/>
      <c r="P239" s="201"/>
      <c r="Q239" s="201"/>
      <c r="R239" s="201"/>
      <c r="S239" s="201"/>
      <c r="T239" s="201"/>
      <c r="U239" s="201"/>
      <c r="V239" s="180"/>
      <c r="W239" s="201"/>
      <c r="X239" s="206"/>
    </row>
    <row r="240" spans="1:24" x14ac:dyDescent="0.2">
      <c r="A240" s="9"/>
      <c r="B240" s="258"/>
      <c r="C240" s="7"/>
      <c r="D240" s="145"/>
      <c r="E240" s="37"/>
      <c r="F240" s="204"/>
      <c r="G240" s="204"/>
      <c r="H240" s="7"/>
      <c r="I240" s="7"/>
      <c r="J240" s="7"/>
      <c r="K240" s="37"/>
      <c r="L240" s="37"/>
      <c r="M240" s="28"/>
      <c r="N240" s="7"/>
      <c r="O240" s="37"/>
      <c r="P240" s="201"/>
      <c r="Q240" s="201"/>
      <c r="R240" s="201"/>
      <c r="S240" s="201"/>
      <c r="T240" s="201"/>
      <c r="U240" s="201"/>
      <c r="V240" s="180"/>
      <c r="W240" s="201"/>
      <c r="X240" s="206"/>
    </row>
    <row r="241" spans="1:24" x14ac:dyDescent="0.2">
      <c r="A241" s="9"/>
      <c r="B241" s="258"/>
      <c r="C241" s="8"/>
      <c r="D241" s="37"/>
      <c r="E241" s="37"/>
      <c r="F241" s="204"/>
      <c r="G241" s="204"/>
      <c r="H241" s="7"/>
      <c r="I241" s="7"/>
      <c r="J241" s="7"/>
      <c r="K241" s="37"/>
      <c r="L241" s="37"/>
      <c r="M241" s="28"/>
      <c r="N241" s="7"/>
      <c r="O241" s="37"/>
      <c r="P241" s="201"/>
      <c r="Q241" s="201"/>
      <c r="R241" s="201"/>
      <c r="S241" s="201"/>
      <c r="T241" s="201"/>
      <c r="U241" s="201"/>
      <c r="V241" s="180"/>
      <c r="W241" s="201"/>
      <c r="X241" s="206"/>
    </row>
    <row r="242" spans="1:24" x14ac:dyDescent="0.2">
      <c r="A242" s="9"/>
      <c r="B242" s="258"/>
      <c r="C242" s="8"/>
      <c r="D242" s="37"/>
      <c r="E242" s="37"/>
      <c r="F242" s="204"/>
      <c r="G242" s="204"/>
      <c r="H242" s="7"/>
      <c r="I242" s="7"/>
      <c r="J242" s="7"/>
      <c r="K242" s="37"/>
      <c r="L242" s="37"/>
      <c r="M242" s="28"/>
      <c r="N242" s="7"/>
      <c r="O242" s="37"/>
      <c r="P242" s="201"/>
      <c r="Q242" s="177"/>
      <c r="R242" s="177"/>
      <c r="S242" s="177"/>
      <c r="T242" s="177"/>
      <c r="U242" s="177"/>
      <c r="V242" s="180"/>
      <c r="W242" s="177"/>
      <c r="X242" s="177"/>
    </row>
    <row r="243" spans="1:24" x14ac:dyDescent="0.2">
      <c r="A243" s="9"/>
      <c r="B243" s="258"/>
      <c r="C243" s="7"/>
      <c r="D243" s="145"/>
      <c r="E243" s="37"/>
      <c r="F243" s="204"/>
      <c r="G243" s="204"/>
      <c r="H243" s="7"/>
      <c r="I243" s="7"/>
      <c r="J243" s="7"/>
      <c r="K243" s="37"/>
      <c r="L243" s="37"/>
      <c r="M243" s="27"/>
      <c r="N243" s="7"/>
      <c r="O243" s="37"/>
      <c r="P243" s="201"/>
      <c r="Q243" s="201"/>
      <c r="R243" s="201"/>
      <c r="S243" s="201"/>
      <c r="T243" s="201"/>
      <c r="U243" s="201"/>
      <c r="V243" s="180"/>
      <c r="W243" s="201"/>
      <c r="X243" s="206"/>
    </row>
    <row r="244" spans="1:24" x14ac:dyDescent="0.2">
      <c r="A244" s="9"/>
      <c r="B244" s="258"/>
      <c r="C244" s="7"/>
      <c r="D244" s="145"/>
      <c r="E244" s="37"/>
      <c r="F244" s="204"/>
      <c r="G244" s="204"/>
      <c r="H244" s="7"/>
      <c r="I244" s="7"/>
      <c r="J244" s="7"/>
      <c r="K244" s="37"/>
      <c r="L244" s="37"/>
      <c r="M244" s="27"/>
      <c r="N244" s="7"/>
      <c r="O244" s="37"/>
      <c r="P244" s="37"/>
      <c r="Q244" s="201"/>
      <c r="R244" s="201"/>
      <c r="S244" s="201"/>
      <c r="T244" s="201"/>
      <c r="U244" s="201"/>
      <c r="V244" s="180"/>
      <c r="W244" s="201"/>
      <c r="X244" s="206"/>
    </row>
    <row r="245" spans="1:24" x14ac:dyDescent="0.2">
      <c r="A245" s="9"/>
      <c r="B245" s="258"/>
      <c r="C245" s="7"/>
      <c r="D245" s="145"/>
      <c r="E245" s="37"/>
      <c r="F245" s="204"/>
      <c r="G245" s="204"/>
      <c r="H245" s="7"/>
      <c r="I245" s="7"/>
      <c r="J245" s="7"/>
      <c r="K245" s="37"/>
      <c r="L245" s="37"/>
      <c r="M245" s="28"/>
      <c r="N245" s="7"/>
      <c r="O245" s="37"/>
      <c r="P245" s="201"/>
      <c r="Q245" s="201"/>
      <c r="R245" s="201"/>
      <c r="S245" s="201"/>
      <c r="T245" s="201"/>
      <c r="U245" s="201"/>
      <c r="V245" s="180"/>
      <c r="W245" s="201"/>
      <c r="X245" s="206"/>
    </row>
    <row r="246" spans="1:24" x14ac:dyDescent="0.2">
      <c r="A246" s="9"/>
      <c r="B246" s="37"/>
      <c r="C246" s="188"/>
      <c r="D246" s="37"/>
      <c r="E246" s="37"/>
      <c r="F246" s="207"/>
      <c r="G246" s="207"/>
      <c r="H246" s="7"/>
      <c r="I246" s="7"/>
      <c r="J246" s="7"/>
      <c r="K246" s="37"/>
      <c r="L246" s="37"/>
      <c r="M246" s="27"/>
      <c r="N246" s="7"/>
      <c r="O246" s="37"/>
      <c r="P246" s="201"/>
      <c r="Q246" s="37"/>
      <c r="R246" s="37"/>
      <c r="S246" s="37"/>
      <c r="T246" s="37"/>
      <c r="U246" s="177"/>
      <c r="V246" s="177"/>
      <c r="W246" s="177"/>
      <c r="X246" s="177"/>
    </row>
    <row r="247" spans="1:24" x14ac:dyDescent="0.2">
      <c r="A247" s="9"/>
      <c r="B247" s="258"/>
      <c r="C247" s="9"/>
      <c r="D247" s="37"/>
      <c r="E247" s="37"/>
      <c r="F247" s="37"/>
      <c r="G247" s="37"/>
      <c r="H247" s="37"/>
      <c r="I247" s="37"/>
      <c r="J247" s="37"/>
      <c r="K247" s="37"/>
      <c r="L247" s="37"/>
      <c r="M247" s="27"/>
      <c r="N247" s="9"/>
      <c r="O247" s="37"/>
      <c r="P247" s="201"/>
      <c r="Q247" s="201"/>
      <c r="R247" s="201"/>
      <c r="S247" s="201"/>
      <c r="T247" s="201"/>
      <c r="U247" s="201"/>
      <c r="V247" s="180"/>
      <c r="W247" s="201"/>
      <c r="X247" s="206"/>
    </row>
    <row r="248" spans="1:24" x14ac:dyDescent="0.2">
      <c r="A248" s="9"/>
      <c r="B248" s="258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201"/>
      <c r="Q248" s="201"/>
      <c r="R248" s="201"/>
      <c r="S248" s="201"/>
      <c r="T248" s="201"/>
      <c r="U248" s="201"/>
      <c r="V248" s="180"/>
      <c r="W248" s="201"/>
      <c r="X248" s="206"/>
    </row>
    <row r="249" spans="1:24" x14ac:dyDescent="0.2">
      <c r="A249" s="9"/>
      <c r="B249" s="258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177"/>
      <c r="Q249" s="201"/>
      <c r="R249" s="201"/>
      <c r="S249" s="201"/>
      <c r="T249" s="201"/>
      <c r="U249" s="201"/>
      <c r="V249" s="180"/>
      <c r="W249" s="201"/>
      <c r="X249" s="206"/>
    </row>
    <row r="250" spans="1:24" x14ac:dyDescent="0.2">
      <c r="A250" s="9"/>
      <c r="B250" s="258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177"/>
      <c r="Q250" s="201"/>
      <c r="R250" s="201"/>
      <c r="S250" s="201"/>
      <c r="T250" s="201"/>
      <c r="U250" s="177"/>
      <c r="V250" s="177"/>
      <c r="W250" s="177"/>
      <c r="X250" s="177"/>
    </row>
    <row r="251" spans="1:24" x14ac:dyDescent="0.2">
      <c r="A251" s="9"/>
      <c r="B251" s="251"/>
      <c r="C251" s="17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177"/>
      <c r="Q251" s="177"/>
      <c r="R251" s="177"/>
      <c r="S251" s="177"/>
      <c r="T251" s="177"/>
      <c r="U251" s="177"/>
      <c r="V251" s="177"/>
      <c r="W251" s="177"/>
      <c r="X251" s="177"/>
    </row>
    <row r="252" spans="1:24" x14ac:dyDescent="0.2">
      <c r="A252" s="9"/>
      <c r="B252" s="251"/>
      <c r="C252" s="17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177"/>
      <c r="Q252" s="177"/>
      <c r="R252" s="177"/>
      <c r="S252" s="177"/>
      <c r="T252" s="177"/>
      <c r="U252" s="177"/>
      <c r="V252" s="177"/>
      <c r="W252" s="177"/>
      <c r="X252" s="177"/>
    </row>
    <row r="253" spans="1:24" x14ac:dyDescent="0.2">
      <c r="A253" s="9"/>
      <c r="B253" s="251"/>
      <c r="C253" s="17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177"/>
      <c r="Q253" s="177"/>
      <c r="R253" s="177"/>
      <c r="S253" s="177"/>
      <c r="T253" s="177"/>
      <c r="U253" s="177"/>
      <c r="V253" s="177"/>
      <c r="W253" s="177"/>
      <c r="X253" s="177"/>
    </row>
    <row r="254" spans="1:24" x14ac:dyDescent="0.2">
      <c r="A254" s="9"/>
      <c r="B254" s="251"/>
      <c r="C254" s="17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177"/>
      <c r="O254" s="6"/>
      <c r="P254" s="6"/>
      <c r="Q254" s="177"/>
      <c r="R254" s="177"/>
      <c r="S254" s="177"/>
      <c r="T254" s="177"/>
      <c r="U254" s="177"/>
      <c r="V254" s="177"/>
      <c r="W254" s="177"/>
      <c r="X254" s="177"/>
    </row>
    <row r="255" spans="1:24" x14ac:dyDescent="0.2">
      <c r="A255" s="9"/>
      <c r="B255" s="251"/>
      <c r="C255" s="17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177"/>
      <c r="O255" s="6"/>
      <c r="P255" s="6"/>
      <c r="Q255" s="177"/>
      <c r="R255" s="177"/>
      <c r="S255" s="177"/>
      <c r="T255" s="177"/>
      <c r="U255" s="177"/>
      <c r="V255" s="177"/>
      <c r="W255" s="177"/>
      <c r="X255" s="177"/>
    </row>
    <row r="256" spans="1:24" x14ac:dyDescent="0.2">
      <c r="A256" s="9"/>
      <c r="B256" s="9"/>
      <c r="C256" s="17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177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1:24" x14ac:dyDescent="0.2">
      <c r="A257" s="9"/>
      <c r="B257" s="9"/>
      <c r="C257" s="17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1:24" x14ac:dyDescent="0.2">
      <c r="A258" s="9"/>
      <c r="B258" s="9"/>
      <c r="C258" s="37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6"/>
      <c r="R258" s="6"/>
      <c r="S258" s="6"/>
      <c r="T258" s="6"/>
      <c r="U258" s="6"/>
      <c r="V258" s="6"/>
      <c r="W258" s="6"/>
      <c r="X258" s="6"/>
    </row>
    <row r="259" spans="1:24" x14ac:dyDescent="0.2">
      <c r="A259" s="9"/>
      <c r="B259" s="9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6"/>
      <c r="R259" s="6"/>
      <c r="S259" s="6"/>
      <c r="T259" s="6"/>
      <c r="U259" s="6"/>
      <c r="V259" s="6"/>
      <c r="W259" s="6"/>
      <c r="X259" s="6"/>
    </row>
    <row r="260" spans="1:24" x14ac:dyDescent="0.2">
      <c r="A260" s="9"/>
      <c r="B260" s="9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9"/>
      <c r="R260" s="9"/>
      <c r="S260" s="9"/>
      <c r="T260" s="9"/>
      <c r="U260" s="9"/>
      <c r="V260" s="9"/>
      <c r="W260" s="9"/>
      <c r="X260" s="9"/>
    </row>
    <row r="261" spans="1:24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1:24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4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20"/>
      <c r="M263" s="20"/>
      <c r="N263" s="9"/>
      <c r="O263" s="20"/>
      <c r="P263" s="20"/>
      <c r="Q263" s="20"/>
      <c r="R263" s="20"/>
      <c r="S263" s="20"/>
      <c r="T263" s="20"/>
      <c r="U263" s="20"/>
      <c r="V263" s="9"/>
      <c r="W263" s="9"/>
      <c r="X263" s="20"/>
    </row>
    <row r="264" spans="1:24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70"/>
      <c r="M264" s="20"/>
      <c r="N264" s="9"/>
      <c r="O264" s="9"/>
      <c r="P264" s="9"/>
      <c r="Q264" s="9"/>
      <c r="R264" s="9"/>
      <c r="S264" s="9"/>
      <c r="T264" s="70"/>
      <c r="U264" s="70"/>
      <c r="V264" s="20"/>
      <c r="W264" s="9"/>
      <c r="X264" s="70"/>
    </row>
    <row r="265" spans="1:24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70"/>
      <c r="M265" s="20"/>
      <c r="N265" s="70"/>
      <c r="O265" s="9"/>
      <c r="P265" s="9"/>
      <c r="Q265" s="9"/>
      <c r="R265" s="9"/>
      <c r="S265" s="9"/>
      <c r="T265" s="9"/>
      <c r="U265" s="20"/>
      <c r="V265" s="20"/>
      <c r="W265" s="9"/>
      <c r="X265" s="70"/>
    </row>
    <row r="266" spans="1:24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70"/>
      <c r="M266" s="20"/>
      <c r="N266" s="70"/>
      <c r="O266" s="9"/>
      <c r="P266" s="9"/>
      <c r="Q266" s="9"/>
      <c r="R266" s="9"/>
      <c r="S266" s="9"/>
      <c r="T266" s="9"/>
      <c r="U266" s="70"/>
      <c r="V266" s="20"/>
      <c r="W266" s="9"/>
      <c r="X266" s="70"/>
    </row>
    <row r="267" spans="1:24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14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1:24" x14ac:dyDescent="0.2">
      <c r="A268" s="9"/>
      <c r="B268" s="9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x14ac:dyDescent="0.2">
      <c r="A269" s="9"/>
      <c r="B269" s="9"/>
      <c r="C269" s="145"/>
      <c r="D269" s="145"/>
      <c r="E269" s="145"/>
      <c r="F269" s="145"/>
      <c r="G269" s="145"/>
      <c r="H269" s="145"/>
      <c r="I269" s="145"/>
      <c r="J269" s="145"/>
      <c r="K269" s="145"/>
      <c r="L269" s="145"/>
      <c r="M269" s="145"/>
      <c r="N269" s="145"/>
      <c r="O269" s="145"/>
      <c r="P269" s="145"/>
      <c r="Q269" s="149"/>
      <c r="R269" s="149"/>
      <c r="S269" s="149"/>
      <c r="T269" s="149"/>
      <c r="U269" s="149"/>
      <c r="V269" s="145"/>
      <c r="W269" s="20"/>
      <c r="X269" s="149"/>
    </row>
    <row r="270" spans="1:24" x14ac:dyDescent="0.2">
      <c r="A270" s="9"/>
      <c r="B270" s="149"/>
      <c r="C270" s="145"/>
      <c r="D270" s="145"/>
      <c r="E270" s="145"/>
      <c r="F270" s="14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3"/>
      <c r="X270" s="33"/>
    </row>
    <row r="271" spans="1:24" x14ac:dyDescent="0.2">
      <c r="A271" s="9"/>
      <c r="B271" s="149"/>
      <c r="C271" s="145"/>
      <c r="D271" s="145"/>
      <c r="E271" s="145"/>
      <c r="F271" s="145"/>
      <c r="G271" s="3"/>
      <c r="H271" s="34"/>
      <c r="I271" s="34"/>
      <c r="J271" s="34"/>
      <c r="K271" s="34"/>
      <c r="L271" s="3"/>
      <c r="M271" s="145"/>
      <c r="N271" s="145"/>
      <c r="O271" s="3"/>
      <c r="P271" s="3"/>
      <c r="Q271" s="34"/>
      <c r="R271" s="34"/>
      <c r="S271" s="34"/>
      <c r="T271" s="3"/>
      <c r="U271" s="3"/>
      <c r="V271" s="3"/>
      <c r="W271" s="149"/>
      <c r="X271" s="149"/>
    </row>
    <row r="272" spans="1:24" x14ac:dyDescent="0.2">
      <c r="A272" s="9"/>
      <c r="B272" s="254"/>
      <c r="C272" s="187"/>
      <c r="D272" s="187"/>
      <c r="E272" s="187"/>
      <c r="F272" s="187"/>
      <c r="G272" s="3"/>
      <c r="H272" s="187"/>
      <c r="I272" s="187"/>
      <c r="J272" s="187"/>
      <c r="K272" s="187"/>
      <c r="L272" s="187"/>
      <c r="M272" s="3"/>
      <c r="N272" s="3"/>
      <c r="O272" s="3"/>
      <c r="P272" s="3"/>
      <c r="Q272" s="187"/>
      <c r="R272" s="187"/>
      <c r="S272" s="187"/>
      <c r="T272" s="187"/>
      <c r="U272" s="187"/>
      <c r="V272" s="187"/>
      <c r="W272" s="149"/>
      <c r="X272" s="149"/>
    </row>
    <row r="273" spans="1:24" x14ac:dyDescent="0.2">
      <c r="A273" s="9"/>
      <c r="B273" s="255"/>
      <c r="C273" s="177"/>
      <c r="D273" s="201"/>
      <c r="E273" s="201"/>
      <c r="F273" s="201"/>
      <c r="G273" s="201"/>
      <c r="H273" s="201"/>
      <c r="I273" s="201"/>
      <c r="J273" s="201"/>
      <c r="K273" s="201"/>
      <c r="L273" s="201"/>
      <c r="M273" s="179"/>
      <c r="N273" s="179"/>
      <c r="O273" s="201"/>
      <c r="P273" s="201"/>
      <c r="Q273" s="201"/>
      <c r="R273" s="201"/>
      <c r="S273" s="201"/>
      <c r="T273" s="201"/>
      <c r="U273" s="179"/>
      <c r="V273" s="180"/>
      <c r="W273" s="193"/>
      <c r="X273" s="193"/>
    </row>
    <row r="274" spans="1:24" x14ac:dyDescent="0.2">
      <c r="A274" s="9"/>
      <c r="B274" s="255"/>
      <c r="C274" s="177"/>
      <c r="D274" s="201"/>
      <c r="E274" s="201"/>
      <c r="F274" s="201"/>
      <c r="G274" s="201"/>
      <c r="H274" s="201"/>
      <c r="I274" s="201"/>
      <c r="J274" s="201"/>
      <c r="K274" s="201"/>
      <c r="L274" s="201"/>
      <c r="M274" s="26"/>
      <c r="N274" s="179"/>
      <c r="O274" s="179"/>
      <c r="P274" s="179"/>
      <c r="Q274" s="179"/>
      <c r="R274" s="179"/>
      <c r="S274" s="179"/>
      <c r="T274" s="201"/>
      <c r="U274" s="201"/>
      <c r="V274" s="180"/>
      <c r="W274" s="202"/>
      <c r="X274" s="193"/>
    </row>
    <row r="275" spans="1:24" x14ac:dyDescent="0.2">
      <c r="A275" s="9"/>
      <c r="B275" s="255"/>
      <c r="C275" s="177"/>
      <c r="D275" s="201"/>
      <c r="E275" s="201"/>
      <c r="F275" s="201"/>
      <c r="G275" s="201"/>
      <c r="H275" s="201"/>
      <c r="I275" s="201"/>
      <c r="J275" s="201"/>
      <c r="K275" s="201"/>
      <c r="L275" s="201"/>
      <c r="M275" s="26"/>
      <c r="N275" s="179"/>
      <c r="O275" s="179"/>
      <c r="P275" s="179"/>
      <c r="Q275" s="179"/>
      <c r="R275" s="179"/>
      <c r="S275" s="179"/>
      <c r="T275" s="201"/>
      <c r="U275" s="201"/>
      <c r="V275" s="180"/>
      <c r="W275" s="202"/>
      <c r="X275" s="193"/>
    </row>
    <row r="276" spans="1:24" x14ac:dyDescent="0.2">
      <c r="A276" s="9"/>
      <c r="B276" s="255"/>
      <c r="C276" s="177"/>
      <c r="D276" s="201"/>
      <c r="E276" s="201"/>
      <c r="F276" s="201"/>
      <c r="G276" s="201"/>
      <c r="H276" s="201"/>
      <c r="I276" s="201"/>
      <c r="J276" s="201"/>
      <c r="K276" s="201"/>
      <c r="L276" s="201"/>
      <c r="M276" s="26"/>
      <c r="N276" s="179"/>
      <c r="O276" s="179"/>
      <c r="P276" s="179"/>
      <c r="Q276" s="179"/>
      <c r="R276" s="179"/>
      <c r="S276" s="179"/>
      <c r="T276" s="201"/>
      <c r="U276" s="201"/>
      <c r="V276" s="180"/>
      <c r="W276" s="202"/>
      <c r="X276" s="193"/>
    </row>
    <row r="277" spans="1:24" x14ac:dyDescent="0.2">
      <c r="A277" s="9"/>
      <c r="B277" s="251"/>
      <c r="C277" s="177"/>
      <c r="D277" s="26"/>
      <c r="E277" s="201"/>
      <c r="F277" s="201"/>
      <c r="G277" s="179"/>
      <c r="H277" s="179"/>
      <c r="I277" s="179"/>
      <c r="J277" s="179"/>
      <c r="K277" s="179"/>
      <c r="L277" s="201"/>
      <c r="M277" s="26"/>
      <c r="N277" s="179"/>
      <c r="O277" s="179"/>
      <c r="P277" s="179"/>
      <c r="Q277" s="179"/>
      <c r="R277" s="179"/>
      <c r="S277" s="179"/>
      <c r="T277" s="201"/>
      <c r="U277" s="201"/>
      <c r="V277" s="180"/>
      <c r="W277" s="202"/>
      <c r="X277" s="193"/>
    </row>
    <row r="278" spans="1:24" x14ac:dyDescent="0.2">
      <c r="A278" s="9"/>
      <c r="B278" s="257"/>
      <c r="C278" s="177"/>
      <c r="D278" s="201"/>
      <c r="E278" s="201"/>
      <c r="F278" s="201"/>
      <c r="G278" s="201"/>
      <c r="H278" s="201"/>
      <c r="I278" s="201"/>
      <c r="J278" s="201"/>
      <c r="K278" s="201"/>
      <c r="L278" s="201"/>
      <c r="M278" s="26"/>
      <c r="N278" s="179"/>
      <c r="O278" s="179"/>
      <c r="P278" s="179"/>
      <c r="Q278" s="179"/>
      <c r="R278" s="179"/>
      <c r="S278" s="179"/>
      <c r="T278" s="201"/>
      <c r="U278" s="201"/>
      <c r="V278" s="180"/>
      <c r="W278" s="202"/>
      <c r="X278" s="193"/>
    </row>
    <row r="279" spans="1:24" x14ac:dyDescent="0.2">
      <c r="A279" s="9"/>
      <c r="B279" s="257"/>
      <c r="C279" s="177"/>
      <c r="D279" s="201"/>
      <c r="E279" s="201"/>
      <c r="F279" s="201"/>
      <c r="G279" s="201"/>
      <c r="H279" s="201"/>
      <c r="I279" s="201"/>
      <c r="J279" s="201"/>
      <c r="K279" s="201"/>
      <c r="L279" s="201"/>
      <c r="M279" s="201"/>
      <c r="N279" s="179"/>
      <c r="O279" s="179"/>
      <c r="P279" s="179"/>
      <c r="Q279" s="179"/>
      <c r="R279" s="179"/>
      <c r="S279" s="179"/>
      <c r="T279" s="201"/>
      <c r="U279" s="201"/>
      <c r="V279" s="180"/>
      <c r="W279" s="202"/>
      <c r="X279" s="193"/>
    </row>
    <row r="280" spans="1:24" x14ac:dyDescent="0.2">
      <c r="A280" s="9"/>
      <c r="B280" s="257"/>
      <c r="C280" s="177"/>
      <c r="D280" s="201"/>
      <c r="E280" s="201"/>
      <c r="F280" s="201"/>
      <c r="G280" s="201"/>
      <c r="H280" s="201"/>
      <c r="I280" s="201"/>
      <c r="J280" s="201"/>
      <c r="K280" s="201"/>
      <c r="L280" s="201"/>
      <c r="M280" s="201"/>
      <c r="N280" s="179"/>
      <c r="O280" s="179"/>
      <c r="P280" s="179"/>
      <c r="Q280" s="179"/>
      <c r="R280" s="179"/>
      <c r="S280" s="179"/>
      <c r="T280" s="201"/>
      <c r="U280" s="201"/>
      <c r="V280" s="180"/>
      <c r="W280" s="202"/>
      <c r="X280" s="193"/>
    </row>
    <row r="281" spans="1:24" x14ac:dyDescent="0.2">
      <c r="A281" s="9"/>
      <c r="B281" s="257"/>
      <c r="C281" s="177"/>
      <c r="D281" s="201"/>
      <c r="E281" s="201"/>
      <c r="F281" s="201"/>
      <c r="G281" s="201"/>
      <c r="H281" s="201"/>
      <c r="I281" s="201"/>
      <c r="J281" s="201"/>
      <c r="K281" s="201"/>
      <c r="L281" s="201"/>
      <c r="M281" s="201"/>
      <c r="N281" s="179"/>
      <c r="O281" s="179"/>
      <c r="P281" s="179"/>
      <c r="Q281" s="179"/>
      <c r="R281" s="179"/>
      <c r="S281" s="179"/>
      <c r="T281" s="201"/>
      <c r="U281" s="201"/>
      <c r="V281" s="180"/>
      <c r="W281" s="202"/>
      <c r="X281" s="193"/>
    </row>
    <row r="282" spans="1:24" x14ac:dyDescent="0.2">
      <c r="A282" s="9"/>
      <c r="B282" s="251"/>
      <c r="C282" s="177"/>
      <c r="D282" s="26"/>
      <c r="E282" s="201"/>
      <c r="F282" s="201"/>
      <c r="G282" s="179"/>
      <c r="H282" s="179"/>
      <c r="I282" s="179"/>
      <c r="J282" s="179"/>
      <c r="K282" s="179"/>
      <c r="L282" s="201"/>
      <c r="M282" s="201"/>
      <c r="N282" s="179"/>
      <c r="O282" s="179"/>
      <c r="P282" s="179"/>
      <c r="Q282" s="179"/>
      <c r="R282" s="179"/>
      <c r="S282" s="179"/>
      <c r="T282" s="201"/>
      <c r="U282" s="201"/>
      <c r="V282" s="180"/>
      <c r="W282" s="202"/>
      <c r="X282" s="193"/>
    </row>
    <row r="283" spans="1:24" x14ac:dyDescent="0.2">
      <c r="A283" s="9"/>
      <c r="B283" s="258"/>
      <c r="C283" s="177"/>
      <c r="D283" s="201"/>
      <c r="E283" s="201"/>
      <c r="F283" s="201"/>
      <c r="G283" s="201"/>
      <c r="H283" s="201"/>
      <c r="I283" s="201"/>
      <c r="J283" s="201"/>
      <c r="K283" s="201"/>
      <c r="L283" s="201"/>
      <c r="M283" s="201"/>
      <c r="N283" s="179"/>
      <c r="O283" s="179"/>
      <c r="P283" s="179"/>
      <c r="Q283" s="179"/>
      <c r="R283" s="179"/>
      <c r="S283" s="179"/>
      <c r="T283" s="201"/>
      <c r="U283" s="201"/>
      <c r="V283" s="180"/>
      <c r="W283" s="202"/>
      <c r="X283" s="193"/>
    </row>
    <row r="284" spans="1:24" x14ac:dyDescent="0.2">
      <c r="A284" s="9"/>
      <c r="B284" s="258"/>
      <c r="C284" s="177"/>
      <c r="D284" s="201"/>
      <c r="E284" s="201"/>
      <c r="F284" s="201"/>
      <c r="G284" s="201"/>
      <c r="H284" s="201"/>
      <c r="I284" s="201"/>
      <c r="J284" s="201"/>
      <c r="K284" s="201"/>
      <c r="L284" s="201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</row>
    <row r="285" spans="1:24" x14ac:dyDescent="0.2">
      <c r="A285" s="9"/>
      <c r="B285" s="258"/>
      <c r="C285" s="177"/>
      <c r="D285" s="201"/>
      <c r="E285" s="201"/>
      <c r="F285" s="201"/>
      <c r="G285" s="201"/>
      <c r="H285" s="201"/>
      <c r="I285" s="201"/>
      <c r="J285" s="201"/>
      <c r="K285" s="201"/>
      <c r="L285" s="201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</row>
    <row r="286" spans="1:24" x14ac:dyDescent="0.2">
      <c r="A286" s="9"/>
      <c r="B286" s="258"/>
      <c r="C286" s="177"/>
      <c r="D286" s="201"/>
      <c r="E286" s="201"/>
      <c r="F286" s="201"/>
      <c r="G286" s="201"/>
      <c r="H286" s="201"/>
      <c r="I286" s="201"/>
      <c r="J286" s="201"/>
      <c r="K286" s="201"/>
      <c r="L286" s="201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</row>
    <row r="287" spans="1:24" x14ac:dyDescent="0.2">
      <c r="A287" s="9"/>
      <c r="B287" s="251"/>
      <c r="C287" s="177"/>
      <c r="D287" s="9"/>
      <c r="E287" s="9"/>
      <c r="F287" s="177"/>
      <c r="G287" s="177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</row>
    <row r="288" spans="1:24" x14ac:dyDescent="0.2">
      <c r="A288" s="9"/>
      <c r="B288" s="258"/>
      <c r="C288" s="177"/>
      <c r="D288" s="201"/>
      <c r="E288" s="201"/>
      <c r="F288" s="201"/>
      <c r="G288" s="201"/>
      <c r="H288" s="201"/>
      <c r="I288" s="201"/>
      <c r="J288" s="201"/>
      <c r="K288" s="201"/>
      <c r="L288" s="201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</row>
    <row r="289" spans="1:24" x14ac:dyDescent="0.2">
      <c r="A289" s="9"/>
      <c r="B289" s="258"/>
      <c r="C289" s="177"/>
      <c r="D289" s="201"/>
      <c r="E289" s="201"/>
      <c r="F289" s="201"/>
      <c r="G289" s="201"/>
      <c r="H289" s="201"/>
      <c r="I289" s="201"/>
      <c r="J289" s="201"/>
      <c r="K289" s="201"/>
      <c r="L289" s="201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</row>
    <row r="290" spans="1:24" x14ac:dyDescent="0.2">
      <c r="A290" s="9"/>
      <c r="B290" s="258"/>
      <c r="C290" s="177"/>
      <c r="D290" s="201"/>
      <c r="E290" s="201"/>
      <c r="F290" s="201"/>
      <c r="G290" s="201"/>
      <c r="H290" s="201"/>
      <c r="I290" s="201"/>
      <c r="J290" s="201"/>
      <c r="K290" s="201"/>
      <c r="L290" s="201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</row>
    <row r="291" spans="1:24" x14ac:dyDescent="0.2">
      <c r="A291" s="9"/>
      <c r="B291" s="258"/>
      <c r="C291" s="177"/>
      <c r="D291" s="201"/>
      <c r="E291" s="201"/>
      <c r="F291" s="201"/>
      <c r="G291" s="201"/>
      <c r="H291" s="201"/>
      <c r="I291" s="201"/>
      <c r="J291" s="201"/>
      <c r="K291" s="201"/>
      <c r="L291" s="201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</row>
    <row r="292" spans="1:24" x14ac:dyDescent="0.2">
      <c r="A292" s="9"/>
      <c r="B292" s="251"/>
      <c r="C292" s="177"/>
      <c r="D292" s="9"/>
      <c r="E292" s="9"/>
      <c r="F292" s="177"/>
      <c r="G292" s="177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</row>
    <row r="293" spans="1:24" x14ac:dyDescent="0.2">
      <c r="A293" s="9"/>
      <c r="B293" s="258"/>
      <c r="C293" s="177"/>
      <c r="D293" s="201"/>
      <c r="E293" s="201"/>
      <c r="F293" s="201"/>
      <c r="G293" s="201"/>
      <c r="H293" s="201"/>
      <c r="I293" s="201"/>
      <c r="J293" s="201"/>
      <c r="K293" s="201"/>
      <c r="L293" s="201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</row>
    <row r="294" spans="1:24" x14ac:dyDescent="0.2">
      <c r="A294" s="9"/>
      <c r="B294" s="258"/>
      <c r="C294" s="177"/>
      <c r="D294" s="201"/>
      <c r="E294" s="201"/>
      <c r="F294" s="201"/>
      <c r="G294" s="201"/>
      <c r="H294" s="201"/>
      <c r="I294" s="201"/>
      <c r="J294" s="201"/>
      <c r="K294" s="201"/>
      <c r="L294" s="201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</row>
    <row r="295" spans="1:24" x14ac:dyDescent="0.2">
      <c r="A295" s="9"/>
      <c r="B295" s="258"/>
      <c r="C295" s="177"/>
      <c r="D295" s="201"/>
      <c r="E295" s="201"/>
      <c r="F295" s="201"/>
      <c r="G295" s="201"/>
      <c r="H295" s="201"/>
      <c r="I295" s="201"/>
      <c r="J295" s="201"/>
      <c r="K295" s="201"/>
      <c r="L295" s="201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</row>
    <row r="296" spans="1:24" x14ac:dyDescent="0.2">
      <c r="A296" s="9"/>
      <c r="B296" s="258"/>
      <c r="C296" s="177"/>
      <c r="D296" s="201"/>
      <c r="E296" s="201"/>
      <c r="F296" s="201"/>
      <c r="G296" s="201"/>
      <c r="H296" s="201"/>
      <c r="I296" s="201"/>
      <c r="J296" s="201"/>
      <c r="K296" s="201"/>
      <c r="L296" s="201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</row>
    <row r="297" spans="1:24" x14ac:dyDescent="0.2">
      <c r="A297" s="9"/>
      <c r="B297" s="251"/>
      <c r="C297" s="177"/>
      <c r="D297" s="9"/>
      <c r="E297" s="9"/>
      <c r="F297" s="177"/>
      <c r="G297" s="177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</row>
    <row r="298" spans="1:24" x14ac:dyDescent="0.2">
      <c r="A298" s="9"/>
      <c r="B298" s="258"/>
      <c r="C298" s="177"/>
      <c r="D298" s="201"/>
      <c r="E298" s="201"/>
      <c r="F298" s="201"/>
      <c r="G298" s="201"/>
      <c r="H298" s="201"/>
      <c r="I298" s="201"/>
      <c r="J298" s="201"/>
      <c r="K298" s="201"/>
      <c r="L298" s="201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</row>
    <row r="299" spans="1:24" x14ac:dyDescent="0.2">
      <c r="A299" s="9"/>
      <c r="B299" s="258"/>
      <c r="C299" s="177"/>
      <c r="D299" s="201"/>
      <c r="E299" s="201"/>
      <c r="F299" s="201"/>
      <c r="G299" s="201"/>
      <c r="H299" s="201"/>
      <c r="I299" s="201"/>
      <c r="J299" s="201"/>
      <c r="K299" s="201"/>
      <c r="L299" s="201"/>
      <c r="M299" s="37"/>
      <c r="N299" s="3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</row>
    <row r="300" spans="1:24" x14ac:dyDescent="0.2">
      <c r="A300" s="9"/>
      <c r="B300" s="258"/>
      <c r="C300" s="177"/>
      <c r="D300" s="201"/>
      <c r="E300" s="201"/>
      <c r="F300" s="201"/>
      <c r="G300" s="201"/>
      <c r="H300" s="201"/>
      <c r="I300" s="201"/>
      <c r="J300" s="201"/>
      <c r="K300" s="201"/>
      <c r="L300" s="201"/>
      <c r="M300" s="37"/>
      <c r="N300" s="3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</row>
    <row r="301" spans="1:24" x14ac:dyDescent="0.2">
      <c r="A301" s="9"/>
      <c r="B301" s="258"/>
      <c r="C301" s="177"/>
      <c r="D301" s="201"/>
      <c r="E301" s="201"/>
      <c r="F301" s="201"/>
      <c r="G301" s="201"/>
      <c r="H301" s="201"/>
      <c r="I301" s="201"/>
      <c r="J301" s="201"/>
      <c r="K301" s="201"/>
      <c r="L301" s="201"/>
      <c r="M301" s="37"/>
      <c r="N301" s="3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</row>
    <row r="302" spans="1:24" x14ac:dyDescent="0.2">
      <c r="A302" s="9"/>
      <c r="B302" s="251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</row>
    <row r="303" spans="1:24" x14ac:dyDescent="0.2">
      <c r="A303" s="9"/>
      <c r="B303" s="251"/>
      <c r="C303" s="17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</row>
    <row r="304" spans="1:24" x14ac:dyDescent="0.2">
      <c r="A304" s="9"/>
      <c r="B304" s="251"/>
      <c r="C304" s="17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</row>
    <row r="305" spans="1:24" x14ac:dyDescent="0.2">
      <c r="A305" s="9"/>
      <c r="B305" s="251"/>
      <c r="C305" s="17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</row>
    <row r="306" spans="1:24" x14ac:dyDescent="0.2">
      <c r="A306" s="9"/>
      <c r="B306" s="251"/>
      <c r="C306" s="17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</row>
    <row r="307" spans="1:24" x14ac:dyDescent="0.2">
      <c r="A307" s="9"/>
      <c r="B307" s="9"/>
      <c r="C307" s="17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177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 spans="1:24" x14ac:dyDescent="0.2">
      <c r="A308" s="9"/>
      <c r="B308" s="9"/>
      <c r="C308" s="17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177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 spans="1:24" x14ac:dyDescent="0.2">
      <c r="A309" s="9"/>
      <c r="B309" s="9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177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 spans="1:24" x14ac:dyDescent="0.2">
      <c r="A310" s="9"/>
      <c r="B310" s="9"/>
      <c r="C310" s="17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 spans="1:24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1:24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1:24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1:24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20"/>
      <c r="M314" s="20"/>
      <c r="N314" s="9"/>
      <c r="O314" s="20"/>
      <c r="P314" s="20"/>
      <c r="Q314" s="20"/>
      <c r="R314" s="20"/>
      <c r="S314" s="20"/>
      <c r="T314" s="20"/>
      <c r="U314" s="20"/>
      <c r="V314" s="9"/>
      <c r="W314" s="9"/>
      <c r="X314" s="20"/>
    </row>
    <row r="315" spans="1:24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70"/>
      <c r="M315" s="20"/>
      <c r="N315" s="9"/>
      <c r="O315" s="9"/>
      <c r="P315" s="9"/>
      <c r="Q315" s="9"/>
      <c r="R315" s="9"/>
      <c r="S315" s="9"/>
      <c r="T315" s="70"/>
      <c r="U315" s="70"/>
      <c r="V315" s="20"/>
      <c r="W315" s="9"/>
      <c r="X315" s="70"/>
    </row>
    <row r="316" spans="1:24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70"/>
      <c r="M316" s="20"/>
      <c r="N316" s="70"/>
      <c r="O316" s="9"/>
      <c r="P316" s="9"/>
      <c r="Q316" s="9"/>
      <c r="R316" s="9"/>
      <c r="S316" s="9"/>
      <c r="T316" s="9"/>
      <c r="U316" s="20"/>
      <c r="V316" s="20"/>
      <c r="W316" s="9"/>
      <c r="X316" s="70"/>
    </row>
    <row r="317" spans="1:24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70"/>
      <c r="M317" s="20"/>
      <c r="N317" s="70"/>
      <c r="O317" s="9"/>
      <c r="P317" s="9"/>
      <c r="Q317" s="9"/>
      <c r="R317" s="9"/>
      <c r="S317" s="9"/>
      <c r="T317" s="9"/>
      <c r="U317" s="70"/>
      <c r="V317" s="20"/>
      <c r="W317" s="9"/>
      <c r="X317" s="70"/>
    </row>
    <row r="318" spans="1:24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14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1:24" x14ac:dyDescent="0.2">
      <c r="A319" s="9"/>
      <c r="B319" s="9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x14ac:dyDescent="0.2">
      <c r="A320" s="9"/>
      <c r="B320" s="9"/>
      <c r="C320" s="145"/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9"/>
      <c r="R320" s="149"/>
      <c r="S320" s="149"/>
      <c r="T320" s="149"/>
      <c r="U320" s="149"/>
      <c r="V320" s="145"/>
      <c r="W320" s="20"/>
      <c r="X320" s="149"/>
    </row>
    <row r="321" spans="1:24" x14ac:dyDescent="0.2">
      <c r="A321" s="9"/>
      <c r="B321" s="149"/>
      <c r="C321" s="145"/>
      <c r="D321" s="145"/>
      <c r="E321" s="145"/>
      <c r="F321" s="14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3"/>
      <c r="X321" s="33"/>
    </row>
    <row r="322" spans="1:24" x14ac:dyDescent="0.2">
      <c r="A322" s="9"/>
      <c r="B322" s="149"/>
      <c r="C322" s="145"/>
      <c r="D322" s="145"/>
      <c r="E322" s="145"/>
      <c r="F322" s="145"/>
      <c r="G322" s="3"/>
      <c r="H322" s="34"/>
      <c r="I322" s="34"/>
      <c r="J322" s="34"/>
      <c r="K322" s="34"/>
      <c r="L322" s="3"/>
      <c r="M322" s="145"/>
      <c r="N322" s="145"/>
      <c r="O322" s="3"/>
      <c r="P322" s="3"/>
      <c r="Q322" s="34"/>
      <c r="R322" s="34"/>
      <c r="S322" s="34"/>
      <c r="T322" s="3"/>
      <c r="U322" s="3"/>
      <c r="V322" s="3"/>
      <c r="W322" s="149"/>
      <c r="X322" s="149"/>
    </row>
    <row r="323" spans="1:24" x14ac:dyDescent="0.2">
      <c r="A323" s="9"/>
      <c r="B323" s="254"/>
      <c r="C323" s="187"/>
      <c r="D323" s="187"/>
      <c r="E323" s="187"/>
      <c r="F323" s="187"/>
      <c r="G323" s="3"/>
      <c r="H323" s="187"/>
      <c r="I323" s="187"/>
      <c r="J323" s="187"/>
      <c r="K323" s="187"/>
      <c r="L323" s="187"/>
      <c r="M323" s="3"/>
      <c r="N323" s="3"/>
      <c r="O323" s="3"/>
      <c r="P323" s="3"/>
      <c r="Q323" s="187"/>
      <c r="R323" s="187"/>
      <c r="S323" s="187"/>
      <c r="T323" s="187"/>
      <c r="U323" s="187"/>
      <c r="V323" s="187"/>
      <c r="W323" s="149"/>
      <c r="X323" s="149"/>
    </row>
    <row r="324" spans="1:24" x14ac:dyDescent="0.2">
      <c r="A324" s="9"/>
      <c r="B324" s="255"/>
      <c r="C324" s="177"/>
      <c r="D324" s="201"/>
      <c r="E324" s="201"/>
      <c r="F324" s="201"/>
      <c r="G324" s="201"/>
      <c r="H324" s="201"/>
      <c r="I324" s="201"/>
      <c r="J324" s="201"/>
      <c r="K324" s="201"/>
      <c r="L324" s="201"/>
      <c r="M324" s="179"/>
      <c r="N324" s="179"/>
      <c r="O324" s="201"/>
      <c r="P324" s="201"/>
      <c r="Q324" s="201"/>
      <c r="R324" s="201"/>
      <c r="S324" s="201"/>
      <c r="T324" s="201"/>
      <c r="U324" s="179"/>
      <c r="V324" s="180"/>
      <c r="W324" s="193"/>
      <c r="X324" s="193"/>
    </row>
    <row r="325" spans="1:24" x14ac:dyDescent="0.2">
      <c r="A325" s="9"/>
      <c r="B325" s="255"/>
      <c r="C325" s="177"/>
      <c r="D325" s="201"/>
      <c r="E325" s="201"/>
      <c r="F325" s="201"/>
      <c r="G325" s="201"/>
      <c r="H325" s="201"/>
      <c r="I325" s="201"/>
      <c r="J325" s="201"/>
      <c r="K325" s="201"/>
      <c r="L325" s="201"/>
      <c r="M325" s="26"/>
      <c r="N325" s="179"/>
      <c r="O325" s="179"/>
      <c r="P325" s="179"/>
      <c r="Q325" s="179"/>
      <c r="R325" s="179"/>
      <c r="S325" s="179"/>
      <c r="T325" s="201"/>
      <c r="U325" s="201"/>
      <c r="V325" s="180"/>
      <c r="W325" s="202"/>
      <c r="X325" s="193"/>
    </row>
    <row r="326" spans="1:24" x14ac:dyDescent="0.2">
      <c r="A326" s="9"/>
      <c r="B326" s="255"/>
      <c r="C326" s="177"/>
      <c r="D326" s="201"/>
      <c r="E326" s="201"/>
      <c r="F326" s="201"/>
      <c r="G326" s="201"/>
      <c r="H326" s="201"/>
      <c r="I326" s="201"/>
      <c r="J326" s="201"/>
      <c r="K326" s="201"/>
      <c r="L326" s="201"/>
      <c r="M326" s="26"/>
      <c r="N326" s="179"/>
      <c r="O326" s="179"/>
      <c r="P326" s="179"/>
      <c r="Q326" s="179"/>
      <c r="R326" s="179"/>
      <c r="S326" s="179"/>
      <c r="T326" s="201"/>
      <c r="U326" s="201"/>
      <c r="V326" s="180"/>
      <c r="W326" s="202"/>
      <c r="X326" s="193"/>
    </row>
    <row r="327" spans="1:24" x14ac:dyDescent="0.2">
      <c r="A327" s="9"/>
      <c r="B327" s="255"/>
      <c r="C327" s="177"/>
      <c r="D327" s="201"/>
      <c r="E327" s="201"/>
      <c r="F327" s="201"/>
      <c r="G327" s="201"/>
      <c r="H327" s="201"/>
      <c r="I327" s="201"/>
      <c r="J327" s="201"/>
      <c r="K327" s="201"/>
      <c r="L327" s="201"/>
      <c r="M327" s="26"/>
      <c r="N327" s="179"/>
      <c r="O327" s="179"/>
      <c r="P327" s="179"/>
      <c r="Q327" s="179"/>
      <c r="R327" s="179"/>
      <c r="S327" s="179"/>
      <c r="T327" s="201"/>
      <c r="U327" s="201"/>
      <c r="V327" s="180"/>
      <c r="W327" s="202"/>
      <c r="X327" s="193"/>
    </row>
    <row r="328" spans="1:24" x14ac:dyDescent="0.2">
      <c r="A328" s="9"/>
      <c r="B328" s="251"/>
      <c r="C328" s="177"/>
      <c r="D328" s="26"/>
      <c r="E328" s="201"/>
      <c r="F328" s="201"/>
      <c r="G328" s="179"/>
      <c r="H328" s="179"/>
      <c r="I328" s="179"/>
      <c r="J328" s="179"/>
      <c r="K328" s="179"/>
      <c r="L328" s="201"/>
      <c r="M328" s="26"/>
      <c r="N328" s="179"/>
      <c r="O328" s="179"/>
      <c r="P328" s="179"/>
      <c r="Q328" s="179"/>
      <c r="R328" s="179"/>
      <c r="S328" s="179"/>
      <c r="T328" s="201"/>
      <c r="U328" s="201"/>
      <c r="V328" s="180"/>
      <c r="W328" s="202"/>
      <c r="X328" s="193"/>
    </row>
    <row r="329" spans="1:24" x14ac:dyDescent="0.2">
      <c r="A329" s="9"/>
      <c r="B329" s="257"/>
      <c r="C329" s="177"/>
      <c r="D329" s="201"/>
      <c r="E329" s="201"/>
      <c r="F329" s="201"/>
      <c r="G329" s="201"/>
      <c r="H329" s="201"/>
      <c r="I329" s="201"/>
      <c r="J329" s="201"/>
      <c r="K329" s="201"/>
      <c r="L329" s="201"/>
      <c r="M329" s="26"/>
      <c r="N329" s="179"/>
      <c r="O329" s="179"/>
      <c r="P329" s="179"/>
      <c r="Q329" s="179"/>
      <c r="R329" s="179"/>
      <c r="S329" s="179"/>
      <c r="T329" s="201"/>
      <c r="U329" s="201"/>
      <c r="V329" s="180"/>
      <c r="W329" s="202"/>
      <c r="X329" s="193"/>
    </row>
    <row r="330" spans="1:24" x14ac:dyDescent="0.2">
      <c r="A330" s="9"/>
      <c r="B330" s="257"/>
      <c r="C330" s="177"/>
      <c r="D330" s="201"/>
      <c r="E330" s="201"/>
      <c r="F330" s="201"/>
      <c r="G330" s="201"/>
      <c r="H330" s="201"/>
      <c r="I330" s="201"/>
      <c r="J330" s="201"/>
      <c r="K330" s="201"/>
      <c r="L330" s="201"/>
      <c r="M330" s="201"/>
      <c r="N330" s="179"/>
      <c r="O330" s="179"/>
      <c r="P330" s="179"/>
      <c r="Q330" s="179"/>
      <c r="R330" s="179"/>
      <c r="S330" s="179"/>
      <c r="T330" s="201"/>
      <c r="U330" s="201"/>
      <c r="V330" s="180"/>
      <c r="W330" s="202"/>
      <c r="X330" s="193"/>
    </row>
    <row r="331" spans="1:24" x14ac:dyDescent="0.2">
      <c r="A331" s="9"/>
      <c r="B331" s="257"/>
      <c r="C331" s="177"/>
      <c r="D331" s="201"/>
      <c r="E331" s="201"/>
      <c r="F331" s="201"/>
      <c r="G331" s="201"/>
      <c r="H331" s="201"/>
      <c r="I331" s="201"/>
      <c r="J331" s="201"/>
      <c r="K331" s="201"/>
      <c r="L331" s="201"/>
      <c r="M331" s="201"/>
      <c r="N331" s="179"/>
      <c r="O331" s="179"/>
      <c r="P331" s="179"/>
      <c r="Q331" s="179"/>
      <c r="R331" s="179"/>
      <c r="S331" s="179"/>
      <c r="T331" s="201"/>
      <c r="U331" s="201"/>
      <c r="V331" s="180"/>
      <c r="W331" s="202"/>
      <c r="X331" s="193"/>
    </row>
    <row r="332" spans="1:24" x14ac:dyDescent="0.2">
      <c r="A332" s="9"/>
      <c r="B332" s="257"/>
      <c r="C332" s="177"/>
      <c r="D332" s="201"/>
      <c r="E332" s="201"/>
      <c r="F332" s="201"/>
      <c r="G332" s="201"/>
      <c r="H332" s="201"/>
      <c r="I332" s="201"/>
      <c r="J332" s="201"/>
      <c r="K332" s="201"/>
      <c r="L332" s="201"/>
      <c r="M332" s="201"/>
      <c r="N332" s="179"/>
      <c r="O332" s="179"/>
      <c r="P332" s="179"/>
      <c r="Q332" s="179"/>
      <c r="R332" s="179"/>
      <c r="S332" s="179"/>
      <c r="T332" s="201"/>
      <c r="U332" s="201"/>
      <c r="V332" s="180"/>
      <c r="W332" s="202"/>
      <c r="X332" s="193"/>
    </row>
    <row r="333" spans="1:24" x14ac:dyDescent="0.2">
      <c r="A333" s="9"/>
      <c r="B333" s="251"/>
      <c r="C333" s="177"/>
      <c r="D333" s="26"/>
      <c r="E333" s="201"/>
      <c r="F333" s="201"/>
      <c r="G333" s="179"/>
      <c r="H333" s="179"/>
      <c r="I333" s="179"/>
      <c r="J333" s="179"/>
      <c r="K333" s="179"/>
      <c r="L333" s="201"/>
      <c r="M333" s="201"/>
      <c r="N333" s="179"/>
      <c r="O333" s="179"/>
      <c r="P333" s="179"/>
      <c r="Q333" s="179"/>
      <c r="R333" s="179"/>
      <c r="S333" s="179"/>
      <c r="T333" s="201"/>
      <c r="U333" s="201"/>
      <c r="V333" s="180"/>
      <c r="W333" s="202"/>
      <c r="X333" s="193"/>
    </row>
    <row r="334" spans="1:24" x14ac:dyDescent="0.2">
      <c r="A334" s="9"/>
      <c r="B334" s="258"/>
      <c r="C334" s="177"/>
      <c r="D334" s="201"/>
      <c r="E334" s="201"/>
      <c r="F334" s="201"/>
      <c r="G334" s="201"/>
      <c r="H334" s="201"/>
      <c r="I334" s="201"/>
      <c r="J334" s="201"/>
      <c r="K334" s="201"/>
      <c r="L334" s="201"/>
      <c r="M334" s="201"/>
      <c r="N334" s="179"/>
      <c r="O334" s="179"/>
      <c r="P334" s="179"/>
      <c r="Q334" s="179"/>
      <c r="R334" s="179"/>
      <c r="S334" s="179"/>
      <c r="T334" s="201"/>
      <c r="U334" s="201"/>
      <c r="V334" s="180"/>
      <c r="W334" s="202"/>
      <c r="X334" s="193"/>
    </row>
    <row r="335" spans="1:24" x14ac:dyDescent="0.2">
      <c r="A335" s="9"/>
      <c r="B335" s="258"/>
      <c r="C335" s="177"/>
      <c r="D335" s="201"/>
      <c r="E335" s="201"/>
      <c r="F335" s="201"/>
      <c r="G335" s="201"/>
      <c r="H335" s="201"/>
      <c r="I335" s="201"/>
      <c r="J335" s="201"/>
      <c r="K335" s="201"/>
      <c r="L335" s="201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</row>
    <row r="336" spans="1:24" x14ac:dyDescent="0.2">
      <c r="A336" s="9"/>
      <c r="B336" s="258"/>
      <c r="C336" s="177"/>
      <c r="D336" s="201"/>
      <c r="E336" s="201"/>
      <c r="F336" s="201"/>
      <c r="G336" s="201"/>
      <c r="H336" s="201"/>
      <c r="I336" s="201"/>
      <c r="J336" s="201"/>
      <c r="K336" s="201"/>
      <c r="L336" s="201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</row>
    <row r="337" spans="1:24" x14ac:dyDescent="0.2">
      <c r="A337" s="9"/>
      <c r="B337" s="258"/>
      <c r="C337" s="177"/>
      <c r="D337" s="201"/>
      <c r="E337" s="201"/>
      <c r="F337" s="201"/>
      <c r="G337" s="201"/>
      <c r="H337" s="201"/>
      <c r="I337" s="201"/>
      <c r="J337" s="201"/>
      <c r="K337" s="201"/>
      <c r="L337" s="201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</row>
    <row r="338" spans="1:24" x14ac:dyDescent="0.2">
      <c r="A338" s="9"/>
      <c r="B338" s="251"/>
      <c r="C338" s="177"/>
      <c r="D338" s="9"/>
      <c r="E338" s="9"/>
      <c r="F338" s="177"/>
      <c r="G338" s="177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</row>
    <row r="339" spans="1:24" x14ac:dyDescent="0.2">
      <c r="A339" s="9"/>
      <c r="B339" s="258"/>
      <c r="C339" s="177"/>
      <c r="D339" s="201"/>
      <c r="E339" s="201"/>
      <c r="F339" s="201"/>
      <c r="G339" s="201"/>
      <c r="H339" s="201"/>
      <c r="I339" s="201"/>
      <c r="J339" s="201"/>
      <c r="K339" s="201"/>
      <c r="L339" s="201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</row>
    <row r="340" spans="1:24" x14ac:dyDescent="0.2">
      <c r="A340" s="9"/>
      <c r="B340" s="258"/>
      <c r="C340" s="177"/>
      <c r="D340" s="201"/>
      <c r="E340" s="201"/>
      <c r="F340" s="201"/>
      <c r="G340" s="201"/>
      <c r="H340" s="201"/>
      <c r="I340" s="201"/>
      <c r="J340" s="201"/>
      <c r="K340" s="201"/>
      <c r="L340" s="201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</row>
    <row r="341" spans="1:24" x14ac:dyDescent="0.2">
      <c r="A341" s="9"/>
      <c r="B341" s="258"/>
      <c r="C341" s="177"/>
      <c r="D341" s="201"/>
      <c r="E341" s="201"/>
      <c r="F341" s="201"/>
      <c r="G341" s="201"/>
      <c r="H341" s="201"/>
      <c r="I341" s="201"/>
      <c r="J341" s="201"/>
      <c r="K341" s="201"/>
      <c r="L341" s="201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</row>
    <row r="342" spans="1:24" x14ac:dyDescent="0.2">
      <c r="A342" s="9"/>
      <c r="B342" s="258"/>
      <c r="C342" s="177"/>
      <c r="D342" s="201"/>
      <c r="E342" s="201"/>
      <c r="F342" s="201"/>
      <c r="G342" s="201"/>
      <c r="H342" s="201"/>
      <c r="I342" s="201"/>
      <c r="J342" s="201"/>
      <c r="K342" s="201"/>
      <c r="L342" s="201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</row>
    <row r="343" spans="1:24" x14ac:dyDescent="0.2">
      <c r="A343" s="9"/>
      <c r="B343" s="251"/>
      <c r="C343" s="177"/>
      <c r="D343" s="9"/>
      <c r="E343" s="9"/>
      <c r="F343" s="177"/>
      <c r="G343" s="177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</row>
    <row r="344" spans="1:24" x14ac:dyDescent="0.2">
      <c r="A344" s="9"/>
      <c r="B344" s="258"/>
      <c r="C344" s="177"/>
      <c r="D344" s="201"/>
      <c r="E344" s="201"/>
      <c r="F344" s="201"/>
      <c r="G344" s="201"/>
      <c r="H344" s="201"/>
      <c r="I344" s="201"/>
      <c r="J344" s="201"/>
      <c r="K344" s="201"/>
      <c r="L344" s="201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</row>
    <row r="345" spans="1:24" x14ac:dyDescent="0.2">
      <c r="A345" s="9"/>
      <c r="B345" s="258"/>
      <c r="C345" s="177"/>
      <c r="D345" s="201"/>
      <c r="E345" s="201"/>
      <c r="F345" s="201"/>
      <c r="G345" s="201"/>
      <c r="H345" s="201"/>
      <c r="I345" s="201"/>
      <c r="J345" s="201"/>
      <c r="K345" s="201"/>
      <c r="L345" s="201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</row>
    <row r="346" spans="1:24" x14ac:dyDescent="0.2">
      <c r="A346" s="9"/>
      <c r="B346" s="258"/>
      <c r="C346" s="177"/>
      <c r="D346" s="201"/>
      <c r="E346" s="201"/>
      <c r="F346" s="201"/>
      <c r="G346" s="201"/>
      <c r="H346" s="201"/>
      <c r="I346" s="201"/>
      <c r="J346" s="201"/>
      <c r="K346" s="201"/>
      <c r="L346" s="201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</row>
    <row r="347" spans="1:24" x14ac:dyDescent="0.2">
      <c r="A347" s="9"/>
      <c r="B347" s="258"/>
      <c r="C347" s="177"/>
      <c r="D347" s="201"/>
      <c r="E347" s="201"/>
      <c r="F347" s="201"/>
      <c r="G347" s="201"/>
      <c r="H347" s="201"/>
      <c r="I347" s="201"/>
      <c r="J347" s="201"/>
      <c r="K347" s="201"/>
      <c r="L347" s="201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</row>
    <row r="348" spans="1:24" x14ac:dyDescent="0.2">
      <c r="A348" s="9"/>
      <c r="B348" s="251"/>
      <c r="C348" s="177"/>
      <c r="D348" s="9"/>
      <c r="E348" s="9"/>
      <c r="F348" s="177"/>
      <c r="G348" s="177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</row>
    <row r="349" spans="1:24" x14ac:dyDescent="0.2">
      <c r="A349" s="9"/>
      <c r="B349" s="258"/>
      <c r="C349" s="177"/>
      <c r="D349" s="201"/>
      <c r="E349" s="201"/>
      <c r="F349" s="201"/>
      <c r="G349" s="201"/>
      <c r="H349" s="201"/>
      <c r="I349" s="201"/>
      <c r="J349" s="201"/>
      <c r="K349" s="201"/>
      <c r="L349" s="201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</row>
    <row r="350" spans="1:24" x14ac:dyDescent="0.2">
      <c r="A350" s="9"/>
      <c r="B350" s="258"/>
      <c r="C350" s="177"/>
      <c r="D350" s="201"/>
      <c r="E350" s="201"/>
      <c r="F350" s="201"/>
      <c r="G350" s="201"/>
      <c r="H350" s="201"/>
      <c r="I350" s="201"/>
      <c r="J350" s="201"/>
      <c r="K350" s="201"/>
      <c r="L350" s="201"/>
      <c r="M350" s="37"/>
      <c r="N350" s="3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</row>
    <row r="351" spans="1:24" x14ac:dyDescent="0.2">
      <c r="A351" s="9"/>
      <c r="B351" s="258"/>
      <c r="C351" s="177"/>
      <c r="D351" s="201"/>
      <c r="E351" s="201"/>
      <c r="F351" s="201"/>
      <c r="G351" s="201"/>
      <c r="H351" s="201"/>
      <c r="I351" s="201"/>
      <c r="J351" s="201"/>
      <c r="K351" s="201"/>
      <c r="L351" s="201"/>
      <c r="M351" s="37"/>
      <c r="N351" s="3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</row>
    <row r="352" spans="1:24" x14ac:dyDescent="0.2">
      <c r="A352" s="9"/>
      <c r="B352" s="258"/>
      <c r="C352" s="177"/>
      <c r="D352" s="201"/>
      <c r="E352" s="201"/>
      <c r="F352" s="201"/>
      <c r="G352" s="201"/>
      <c r="H352" s="201"/>
      <c r="I352" s="201"/>
      <c r="J352" s="201"/>
      <c r="K352" s="201"/>
      <c r="L352" s="201"/>
      <c r="M352" s="37"/>
      <c r="N352" s="3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</row>
    <row r="353" spans="1:24" x14ac:dyDescent="0.2">
      <c r="A353" s="9"/>
      <c r="B353" s="251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</row>
    <row r="354" spans="1:24" x14ac:dyDescent="0.2">
      <c r="A354" s="9"/>
      <c r="B354" s="251"/>
      <c r="C354" s="177"/>
      <c r="D354" s="37"/>
      <c r="E354" s="37"/>
      <c r="F354" s="37"/>
      <c r="G354" s="37"/>
      <c r="H354" s="37"/>
      <c r="I354" s="37"/>
      <c r="J354" s="37"/>
      <c r="K354" s="37"/>
      <c r="L354" s="37"/>
      <c r="M354" s="177"/>
      <c r="N354" s="177"/>
      <c r="O354" s="37"/>
      <c r="P354" s="177"/>
      <c r="Q354" s="177"/>
      <c r="R354" s="177"/>
      <c r="S354" s="177"/>
      <c r="T354" s="177"/>
      <c r="U354" s="177"/>
      <c r="V354" s="177"/>
      <c r="W354" s="177"/>
      <c r="X354" s="177"/>
    </row>
    <row r="355" spans="1:24" x14ac:dyDescent="0.2">
      <c r="A355" s="9"/>
      <c r="B355" s="251"/>
      <c r="C355" s="177"/>
      <c r="D355" s="37"/>
      <c r="E355" s="37"/>
      <c r="F355" s="37"/>
      <c r="G355" s="37"/>
      <c r="H355" s="37"/>
      <c r="I355" s="37"/>
      <c r="J355" s="37"/>
      <c r="K355" s="37"/>
      <c r="L355" s="37"/>
      <c r="M355" s="177"/>
      <c r="N355" s="177"/>
      <c r="O355" s="37"/>
      <c r="P355" s="177"/>
      <c r="Q355" s="177"/>
      <c r="R355" s="177"/>
      <c r="S355" s="177"/>
      <c r="T355" s="177"/>
      <c r="U355" s="177"/>
      <c r="V355" s="177"/>
      <c r="W355" s="177"/>
      <c r="X355" s="177"/>
    </row>
    <row r="356" spans="1:24" x14ac:dyDescent="0.2">
      <c r="A356" s="9"/>
      <c r="B356" s="251"/>
      <c r="C356" s="177"/>
      <c r="D356" s="37"/>
      <c r="E356" s="37"/>
      <c r="F356" s="37"/>
      <c r="G356" s="37"/>
      <c r="H356" s="37"/>
      <c r="I356" s="37"/>
      <c r="J356" s="37"/>
      <c r="K356" s="37"/>
      <c r="L356" s="37"/>
      <c r="M356" s="177"/>
      <c r="N356" s="177"/>
      <c r="O356" s="37"/>
      <c r="P356" s="177"/>
      <c r="Q356" s="177"/>
      <c r="R356" s="177"/>
      <c r="S356" s="177"/>
      <c r="T356" s="177"/>
      <c r="U356" s="177"/>
      <c r="V356" s="177"/>
      <c r="W356" s="177"/>
      <c r="X356" s="177"/>
    </row>
    <row r="357" spans="1:24" x14ac:dyDescent="0.2">
      <c r="A357" s="9"/>
      <c r="B357" s="251"/>
      <c r="C357" s="177"/>
      <c r="D357" s="37"/>
      <c r="E357" s="37"/>
      <c r="F357" s="37"/>
      <c r="G357" s="37"/>
      <c r="H357" s="37"/>
      <c r="I357" s="37"/>
      <c r="J357" s="37"/>
      <c r="K357" s="37"/>
      <c r="L357" s="37"/>
      <c r="M357" s="177"/>
      <c r="N357" s="177"/>
      <c r="O357" s="37"/>
      <c r="P357" s="177"/>
      <c r="Q357" s="177"/>
      <c r="R357" s="177"/>
      <c r="S357" s="177"/>
      <c r="T357" s="177"/>
      <c r="U357" s="177"/>
      <c r="V357" s="177"/>
      <c r="W357" s="177"/>
      <c r="X357" s="177"/>
    </row>
    <row r="358" spans="1:24" x14ac:dyDescent="0.2">
      <c r="A358" s="9"/>
      <c r="B358" s="9"/>
      <c r="C358" s="177"/>
      <c r="D358" s="37"/>
      <c r="E358" s="37"/>
      <c r="F358" s="37"/>
      <c r="G358" s="37"/>
      <c r="H358" s="37"/>
      <c r="I358" s="37"/>
      <c r="J358" s="37"/>
      <c r="K358" s="37"/>
      <c r="L358" s="37"/>
      <c r="M358" s="6"/>
      <c r="N358" s="177"/>
      <c r="O358" s="37"/>
      <c r="P358" s="6"/>
      <c r="Q358" s="6"/>
      <c r="R358" s="6"/>
      <c r="S358" s="6"/>
      <c r="T358" s="6"/>
      <c r="U358" s="6"/>
      <c r="V358" s="6"/>
      <c r="W358" s="6"/>
      <c r="X358" s="6"/>
    </row>
    <row r="359" spans="1:24" x14ac:dyDescent="0.2">
      <c r="A359" s="9"/>
      <c r="B359" s="9"/>
      <c r="C359" s="177"/>
      <c r="D359" s="37"/>
      <c r="E359" s="37"/>
      <c r="F359" s="37"/>
      <c r="G359" s="37"/>
      <c r="H359" s="37"/>
      <c r="I359" s="37"/>
      <c r="J359" s="37"/>
      <c r="K359" s="37"/>
      <c r="L359" s="37"/>
      <c r="M359" s="6"/>
      <c r="N359" s="177"/>
      <c r="O359" s="37"/>
      <c r="P359" s="6"/>
      <c r="Q359" s="6"/>
      <c r="R359" s="6"/>
      <c r="S359" s="6"/>
      <c r="T359" s="6"/>
      <c r="U359" s="6"/>
      <c r="V359" s="6"/>
      <c r="W359" s="6"/>
      <c r="X359" s="6"/>
    </row>
    <row r="360" spans="1:24" x14ac:dyDescent="0.2">
      <c r="A360" s="9"/>
      <c r="B360" s="9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6"/>
      <c r="N360" s="177"/>
      <c r="O360" s="37"/>
      <c r="P360" s="6"/>
      <c r="Q360" s="6"/>
      <c r="R360" s="6"/>
      <c r="S360" s="6"/>
      <c r="T360" s="6"/>
      <c r="U360" s="6"/>
      <c r="V360" s="6"/>
      <c r="W360" s="6"/>
      <c r="X360" s="6"/>
    </row>
    <row r="361" spans="1:24" x14ac:dyDescent="0.2">
      <c r="A361" s="9"/>
      <c r="B361" s="9"/>
      <c r="C361" s="177"/>
      <c r="D361" s="37"/>
      <c r="E361" s="37"/>
      <c r="F361" s="37"/>
      <c r="G361" s="37"/>
      <c r="H361" s="37"/>
      <c r="I361" s="37"/>
      <c r="J361" s="37"/>
      <c r="K361" s="37"/>
      <c r="L361" s="37"/>
      <c r="M361" s="6"/>
      <c r="N361" s="37"/>
      <c r="O361" s="37"/>
      <c r="P361" s="6"/>
      <c r="Q361" s="6"/>
      <c r="R361" s="6"/>
      <c r="S361" s="6"/>
      <c r="T361" s="6"/>
      <c r="U361" s="6"/>
      <c r="V361" s="6"/>
      <c r="W361" s="6"/>
      <c r="X361" s="6"/>
    </row>
    <row r="362" spans="1:24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1:24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1:24" x14ac:dyDescent="0.2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</row>
    <row r="365" spans="1:24" x14ac:dyDescent="0.2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</row>
    <row r="366" spans="1:24" x14ac:dyDescent="0.2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</row>
    <row r="367" spans="1:24" x14ac:dyDescent="0.2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</row>
    <row r="368" spans="1:24" x14ac:dyDescent="0.2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</row>
    <row r="369" spans="1:24" x14ac:dyDescent="0.2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</row>
    <row r="370" spans="1:24" x14ac:dyDescent="0.2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</row>
    <row r="371" spans="1:24" x14ac:dyDescent="0.2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</row>
    <row r="372" spans="1:24" x14ac:dyDescent="0.2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</row>
    <row r="373" spans="1:24" x14ac:dyDescent="0.2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</row>
    <row r="374" spans="1:24" x14ac:dyDescent="0.2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</row>
    <row r="375" spans="1:24" x14ac:dyDescent="0.2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</row>
    <row r="376" spans="1:24" x14ac:dyDescent="0.2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</row>
    <row r="377" spans="1:24" x14ac:dyDescent="0.2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</row>
    <row r="378" spans="1:24" x14ac:dyDescent="0.2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</row>
    <row r="379" spans="1:24" x14ac:dyDescent="0.2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</row>
    <row r="380" spans="1:24" x14ac:dyDescent="0.2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</row>
    <row r="381" spans="1:24" x14ac:dyDescent="0.2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</row>
    <row r="382" spans="1:24" x14ac:dyDescent="0.2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</row>
    <row r="383" spans="1:24" x14ac:dyDescent="0.2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</row>
    <row r="384" spans="1:24" x14ac:dyDescent="0.2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</row>
    <row r="385" spans="1:24" x14ac:dyDescent="0.2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</row>
    <row r="386" spans="1:24" x14ac:dyDescent="0.2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</row>
    <row r="387" spans="1:24" x14ac:dyDescent="0.2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</row>
    <row r="388" spans="1:24" x14ac:dyDescent="0.2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</row>
    <row r="389" spans="1:24" x14ac:dyDescent="0.2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</row>
    <row r="390" spans="1:24" x14ac:dyDescent="0.2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</row>
    <row r="391" spans="1:24" x14ac:dyDescent="0.2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</row>
    <row r="392" spans="1:24" x14ac:dyDescent="0.2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</row>
    <row r="393" spans="1:24" x14ac:dyDescent="0.2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</row>
    <row r="394" spans="1:24" x14ac:dyDescent="0.2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</row>
    <row r="395" spans="1:24" x14ac:dyDescent="0.2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</row>
    <row r="396" spans="1:24" x14ac:dyDescent="0.2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</row>
    <row r="397" spans="1:24" x14ac:dyDescent="0.2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</row>
    <row r="398" spans="1:24" x14ac:dyDescent="0.2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</row>
    <row r="399" spans="1:24" x14ac:dyDescent="0.2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</row>
    <row r="400" spans="1:24" x14ac:dyDescent="0.2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</row>
    <row r="401" spans="1:24" x14ac:dyDescent="0.2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</row>
    <row r="402" spans="1:24" x14ac:dyDescent="0.2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</row>
    <row r="403" spans="1:24" x14ac:dyDescent="0.2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</row>
    <row r="404" spans="1:24" x14ac:dyDescent="0.2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</row>
    <row r="405" spans="1:24" x14ac:dyDescent="0.2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</row>
    <row r="406" spans="1:24" x14ac:dyDescent="0.2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</row>
    <row r="407" spans="1:24" x14ac:dyDescent="0.2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</row>
    <row r="408" spans="1:24" x14ac:dyDescent="0.2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</row>
    <row r="409" spans="1:24" x14ac:dyDescent="0.2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</row>
    <row r="410" spans="1:24" x14ac:dyDescent="0.2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</row>
    <row r="411" spans="1:24" x14ac:dyDescent="0.2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</row>
    <row r="412" spans="1:24" x14ac:dyDescent="0.2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</row>
    <row r="413" spans="1:24" x14ac:dyDescent="0.2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</row>
    <row r="414" spans="1:24" x14ac:dyDescent="0.2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</row>
    <row r="415" spans="1:24" x14ac:dyDescent="0.2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</row>
    <row r="416" spans="1:24" x14ac:dyDescent="0.2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</row>
    <row r="417" spans="1:24" x14ac:dyDescent="0.2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</row>
    <row r="418" spans="1:24" x14ac:dyDescent="0.2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</row>
    <row r="419" spans="1:24" x14ac:dyDescent="0.2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</row>
    <row r="420" spans="1:24" x14ac:dyDescent="0.2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</row>
    <row r="421" spans="1:24" x14ac:dyDescent="0.2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</row>
    <row r="422" spans="1:24" x14ac:dyDescent="0.2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</row>
    <row r="423" spans="1:24" x14ac:dyDescent="0.2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</row>
    <row r="424" spans="1:24" x14ac:dyDescent="0.2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</row>
    <row r="425" spans="1:24" x14ac:dyDescent="0.2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</row>
    <row r="426" spans="1:24" x14ac:dyDescent="0.2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</row>
    <row r="427" spans="1:24" x14ac:dyDescent="0.2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</row>
    <row r="428" spans="1:24" x14ac:dyDescent="0.2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</row>
  </sheetData>
  <mergeCells count="48">
    <mergeCell ref="L235:O235"/>
    <mergeCell ref="F235:G235"/>
    <mergeCell ref="G215:P215"/>
    <mergeCell ref="U218:V218"/>
    <mergeCell ref="W218:X218"/>
    <mergeCell ref="B218:C218"/>
    <mergeCell ref="D218:L218"/>
    <mergeCell ref="M218:T218"/>
    <mergeCell ref="U167:V167"/>
    <mergeCell ref="L183:O183"/>
    <mergeCell ref="F183:G183"/>
    <mergeCell ref="B167:C167"/>
    <mergeCell ref="D167:L167"/>
    <mergeCell ref="M167:T167"/>
    <mergeCell ref="X9:Y9"/>
    <mergeCell ref="V9:W9"/>
    <mergeCell ref="V61:W61"/>
    <mergeCell ref="X61:Y61"/>
    <mergeCell ref="B217:C217"/>
    <mergeCell ref="B166:C166"/>
    <mergeCell ref="W167:X167"/>
    <mergeCell ref="B113:C113"/>
    <mergeCell ref="F90:G90"/>
    <mergeCell ref="B112:C112"/>
    <mergeCell ref="V113:W113"/>
    <mergeCell ref="X113:Y113"/>
    <mergeCell ref="G164:P164"/>
    <mergeCell ref="F133:J133"/>
    <mergeCell ref="B61:C61"/>
    <mergeCell ref="D61:L61"/>
    <mergeCell ref="B60:C60"/>
    <mergeCell ref="F36:G36"/>
    <mergeCell ref="B8:C8"/>
    <mergeCell ref="I36:J36"/>
    <mergeCell ref="D9:L9"/>
    <mergeCell ref="B9:C9"/>
    <mergeCell ref="J1:O1"/>
    <mergeCell ref="J53:O53"/>
    <mergeCell ref="J105:O105"/>
    <mergeCell ref="L133:P133"/>
    <mergeCell ref="D113:L113"/>
    <mergeCell ref="M113:U113"/>
    <mergeCell ref="J6:O6"/>
    <mergeCell ref="J58:O58"/>
    <mergeCell ref="J110:O110"/>
    <mergeCell ref="I90:J90"/>
    <mergeCell ref="M9:U9"/>
    <mergeCell ref="M61:U61"/>
  </mergeCells>
  <phoneticPr fontId="4" type="noConversion"/>
  <printOptions horizontalCentered="1" verticalCentered="1"/>
  <pageMargins left="0.5" right="0.5" top="1.25" bottom="0.35" header="0.5" footer="0.5"/>
  <pageSetup scale="55" fitToHeight="0" orientation="landscape" r:id="rId1"/>
  <headerFooter alignWithMargins="0"/>
  <rowBreaks count="2" manualBreakCount="2">
    <brk id="52" max="25" man="1"/>
    <brk id="104" max="25" man="1"/>
  </rowBreaks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33CCCC"/>
    <pageSetUpPr fitToPage="1"/>
  </sheetPr>
  <dimension ref="A1:AN110"/>
  <sheetViews>
    <sheetView zoomScale="180" zoomScaleNormal="180" workbookViewId="0"/>
  </sheetViews>
  <sheetFormatPr defaultColWidth="9.140625" defaultRowHeight="12.75" x14ac:dyDescent="0.2"/>
  <cols>
    <col min="1" max="1" width="3.5703125" style="54" customWidth="1"/>
    <col min="2" max="2" width="5" style="54" customWidth="1"/>
    <col min="3" max="3" width="8.5703125" style="54" customWidth="1"/>
    <col min="4" max="4" width="10.28515625" style="54" customWidth="1"/>
    <col min="5" max="6" width="10.7109375" style="54" bestFit="1" customWidth="1"/>
    <col min="7" max="7" width="9.140625" style="54" customWidth="1"/>
    <col min="8" max="8" width="7.85546875" style="54" customWidth="1"/>
    <col min="9" max="9" width="10.140625" style="54" customWidth="1"/>
    <col min="10" max="10" width="9.85546875" style="54" customWidth="1"/>
    <col min="11" max="11" width="9.42578125" style="54" customWidth="1"/>
    <col min="12" max="12" width="9.85546875" style="54" customWidth="1"/>
    <col min="13" max="13" width="11.42578125" style="54" customWidth="1"/>
    <col min="14" max="14" width="9.85546875" style="54" bestFit="1" customWidth="1"/>
    <col min="15" max="15" width="8.7109375" style="54" customWidth="1"/>
    <col min="16" max="16" width="10.42578125" style="54" customWidth="1"/>
    <col min="17" max="17" width="9.85546875" style="54" bestFit="1" customWidth="1"/>
    <col min="18" max="18" width="8" style="54" customWidth="1"/>
    <col min="19" max="19" width="9.85546875" style="54" bestFit="1" customWidth="1"/>
    <col min="20" max="21" width="9.42578125" style="54" customWidth="1"/>
    <col min="22" max="22" width="9.85546875" style="54" customWidth="1"/>
    <col min="23" max="23" width="12.7109375" style="54" customWidth="1"/>
    <col min="24" max="24" width="9.5703125" style="54" customWidth="1"/>
    <col min="25" max="25" width="8.28515625" style="54" bestFit="1" customWidth="1"/>
    <col min="26" max="27" width="9.42578125" style="54" bestFit="1" customWidth="1"/>
    <col min="28" max="32" width="9.140625" style="54"/>
    <col min="33" max="34" width="9.28515625" style="54" bestFit="1" customWidth="1"/>
    <col min="35" max="35" width="9.140625" style="54"/>
    <col min="36" max="39" width="9.28515625" style="54" bestFit="1" customWidth="1"/>
    <col min="40" max="16384" width="9.140625" style="54"/>
  </cols>
  <sheetData>
    <row r="1" spans="1:39" x14ac:dyDescent="0.2">
      <c r="K1" s="292" t="s">
        <v>768</v>
      </c>
      <c r="L1" s="292"/>
      <c r="M1" s="292"/>
      <c r="N1" s="292"/>
      <c r="O1" s="292"/>
      <c r="P1" s="292"/>
    </row>
    <row r="2" spans="1:39" ht="13.5" thickBot="1" x14ac:dyDescent="0.25">
      <c r="A2" s="16" t="s">
        <v>143</v>
      </c>
      <c r="B2" s="16"/>
      <c r="C2" s="16"/>
      <c r="D2" s="16"/>
      <c r="E2" s="16"/>
      <c r="F2" s="16"/>
      <c r="G2" s="16"/>
      <c r="H2" s="16"/>
      <c r="I2" s="16"/>
      <c r="J2" s="16"/>
      <c r="K2" s="16" t="s">
        <v>144</v>
      </c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300" t="s">
        <v>600</v>
      </c>
      <c r="Z2" s="300"/>
      <c r="AA2" s="81"/>
    </row>
    <row r="3" spans="1:39" x14ac:dyDescent="0.2">
      <c r="A3" s="9" t="s">
        <v>21</v>
      </c>
      <c r="B3" s="9"/>
      <c r="C3" s="9"/>
      <c r="D3" s="9"/>
      <c r="E3" s="9"/>
      <c r="F3" s="9"/>
      <c r="G3" s="9"/>
      <c r="H3" s="9"/>
      <c r="I3" s="9" t="s">
        <v>758</v>
      </c>
      <c r="J3" s="9"/>
      <c r="K3" s="9"/>
      <c r="L3" s="9" t="s">
        <v>145</v>
      </c>
      <c r="M3" s="20"/>
      <c r="N3" s="20"/>
      <c r="O3" s="20"/>
      <c r="P3" s="9"/>
      <c r="Q3" s="20"/>
      <c r="R3" s="20"/>
      <c r="S3" s="20"/>
      <c r="T3" s="20"/>
      <c r="U3" s="20"/>
      <c r="V3" s="20"/>
      <c r="W3" s="20" t="s">
        <v>30</v>
      </c>
      <c r="X3" s="9"/>
      <c r="Y3" s="9"/>
      <c r="Z3" s="20"/>
    </row>
    <row r="4" spans="1:39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1"/>
      <c r="N4" s="22"/>
      <c r="O4" s="22"/>
      <c r="P4" s="4"/>
      <c r="Q4" s="4"/>
      <c r="R4" s="4"/>
      <c r="S4" s="4"/>
      <c r="T4" s="4"/>
      <c r="U4" s="4"/>
      <c r="V4" s="21"/>
      <c r="W4" s="21"/>
      <c r="X4" s="22" t="s">
        <v>754</v>
      </c>
      <c r="Y4" s="4"/>
      <c r="Z4" s="70"/>
    </row>
    <row r="5" spans="1:39" x14ac:dyDescent="0.2">
      <c r="A5" s="4" t="s">
        <v>29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21"/>
      <c r="N5" s="22"/>
      <c r="O5" s="22"/>
      <c r="P5" s="21"/>
      <c r="Q5" s="4"/>
      <c r="R5" s="4"/>
      <c r="S5" s="4"/>
      <c r="T5" s="4"/>
      <c r="U5" s="4"/>
      <c r="V5" s="4"/>
      <c r="W5" s="22"/>
      <c r="X5" s="22" t="s">
        <v>755</v>
      </c>
      <c r="Y5" s="4"/>
      <c r="Z5" s="70"/>
    </row>
    <row r="6" spans="1:39" x14ac:dyDescent="0.2">
      <c r="A6" s="4"/>
      <c r="B6" s="4"/>
      <c r="C6" s="4"/>
      <c r="D6" s="4"/>
      <c r="E6" s="4"/>
      <c r="F6" s="4"/>
      <c r="G6" s="4"/>
      <c r="H6" s="296" t="s">
        <v>528</v>
      </c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4"/>
      <c r="T6" s="4"/>
      <c r="U6" s="4"/>
      <c r="V6" s="4"/>
      <c r="W6" s="21"/>
      <c r="X6" s="22"/>
      <c r="Y6" s="4"/>
      <c r="Z6" s="70"/>
    </row>
    <row r="7" spans="1:39" ht="13.5" thickBo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51"/>
      <c r="N7" s="16"/>
      <c r="O7" s="16"/>
      <c r="P7" s="16"/>
      <c r="Q7" s="16"/>
      <c r="R7" s="16"/>
      <c r="S7" s="16"/>
      <c r="T7" s="16"/>
      <c r="U7" s="16"/>
      <c r="V7" s="16"/>
      <c r="W7" s="16"/>
      <c r="X7" s="16" t="s">
        <v>738</v>
      </c>
      <c r="Y7" s="16"/>
      <c r="Z7" s="16"/>
      <c r="AA7" s="16"/>
    </row>
    <row r="8" spans="1:39" x14ac:dyDescent="0.2">
      <c r="A8" s="4"/>
      <c r="B8" s="297" t="s">
        <v>235</v>
      </c>
      <c r="C8" s="297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39" x14ac:dyDescent="0.2">
      <c r="A9" s="4"/>
      <c r="B9" s="298" t="s">
        <v>571</v>
      </c>
      <c r="C9" s="298"/>
      <c r="D9" s="294" t="s">
        <v>263</v>
      </c>
      <c r="E9" s="294"/>
      <c r="F9" s="294"/>
      <c r="G9" s="294"/>
      <c r="H9" s="294"/>
      <c r="I9" s="294"/>
      <c r="J9" s="294"/>
      <c r="K9" s="294"/>
      <c r="L9" s="294"/>
      <c r="M9" s="294"/>
      <c r="N9" s="294" t="s">
        <v>368</v>
      </c>
      <c r="O9" s="294"/>
      <c r="P9" s="294"/>
      <c r="Q9" s="294"/>
      <c r="R9" s="294"/>
      <c r="S9" s="294"/>
      <c r="T9" s="294"/>
      <c r="U9" s="294"/>
      <c r="V9" s="294"/>
      <c r="X9" s="299" t="s">
        <v>234</v>
      </c>
      <c r="Y9" s="299"/>
      <c r="Z9" s="299" t="s">
        <v>146</v>
      </c>
      <c r="AA9" s="299"/>
    </row>
    <row r="10" spans="1:39" x14ac:dyDescent="0.2">
      <c r="A10" s="4"/>
      <c r="B10" s="148" t="s">
        <v>22</v>
      </c>
      <c r="C10" s="13" t="s">
        <v>23</v>
      </c>
      <c r="D10" s="23" t="s">
        <v>24</v>
      </c>
      <c r="E10" s="14" t="s">
        <v>25</v>
      </c>
      <c r="F10" s="14" t="s">
        <v>18</v>
      </c>
      <c r="G10" s="14" t="s">
        <v>19</v>
      </c>
      <c r="H10" s="14" t="s">
        <v>147</v>
      </c>
      <c r="I10" s="36" t="s">
        <v>148</v>
      </c>
      <c r="J10" s="14" t="s">
        <v>149</v>
      </c>
      <c r="K10" s="14" t="s">
        <v>150</v>
      </c>
      <c r="L10" s="36" t="s">
        <v>151</v>
      </c>
      <c r="M10" s="2" t="s">
        <v>152</v>
      </c>
      <c r="N10" s="14" t="s">
        <v>153</v>
      </c>
      <c r="O10" s="14" t="s">
        <v>154</v>
      </c>
      <c r="P10" s="14" t="s">
        <v>155</v>
      </c>
      <c r="Q10" s="14" t="s">
        <v>156</v>
      </c>
      <c r="R10" s="14" t="s">
        <v>157</v>
      </c>
      <c r="S10" s="36" t="s">
        <v>158</v>
      </c>
      <c r="T10" s="36" t="s">
        <v>180</v>
      </c>
      <c r="U10" s="36" t="s">
        <v>74</v>
      </c>
      <c r="V10" s="36" t="s">
        <v>248</v>
      </c>
      <c r="W10" s="2" t="s">
        <v>264</v>
      </c>
      <c r="X10" s="36" t="s">
        <v>531</v>
      </c>
      <c r="Y10" s="52" t="s">
        <v>614</v>
      </c>
      <c r="Z10" s="10" t="s">
        <v>670</v>
      </c>
      <c r="AA10" s="57" t="s">
        <v>744</v>
      </c>
    </row>
    <row r="11" spans="1:39" x14ac:dyDescent="0.2">
      <c r="A11" s="4" t="s">
        <v>26</v>
      </c>
      <c r="B11" s="149" t="s">
        <v>159</v>
      </c>
      <c r="C11" s="145"/>
      <c r="D11" s="24" t="s">
        <v>160</v>
      </c>
      <c r="E11" s="13" t="s">
        <v>249</v>
      </c>
      <c r="F11" s="13" t="s">
        <v>161</v>
      </c>
      <c r="G11" s="145" t="s">
        <v>162</v>
      </c>
      <c r="H11" s="3" t="s">
        <v>163</v>
      </c>
      <c r="I11" s="3" t="s">
        <v>668</v>
      </c>
      <c r="J11" s="3" t="s">
        <v>526</v>
      </c>
      <c r="K11" s="3" t="s">
        <v>175</v>
      </c>
      <c r="L11" s="3" t="s">
        <v>179</v>
      </c>
      <c r="M11" s="25" t="s">
        <v>35</v>
      </c>
      <c r="N11" s="13" t="s">
        <v>160</v>
      </c>
      <c r="O11" s="13" t="s">
        <v>249</v>
      </c>
      <c r="P11" s="13" t="s">
        <v>161</v>
      </c>
      <c r="Q11" s="3" t="s">
        <v>162</v>
      </c>
      <c r="R11" s="3" t="s">
        <v>163</v>
      </c>
      <c r="S11" s="3" t="s">
        <v>175</v>
      </c>
      <c r="T11" s="3" t="s">
        <v>668</v>
      </c>
      <c r="U11" s="3" t="s">
        <v>526</v>
      </c>
      <c r="V11" s="13" t="s">
        <v>179</v>
      </c>
      <c r="W11" s="25" t="s">
        <v>35</v>
      </c>
      <c r="X11" s="3" t="s">
        <v>164</v>
      </c>
      <c r="Y11" s="25" t="s">
        <v>165</v>
      </c>
      <c r="Z11" s="148" t="s">
        <v>166</v>
      </c>
      <c r="AA11" s="58" t="s">
        <v>250</v>
      </c>
    </row>
    <row r="12" spans="1:39" ht="13.5" thickBot="1" x14ac:dyDescent="0.25">
      <c r="A12" s="16" t="s">
        <v>28</v>
      </c>
      <c r="B12" s="250" t="s">
        <v>167</v>
      </c>
      <c r="C12" s="194" t="s">
        <v>168</v>
      </c>
      <c r="D12" s="195" t="s">
        <v>137</v>
      </c>
      <c r="E12" s="15" t="s">
        <v>251</v>
      </c>
      <c r="F12" s="17" t="s">
        <v>169</v>
      </c>
      <c r="G12" s="194" t="s">
        <v>169</v>
      </c>
      <c r="H12" s="17" t="s">
        <v>169</v>
      </c>
      <c r="I12" s="17" t="s">
        <v>669</v>
      </c>
      <c r="J12" s="17" t="s">
        <v>169</v>
      </c>
      <c r="K12" s="194" t="s">
        <v>169</v>
      </c>
      <c r="L12" s="194" t="s">
        <v>169</v>
      </c>
      <c r="M12" s="196"/>
      <c r="N12" s="17" t="s">
        <v>137</v>
      </c>
      <c r="O12" s="15" t="s">
        <v>251</v>
      </c>
      <c r="P12" s="17" t="s">
        <v>169</v>
      </c>
      <c r="Q12" s="17" t="s">
        <v>169</v>
      </c>
      <c r="R12" s="17" t="s">
        <v>169</v>
      </c>
      <c r="S12" s="17" t="s">
        <v>169</v>
      </c>
      <c r="T12" s="17" t="s">
        <v>669</v>
      </c>
      <c r="U12" s="17" t="s">
        <v>169</v>
      </c>
      <c r="V12" s="17" t="s">
        <v>169</v>
      </c>
      <c r="W12" s="196"/>
      <c r="X12" s="195" t="s">
        <v>745</v>
      </c>
      <c r="Y12" s="196" t="s">
        <v>746</v>
      </c>
      <c r="Z12" s="151" t="s">
        <v>747</v>
      </c>
      <c r="AA12" s="59" t="s">
        <v>748</v>
      </c>
      <c r="AB12" s="187"/>
    </row>
    <row r="13" spans="1:39" x14ac:dyDescent="0.2">
      <c r="A13" s="4">
        <v>1</v>
      </c>
      <c r="B13" s="255">
        <v>500</v>
      </c>
      <c r="C13" s="177">
        <f>+B13*730*0.35</f>
        <v>127749.99999999999</v>
      </c>
      <c r="D13" s="248">
        <f>+G$27+$B13*G$28+($C13*G$31)/100</f>
        <v>7651.7350000000006</v>
      </c>
      <c r="E13" s="179">
        <f>+$B13*G$42*0.35*0.99</f>
        <v>0</v>
      </c>
      <c r="F13" s="179">
        <f>+$C13*G$34/100</f>
        <v>5218.5874999999996</v>
      </c>
      <c r="G13" s="179">
        <f t="shared" ref="G13:G23" si="0">+$B13*G$37</f>
        <v>420</v>
      </c>
      <c r="H13" s="179">
        <f>+$B13*G$38</f>
        <v>75</v>
      </c>
      <c r="I13" s="179">
        <f>+$C13*G$40/100</f>
        <v>157.13249999999999</v>
      </c>
      <c r="J13" s="179">
        <f>+$B13*G$39</f>
        <v>445</v>
      </c>
      <c r="K13" s="179">
        <f>+$B13*G$41</f>
        <v>265</v>
      </c>
      <c r="L13" s="179">
        <f>+SUM(D13:K13)*0.025641</f>
        <v>364.93437865499999</v>
      </c>
      <c r="M13" s="179">
        <f>SUM(D13:L13)</f>
        <v>14597.389378655</v>
      </c>
      <c r="N13" s="248">
        <f>+J$27+$B13*J$28+($C13*J$31)/100</f>
        <v>7712.2915499999999</v>
      </c>
      <c r="O13" s="179">
        <f>+$B13*J$42*0.35*0.99</f>
        <v>0</v>
      </c>
      <c r="P13" s="179">
        <f>+$C13*J$34/100</f>
        <v>5218.5874999999996</v>
      </c>
      <c r="Q13" s="179">
        <f t="shared" ref="Q13:Q23" si="1">+$B13*J$37</f>
        <v>420</v>
      </c>
      <c r="R13" s="179">
        <f>+$B13*J$38</f>
        <v>75</v>
      </c>
      <c r="S13" s="179">
        <f>+$C13*J$40/100</f>
        <v>157.13249999999999</v>
      </c>
      <c r="T13" s="179">
        <f>+$B13*J$39</f>
        <v>445</v>
      </c>
      <c r="U13" s="179">
        <f>+$B13*J$41</f>
        <v>265</v>
      </c>
      <c r="V13" s="179">
        <f>+SUM(N13:U13)*0.025641</f>
        <v>366.48710915354997</v>
      </c>
      <c r="W13" s="179">
        <f>SUM(N13:V13)</f>
        <v>14659.498659153549</v>
      </c>
      <c r="X13" s="233">
        <f>W13-M13</f>
        <v>62.109280498549197</v>
      </c>
      <c r="Y13" s="180">
        <f>+X13/M13</f>
        <v>4.2548211113261356E-3</v>
      </c>
      <c r="Z13" s="205">
        <f>+M13/C13 *100</f>
        <v>11.426527889358121</v>
      </c>
      <c r="AA13" s="234">
        <f>+W13/C13*100</f>
        <v>11.47514572145092</v>
      </c>
      <c r="AB13" s="83"/>
      <c r="AC13" s="260"/>
    </row>
    <row r="14" spans="1:39" x14ac:dyDescent="0.2">
      <c r="A14" s="4">
        <v>2</v>
      </c>
      <c r="B14" s="255">
        <v>500</v>
      </c>
      <c r="C14" s="177">
        <f>+B14*730*0.6</f>
        <v>219000</v>
      </c>
      <c r="D14" s="233">
        <f>+G$27+$B14*G$28+($C14*G$31)/100</f>
        <v>8595.26</v>
      </c>
      <c r="E14" s="179">
        <f>+$B14*G$42*0.6*0.99</f>
        <v>0</v>
      </c>
      <c r="F14" s="179">
        <f>+$C14*G$34/100</f>
        <v>8946.15</v>
      </c>
      <c r="G14" s="179">
        <f t="shared" si="0"/>
        <v>420</v>
      </c>
      <c r="H14" s="179">
        <f>+$B14*G$38</f>
        <v>75</v>
      </c>
      <c r="I14" s="179">
        <f>+$C14*G$40/100</f>
        <v>269.37</v>
      </c>
      <c r="J14" s="179">
        <f>+$B14*G$39</f>
        <v>445</v>
      </c>
      <c r="K14" s="179">
        <f>+$B14*G$41</f>
        <v>265</v>
      </c>
      <c r="L14" s="179">
        <f t="shared" ref="L14:L23" si="2">+SUM(D14:K14)*0.025641</f>
        <v>487.58361497999999</v>
      </c>
      <c r="M14" s="179">
        <f>SUM(D14:L14)</f>
        <v>19503.36361498</v>
      </c>
      <c r="N14" s="233">
        <f>+J$27+$B14*J$28+($C14*J$31)/100</f>
        <v>8663.4998000000014</v>
      </c>
      <c r="O14" s="179">
        <f>+$B14*J$42*0.6*0.99</f>
        <v>0</v>
      </c>
      <c r="P14" s="179">
        <f>+$C14*J$34/100</f>
        <v>8946.15</v>
      </c>
      <c r="Q14" s="179">
        <f t="shared" si="1"/>
        <v>420</v>
      </c>
      <c r="R14" s="179">
        <f>+$B14*J$38</f>
        <v>75</v>
      </c>
      <c r="S14" s="179">
        <f>+$C14*J$40/100</f>
        <v>269.37</v>
      </c>
      <c r="T14" s="179">
        <f>+$B14*J$39</f>
        <v>445</v>
      </c>
      <c r="U14" s="179">
        <f>+$B14*J$41</f>
        <v>265</v>
      </c>
      <c r="V14" s="179">
        <f>+SUM(N14:U14)*0.025641</f>
        <v>489.33335169179998</v>
      </c>
      <c r="W14" s="179">
        <f>SUM(N14:V14)</f>
        <v>19573.353151691797</v>
      </c>
      <c r="X14" s="233">
        <f>+W14-M14</f>
        <v>69.989536711796973</v>
      </c>
      <c r="Y14" s="180">
        <f>+X14/M14</f>
        <v>3.5885880042783964E-3</v>
      </c>
      <c r="Z14" s="208">
        <f>+M14/C14 *100</f>
        <v>8.9056454862922383</v>
      </c>
      <c r="AA14" s="234">
        <f>+W14/C14*100</f>
        <v>8.937604178854702</v>
      </c>
      <c r="AB14" s="83"/>
      <c r="AC14" s="245"/>
      <c r="AD14" s="37"/>
      <c r="AE14" s="37"/>
      <c r="AF14" s="37"/>
      <c r="AG14" s="37"/>
      <c r="AH14" s="37"/>
      <c r="AI14" s="37"/>
      <c r="AJ14" s="37"/>
      <c r="AK14" s="37"/>
      <c r="AL14" s="37"/>
      <c r="AM14" s="37"/>
    </row>
    <row r="15" spans="1:39" x14ac:dyDescent="0.2">
      <c r="A15" s="4">
        <v>3</v>
      </c>
      <c r="B15" s="255">
        <v>500</v>
      </c>
      <c r="C15" s="177">
        <f>+B15*730*0.9</f>
        <v>328500</v>
      </c>
      <c r="D15" s="233">
        <f>+H$27+($B15*H$29+$B15*H30)+$C15/100*H$32*0.25+$C15/100*H33*0.75</f>
        <v>9675.5337500000005</v>
      </c>
      <c r="E15" s="179">
        <f>+$B15*H$42*0.9*0.99</f>
        <v>0</v>
      </c>
      <c r="F15" s="179">
        <f>+$C15*H$35/100*0.25+$C15*H$36/100*0.75</f>
        <v>13334.63625</v>
      </c>
      <c r="G15" s="179">
        <f t="shared" si="0"/>
        <v>420</v>
      </c>
      <c r="H15" s="179">
        <f>+$B15*H$38</f>
        <v>75</v>
      </c>
      <c r="I15" s="179">
        <f>+$C15*H$40/100</f>
        <v>404.05500000000001</v>
      </c>
      <c r="J15" s="179">
        <f>+$B15*G$39</f>
        <v>445</v>
      </c>
      <c r="K15" s="179">
        <f>+$B15*H$41</f>
        <v>265</v>
      </c>
      <c r="L15" s="179">
        <f t="shared" si="2"/>
        <v>631.26154822499996</v>
      </c>
      <c r="M15" s="179">
        <f>SUM(D15:L15)</f>
        <v>25250.486548224999</v>
      </c>
      <c r="N15" s="233">
        <f>+K$27+($B15*K$29+$B15*K30)+$C15/100*K$32*0.25+$C15/100*K33*0.75</f>
        <v>9752.6895875000009</v>
      </c>
      <c r="O15" s="179">
        <f>+$B15*K$42*0.9*0.99</f>
        <v>0</v>
      </c>
      <c r="P15" s="179">
        <f>+$C15*K$35/100*0.25+$C15*K$36/100*0.75</f>
        <v>13334.63625</v>
      </c>
      <c r="Q15" s="179">
        <f t="shared" si="1"/>
        <v>420</v>
      </c>
      <c r="R15" s="179">
        <f>+$B15*K$38</f>
        <v>75</v>
      </c>
      <c r="S15" s="179">
        <f>+$C15*K$40/100</f>
        <v>404.05500000000001</v>
      </c>
      <c r="T15" s="179">
        <f>+$B15*J$39</f>
        <v>445</v>
      </c>
      <c r="U15" s="179">
        <f>+$B15*K$41</f>
        <v>265</v>
      </c>
      <c r="V15" s="179">
        <f>+SUM(N15:U15)*0.025641</f>
        <v>633.23990105433757</v>
      </c>
      <c r="W15" s="179">
        <f>SUM(N15:V15)</f>
        <v>25329.620738554338</v>
      </c>
      <c r="X15" s="233">
        <f>+W15-M15</f>
        <v>79.134190329339617</v>
      </c>
      <c r="Y15" s="180">
        <f>+X15/M15</f>
        <v>3.1339669506250528E-3</v>
      </c>
      <c r="Z15" s="208">
        <f>+M15/C15 *100</f>
        <v>7.6866016889573814</v>
      </c>
      <c r="AA15" s="234">
        <f>+W15/C15*100</f>
        <v>7.7106912446131926</v>
      </c>
      <c r="AB15" s="83"/>
      <c r="AC15" s="245"/>
      <c r="AD15" s="37"/>
      <c r="AE15" s="37"/>
      <c r="AF15" s="9"/>
      <c r="AG15" s="37"/>
      <c r="AH15" s="180"/>
      <c r="AI15" s="178"/>
      <c r="AJ15" s="37"/>
      <c r="AK15" s="245"/>
      <c r="AL15" s="37"/>
      <c r="AM15" s="37"/>
    </row>
    <row r="16" spans="1:39" x14ac:dyDescent="0.2">
      <c r="A16" s="4">
        <v>4</v>
      </c>
      <c r="D16" s="262"/>
      <c r="E16" s="256"/>
      <c r="F16" s="261"/>
      <c r="G16" s="179">
        <f t="shared" si="0"/>
        <v>0</v>
      </c>
      <c r="H16" s="261"/>
      <c r="I16" s="261"/>
      <c r="J16" s="261"/>
      <c r="K16" s="179"/>
      <c r="L16" s="179"/>
      <c r="M16" s="261"/>
      <c r="N16" s="262"/>
      <c r="O16" s="256"/>
      <c r="P16" s="261"/>
      <c r="Q16" s="179">
        <f t="shared" si="1"/>
        <v>0</v>
      </c>
      <c r="R16" s="261"/>
      <c r="S16" s="261"/>
      <c r="T16" s="261"/>
      <c r="U16" s="179"/>
      <c r="V16" s="179"/>
      <c r="W16" s="261"/>
      <c r="X16" s="233"/>
      <c r="Y16" s="180"/>
      <c r="Z16" s="209"/>
      <c r="AA16" s="235"/>
      <c r="AC16" s="37"/>
      <c r="AD16" s="188"/>
      <c r="AE16" s="9"/>
      <c r="AF16" s="9"/>
      <c r="AG16" s="177"/>
      <c r="AH16" s="180"/>
      <c r="AI16" s="178"/>
      <c r="AJ16" s="37"/>
      <c r="AK16" s="37"/>
      <c r="AL16" s="37"/>
      <c r="AM16" s="37"/>
    </row>
    <row r="17" spans="1:40" x14ac:dyDescent="0.2">
      <c r="A17" s="4">
        <v>5</v>
      </c>
      <c r="B17" s="257">
        <v>1000</v>
      </c>
      <c r="C17" s="177">
        <f>+B17*730*0.35</f>
        <v>255499.99999999997</v>
      </c>
      <c r="D17" s="233">
        <f>+G$27+$B17*G$28+($C17*G$31)/100</f>
        <v>14722.669999999998</v>
      </c>
      <c r="E17" s="179">
        <f>+$B17*G$42*0.35*0.99</f>
        <v>0</v>
      </c>
      <c r="F17" s="179">
        <f>+$C17*G$34/100</f>
        <v>10437.174999999999</v>
      </c>
      <c r="G17" s="179">
        <f t="shared" si="0"/>
        <v>840</v>
      </c>
      <c r="H17" s="179">
        <f>+$B17*G$38</f>
        <v>150</v>
      </c>
      <c r="I17" s="179">
        <f>+$C17*G$40/100</f>
        <v>314.26499999999999</v>
      </c>
      <c r="J17" s="179">
        <f>+$B17*G$39</f>
        <v>890</v>
      </c>
      <c r="K17" s="179">
        <f>+$B17*G$41</f>
        <v>530</v>
      </c>
      <c r="L17" s="179">
        <f t="shared" si="2"/>
        <v>714.97646450999991</v>
      </c>
      <c r="M17" s="179">
        <f>SUM(D17:L17)</f>
        <v>28599.086464509997</v>
      </c>
      <c r="N17" s="233">
        <f>+J$27+$B17*J$28+($C17*J$31)/100</f>
        <v>14838.983100000001</v>
      </c>
      <c r="O17" s="179">
        <f>+$B17*J$42*0.35*0.99</f>
        <v>0</v>
      </c>
      <c r="P17" s="179">
        <f>+$C17*J$34/100</f>
        <v>10437.174999999999</v>
      </c>
      <c r="Q17" s="179">
        <f t="shared" si="1"/>
        <v>840</v>
      </c>
      <c r="R17" s="179">
        <f>+$B17*J$38</f>
        <v>150</v>
      </c>
      <c r="S17" s="179">
        <f>+$C17*J$40/100</f>
        <v>314.26499999999999</v>
      </c>
      <c r="T17" s="179">
        <f>+$B17*J$39</f>
        <v>890</v>
      </c>
      <c r="U17" s="179">
        <f>+$B17*J$41</f>
        <v>530</v>
      </c>
      <c r="V17" s="179">
        <f>+SUM(N17:U17)*0.025641</f>
        <v>717.95884870710006</v>
      </c>
      <c r="W17" s="179">
        <f>SUM(N17:V17)</f>
        <v>28718.381948707101</v>
      </c>
      <c r="X17" s="233">
        <f>+W17-M17</f>
        <v>119.29548419710409</v>
      </c>
      <c r="Y17" s="180">
        <f>+X17/M17</f>
        <v>4.1713040150825687E-3</v>
      </c>
      <c r="Z17" s="208">
        <f>+M17/C17 *100</f>
        <v>11.193380220943249</v>
      </c>
      <c r="AA17" s="234">
        <f>+W17/C17*100</f>
        <v>11.240071212801215</v>
      </c>
      <c r="AB17" s="46"/>
      <c r="AC17" s="37"/>
      <c r="AD17" s="188"/>
      <c r="AE17" s="9"/>
      <c r="AF17" s="9"/>
      <c r="AG17" s="177"/>
      <c r="AH17" s="180"/>
      <c r="AI17" s="178"/>
      <c r="AJ17" s="177"/>
      <c r="AK17" s="201"/>
      <c r="AL17" s="37"/>
      <c r="AM17" s="37"/>
    </row>
    <row r="18" spans="1:40" x14ac:dyDescent="0.2">
      <c r="A18" s="4">
        <v>6</v>
      </c>
      <c r="B18" s="257">
        <v>1000</v>
      </c>
      <c r="C18" s="177">
        <f>+B18*730*0.6</f>
        <v>438000</v>
      </c>
      <c r="D18" s="233">
        <f>+G$27+$B18*G$28+($C18*G$31)/100</f>
        <v>16609.72</v>
      </c>
      <c r="E18" s="179">
        <f>+$B18*G$42*0.6*0.99</f>
        <v>0</v>
      </c>
      <c r="F18" s="179">
        <f>+$C18*G$34/100</f>
        <v>17892.3</v>
      </c>
      <c r="G18" s="179">
        <f t="shared" si="0"/>
        <v>840</v>
      </c>
      <c r="H18" s="179">
        <f>+$B18*G$38</f>
        <v>150</v>
      </c>
      <c r="I18" s="179">
        <f>+$C18*G$40/100</f>
        <v>538.74</v>
      </c>
      <c r="J18" s="179">
        <f>+$B18*G$39</f>
        <v>890</v>
      </c>
      <c r="K18" s="179">
        <f>+$B18*G$41</f>
        <v>530</v>
      </c>
      <c r="L18" s="179">
        <f t="shared" si="2"/>
        <v>960.27493716000004</v>
      </c>
      <c r="M18" s="179">
        <f>SUM(D18:L18)</f>
        <v>38411.034937160002</v>
      </c>
      <c r="N18" s="233">
        <f>+J$27+$B18*J$28+($C18*J$31)/100</f>
        <v>16741.399600000001</v>
      </c>
      <c r="O18" s="179">
        <f>+$B18*J$42*0.6*0.99</f>
        <v>0</v>
      </c>
      <c r="P18" s="179">
        <f>+$C18*J$34/100</f>
        <v>17892.3</v>
      </c>
      <c r="Q18" s="179">
        <f t="shared" si="1"/>
        <v>840</v>
      </c>
      <c r="R18" s="179">
        <f>+$B18*J$38</f>
        <v>150</v>
      </c>
      <c r="S18" s="179">
        <f>+$C18*J$40/100</f>
        <v>538.74</v>
      </c>
      <c r="T18" s="179">
        <f>+$B18*J$39</f>
        <v>890</v>
      </c>
      <c r="U18" s="179">
        <f>+$B18*J$41</f>
        <v>530</v>
      </c>
      <c r="V18" s="179">
        <f>+SUM(N18:U18)*0.025641</f>
        <v>963.65133378359997</v>
      </c>
      <c r="W18" s="179">
        <f>SUM(N18:V18)</f>
        <v>38546.090933783598</v>
      </c>
      <c r="X18" s="233">
        <f>+W18-M18</f>
        <v>135.055996623596</v>
      </c>
      <c r="Y18" s="180">
        <f>+X18/M18</f>
        <v>3.5160728380410995E-3</v>
      </c>
      <c r="Z18" s="208">
        <f>+M18/C18 *100</f>
        <v>8.7696426797168954</v>
      </c>
      <c r="AA18" s="234">
        <f>+W18/C18*100</f>
        <v>8.8004773821423736</v>
      </c>
      <c r="AB18" s="46"/>
      <c r="AC18" s="37"/>
      <c r="AD18" s="188"/>
      <c r="AE18" s="9"/>
      <c r="AF18" s="9"/>
      <c r="AG18" s="177"/>
      <c r="AH18" s="177"/>
      <c r="AI18" s="172"/>
      <c r="AJ18" s="177"/>
      <c r="AK18" s="201"/>
      <c r="AL18" s="37"/>
      <c r="AM18" s="37"/>
    </row>
    <row r="19" spans="1:40" x14ac:dyDescent="0.2">
      <c r="A19" s="4">
        <v>7</v>
      </c>
      <c r="B19" s="257">
        <v>1000</v>
      </c>
      <c r="C19" s="177">
        <f>+B19*730*0.9</f>
        <v>657000</v>
      </c>
      <c r="D19" s="233">
        <f>+H$27+($B19*H$29+$B19*H30)+$C19/100*H$32*0.25+$C19/100*H33*0.75</f>
        <v>18770.267500000002</v>
      </c>
      <c r="E19" s="179">
        <f>+$B19*H$42*0.9*0.99</f>
        <v>0</v>
      </c>
      <c r="F19" s="179">
        <f>+$C19*H$35/100*0.25+$C19*H$36/100*0.75</f>
        <v>26669.272499999999</v>
      </c>
      <c r="G19" s="179">
        <f t="shared" si="0"/>
        <v>840</v>
      </c>
      <c r="H19" s="179">
        <f>+$B19*H$38</f>
        <v>150</v>
      </c>
      <c r="I19" s="179">
        <f>+$C19*H$40/100</f>
        <v>808.11</v>
      </c>
      <c r="J19" s="179">
        <f>+$B19*G$39</f>
        <v>890</v>
      </c>
      <c r="K19" s="179">
        <f>+$B19*H$41</f>
        <v>530</v>
      </c>
      <c r="L19" s="179">
        <f t="shared" si="2"/>
        <v>1247.63080365</v>
      </c>
      <c r="M19" s="179">
        <f>SUM(D19:L19)</f>
        <v>49905.280803649999</v>
      </c>
      <c r="N19" s="233">
        <f>+K$27+($B19*K$29+$B19*K30)+$C19/100*K$32*0.25+$C19/100*K33*0.75</f>
        <v>18919.779175</v>
      </c>
      <c r="O19" s="179">
        <f>+$B19*K$42*0.9*0.99</f>
        <v>0</v>
      </c>
      <c r="P19" s="179">
        <f>+$C19*K$35/100*0.25+$C19*K$36/100*0.75</f>
        <v>26669.272499999999</v>
      </c>
      <c r="Q19" s="179">
        <f t="shared" si="1"/>
        <v>840</v>
      </c>
      <c r="R19" s="179">
        <f>+$B19*K$38</f>
        <v>150</v>
      </c>
      <c r="S19" s="179">
        <f>+$C19*K$40/100</f>
        <v>808.11</v>
      </c>
      <c r="T19" s="179">
        <f>+$B19*J$39</f>
        <v>890</v>
      </c>
      <c r="U19" s="179">
        <f>+$B19*K$41</f>
        <v>530</v>
      </c>
      <c r="V19" s="179">
        <f>+SUM(N19:U19)*0.025641</f>
        <v>1251.4644325086749</v>
      </c>
      <c r="W19" s="179">
        <f>SUM(N19:V19)</f>
        <v>50058.626107508673</v>
      </c>
      <c r="X19" s="233">
        <f>+W19-M19</f>
        <v>153.34530385867401</v>
      </c>
      <c r="Y19" s="180">
        <f>+X19/M19</f>
        <v>3.0727270018177828E-3</v>
      </c>
      <c r="Z19" s="208">
        <f>+M19/C19 *100</f>
        <v>7.5959331512404873</v>
      </c>
      <c r="AA19" s="234">
        <f>+W19/C19*100</f>
        <v>7.6192733801383072</v>
      </c>
      <c r="AB19" s="46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</row>
    <row r="20" spans="1:40" x14ac:dyDescent="0.2">
      <c r="A20" s="4">
        <v>8</v>
      </c>
      <c r="D20" s="262"/>
      <c r="E20" s="256"/>
      <c r="F20" s="261"/>
      <c r="G20" s="179">
        <f t="shared" si="0"/>
        <v>0</v>
      </c>
      <c r="H20" s="261"/>
      <c r="I20" s="261"/>
      <c r="J20" s="261"/>
      <c r="K20" s="179"/>
      <c r="L20" s="179"/>
      <c r="M20" s="261"/>
      <c r="N20" s="262"/>
      <c r="O20" s="256"/>
      <c r="P20" s="261"/>
      <c r="Q20" s="179">
        <f t="shared" si="1"/>
        <v>0</v>
      </c>
      <c r="R20" s="261"/>
      <c r="S20" s="261"/>
      <c r="T20" s="261"/>
      <c r="U20" s="179"/>
      <c r="V20" s="179"/>
      <c r="W20" s="261"/>
      <c r="X20" s="233"/>
      <c r="Y20" s="180"/>
      <c r="Z20" s="209"/>
      <c r="AA20" s="235"/>
      <c r="AC20" s="177"/>
      <c r="AD20" s="9"/>
      <c r="AE20" s="9"/>
      <c r="AF20" s="177"/>
      <c r="AG20" s="177"/>
      <c r="AH20" s="221"/>
      <c r="AI20" s="221"/>
      <c r="AJ20" s="221"/>
      <c r="AK20" s="220"/>
      <c r="AL20" s="221"/>
      <c r="AM20" s="37"/>
    </row>
    <row r="21" spans="1:40" x14ac:dyDescent="0.2">
      <c r="A21" s="4">
        <v>9</v>
      </c>
      <c r="B21" s="258">
        <v>5000</v>
      </c>
      <c r="C21" s="177">
        <f>+B21*730*0.35</f>
        <v>1277500</v>
      </c>
      <c r="D21" s="233">
        <f>+G$27+$B21*G$28+($C21*G$31)/100</f>
        <v>71290.150000000009</v>
      </c>
      <c r="E21" s="179">
        <f>+$B21*G$42*0.35*0.99</f>
        <v>0</v>
      </c>
      <c r="F21" s="179">
        <f>+$C21*G$34/100</f>
        <v>52185.875</v>
      </c>
      <c r="G21" s="179">
        <f t="shared" si="0"/>
        <v>4200</v>
      </c>
      <c r="H21" s="179">
        <f>+$B21*G$38</f>
        <v>750</v>
      </c>
      <c r="I21" s="179">
        <f>+$C21*G$40/100</f>
        <v>1571.325</v>
      </c>
      <c r="J21" s="179">
        <f>+$B21*G$39</f>
        <v>4450</v>
      </c>
      <c r="K21" s="179">
        <f>+$B21*G$41</f>
        <v>2650</v>
      </c>
      <c r="L21" s="179">
        <f t="shared" si="2"/>
        <v>3515.3131513500002</v>
      </c>
      <c r="M21" s="179">
        <f>SUM(D21:L21)</f>
        <v>140612.66315135002</v>
      </c>
      <c r="N21" s="233">
        <f>+J$27+$B21*J$28+($C21*J$31)/100</f>
        <v>71852.515499999994</v>
      </c>
      <c r="O21" s="179">
        <f>+$B21*J$42*0.35*0.99</f>
        <v>0</v>
      </c>
      <c r="P21" s="179">
        <f>+$C21*J$34/100</f>
        <v>52185.875</v>
      </c>
      <c r="Q21" s="179">
        <f t="shared" si="1"/>
        <v>4200</v>
      </c>
      <c r="R21" s="179">
        <f>+$B21*J$38</f>
        <v>750</v>
      </c>
      <c r="S21" s="179">
        <f>+$C21*J$40/100</f>
        <v>1571.325</v>
      </c>
      <c r="T21" s="179">
        <f>+$B21*J$39</f>
        <v>4450</v>
      </c>
      <c r="U21" s="179">
        <f>+$B21*J$41</f>
        <v>2650</v>
      </c>
      <c r="V21" s="179">
        <f>+SUM(N21:U21)*0.025641</f>
        <v>3529.7327651354999</v>
      </c>
      <c r="W21" s="179">
        <f>SUM(N21:V21)</f>
        <v>141189.44826513549</v>
      </c>
      <c r="X21" s="233">
        <f>W21-M21</f>
        <v>576.7851137854741</v>
      </c>
      <c r="Y21" s="180">
        <f>+X21/M21</f>
        <v>4.1019428894867385E-3</v>
      </c>
      <c r="Z21" s="208">
        <f>+M21/C21 *100</f>
        <v>11.006862086211351</v>
      </c>
      <c r="AA21" s="234">
        <f>+W21/C21*100</f>
        <v>11.052011605881447</v>
      </c>
      <c r="AB21" s="46"/>
      <c r="AC21" s="188"/>
      <c r="AD21" s="9"/>
      <c r="AE21" s="9"/>
      <c r="AF21" s="177"/>
      <c r="AG21" s="177"/>
      <c r="AH21" s="173"/>
      <c r="AI21" s="149"/>
      <c r="AJ21" s="37"/>
      <c r="AK21" s="173"/>
      <c r="AL21" s="173"/>
      <c r="AM21" s="173"/>
      <c r="AN21" s="173"/>
    </row>
    <row r="22" spans="1:40" x14ac:dyDescent="0.2">
      <c r="A22" s="4">
        <v>10</v>
      </c>
      <c r="B22" s="258">
        <v>5000</v>
      </c>
      <c r="C22" s="177">
        <f>+B22*730*0.6</f>
        <v>2190000</v>
      </c>
      <c r="D22" s="233">
        <f>+G$27+$B22*G$28+($C22*G$31)/100</f>
        <v>80725.399999999994</v>
      </c>
      <c r="E22" s="179">
        <f>+$B22*G$42*0.6*0.99</f>
        <v>0</v>
      </c>
      <c r="F22" s="179">
        <f>+$C22*G$34/100</f>
        <v>89461.5</v>
      </c>
      <c r="G22" s="179">
        <f t="shared" si="0"/>
        <v>4200</v>
      </c>
      <c r="H22" s="179">
        <f>+$B22*G$38</f>
        <v>750</v>
      </c>
      <c r="I22" s="179">
        <f>+$C22*G$40/100</f>
        <v>2693.7</v>
      </c>
      <c r="J22" s="179">
        <f>+$B22*G$39</f>
        <v>4450</v>
      </c>
      <c r="K22" s="179">
        <f>+$B22*G$41</f>
        <v>2650</v>
      </c>
      <c r="L22" s="179">
        <f t="shared" si="2"/>
        <v>4741.8055146000006</v>
      </c>
      <c r="M22" s="179">
        <f>SUM(D22:L22)</f>
        <v>189672.40551460002</v>
      </c>
      <c r="N22" s="233">
        <f>+J$27+$B22*J$28+($C22*J$31)/100</f>
        <v>81364.597999999998</v>
      </c>
      <c r="O22" s="179">
        <f>+$B22*J$42*0.6*0.99</f>
        <v>0</v>
      </c>
      <c r="P22" s="179">
        <f>+$C22*J$34/100</f>
        <v>89461.5</v>
      </c>
      <c r="Q22" s="179">
        <f t="shared" si="1"/>
        <v>4200</v>
      </c>
      <c r="R22" s="179">
        <f>+$B22*J$38</f>
        <v>750</v>
      </c>
      <c r="S22" s="179">
        <f>+$C22*J$40/100</f>
        <v>2693.7</v>
      </c>
      <c r="T22" s="179">
        <f>+$B22*J$39</f>
        <v>4450</v>
      </c>
      <c r="U22" s="179">
        <f>+$B22*J$41</f>
        <v>2650</v>
      </c>
      <c r="V22" s="179">
        <f>+SUM(N22:U22)*0.025641</f>
        <v>4758.1951905180003</v>
      </c>
      <c r="W22" s="179">
        <f>SUM(N22:V22)</f>
        <v>190327.993190518</v>
      </c>
      <c r="X22" s="233">
        <f>+W22-M22</f>
        <v>655.58767591798096</v>
      </c>
      <c r="Y22" s="180">
        <f>+X22/M22</f>
        <v>3.4564209492641096E-3</v>
      </c>
      <c r="Z22" s="208">
        <f>+M22/C22 *100</f>
        <v>8.6608404344566221</v>
      </c>
      <c r="AA22" s="234">
        <f>+W22/C22*100</f>
        <v>8.6907759447725113</v>
      </c>
      <c r="AB22" s="46"/>
      <c r="AC22" s="188"/>
      <c r="AD22" s="9"/>
      <c r="AE22" s="9"/>
      <c r="AF22" s="177"/>
      <c r="AG22" s="37"/>
      <c r="AH22" s="201"/>
      <c r="AI22" s="201"/>
      <c r="AJ22" s="37"/>
      <c r="AK22" s="179"/>
      <c r="AL22" s="179"/>
      <c r="AM22" s="179"/>
      <c r="AN22" s="179"/>
    </row>
    <row r="23" spans="1:40" x14ac:dyDescent="0.2">
      <c r="A23" s="4">
        <v>11</v>
      </c>
      <c r="B23" s="258">
        <v>5000</v>
      </c>
      <c r="C23" s="177">
        <f>+B23*730*0.9</f>
        <v>3285000</v>
      </c>
      <c r="D23" s="233">
        <f>+H$27+($B23*H$29+$B23*H30)+$C23/100*H$32*0.25+$C23/100*H33*0.75</f>
        <v>91528.137500000012</v>
      </c>
      <c r="E23" s="179">
        <f>+$B23*H$42*0.9*0.99</f>
        <v>0</v>
      </c>
      <c r="F23" s="179">
        <f>+$C23*H$35/100*0.25+$C23*H$36/100*0.75</f>
        <v>133346.36249999999</v>
      </c>
      <c r="G23" s="179">
        <f t="shared" si="0"/>
        <v>4200</v>
      </c>
      <c r="H23" s="179">
        <f>+$B23*H$38</f>
        <v>750</v>
      </c>
      <c r="I23" s="179">
        <f>+$C23*H$40/100</f>
        <v>4040.55</v>
      </c>
      <c r="J23" s="179">
        <f>+$B23*G$39</f>
        <v>4450</v>
      </c>
      <c r="K23" s="179">
        <f>+$B23*H$41</f>
        <v>2650</v>
      </c>
      <c r="L23" s="179">
        <f t="shared" si="2"/>
        <v>6178.5848470499996</v>
      </c>
      <c r="M23" s="179">
        <f>SUM(D23:L23)</f>
        <v>247143.63484704998</v>
      </c>
      <c r="N23" s="233">
        <f>+K$27+($B23*K$29+$B23*K30)+$C23/100*K$32*0.25+$C23/100*K33*0.75</f>
        <v>92256.495874999993</v>
      </c>
      <c r="O23" s="179">
        <f>+$B23*K$42*0.9*0.99</f>
        <v>0</v>
      </c>
      <c r="P23" s="179">
        <f>+$C23*K$35/100*0.25+$C23*K$36/100*0.75</f>
        <v>133346.36249999999</v>
      </c>
      <c r="Q23" s="179">
        <f t="shared" si="1"/>
        <v>4200</v>
      </c>
      <c r="R23" s="179">
        <f>+$B23*K$38</f>
        <v>750</v>
      </c>
      <c r="S23" s="179">
        <f>+$C23*K$40/100</f>
        <v>4040.55</v>
      </c>
      <c r="T23" s="179">
        <f>+$B23*J$39</f>
        <v>4450</v>
      </c>
      <c r="U23" s="179">
        <f>+$B23*K$41</f>
        <v>2650</v>
      </c>
      <c r="V23" s="179">
        <f>+SUM(N23:U23)*0.025641</f>
        <v>6197.2606841433744</v>
      </c>
      <c r="W23" s="179">
        <f>SUM(N23:V23)</f>
        <v>247890.66905914334</v>
      </c>
      <c r="X23" s="233">
        <f>W23-M23</f>
        <v>747.03421209336375</v>
      </c>
      <c r="Y23" s="180">
        <f>+X23/M23</f>
        <v>3.0226722713521696E-3</v>
      </c>
      <c r="Z23" s="208">
        <f>+M23/C23 *100</f>
        <v>7.5233983210669706</v>
      </c>
      <c r="AA23" s="234">
        <f>+W23/C23*100</f>
        <v>7.5461390885583972</v>
      </c>
      <c r="AB23" s="46"/>
      <c r="AC23" s="188"/>
      <c r="AD23" s="9"/>
      <c r="AE23" s="9"/>
      <c r="AF23" s="177"/>
      <c r="AG23" s="177"/>
      <c r="AH23" s="201"/>
      <c r="AI23" s="26"/>
      <c r="AJ23" s="9"/>
      <c r="AK23" s="201"/>
      <c r="AL23" s="26"/>
      <c r="AM23" s="37"/>
    </row>
    <row r="24" spans="1:40" x14ac:dyDescent="0.2">
      <c r="A24" s="4">
        <v>12</v>
      </c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01"/>
      <c r="X24" s="180"/>
      <c r="Y24" s="177"/>
      <c r="Z24" s="177"/>
      <c r="AB24" s="37"/>
      <c r="AC24" s="37"/>
      <c r="AD24" s="37"/>
      <c r="AE24" s="177"/>
      <c r="AF24" s="37"/>
      <c r="AG24" s="9"/>
      <c r="AH24" s="172"/>
      <c r="AI24" s="9"/>
      <c r="AJ24" s="172"/>
      <c r="AK24" s="172"/>
      <c r="AL24" s="37"/>
    </row>
    <row r="25" spans="1:40" x14ac:dyDescent="0.2">
      <c r="A25" s="4">
        <v>13</v>
      </c>
      <c r="G25" s="293" t="s">
        <v>166</v>
      </c>
      <c r="H25" s="293"/>
      <c r="I25" s="293"/>
      <c r="J25" s="293" t="s">
        <v>138</v>
      </c>
      <c r="K25" s="293"/>
      <c r="L25" s="293"/>
      <c r="Q25" s="1"/>
      <c r="AB25" s="37"/>
      <c r="AC25" s="37"/>
      <c r="AD25" s="37"/>
      <c r="AE25" s="177"/>
      <c r="AF25" s="37"/>
      <c r="AG25" s="9"/>
      <c r="AH25" s="172"/>
      <c r="AI25" s="9"/>
      <c r="AJ25" s="172"/>
      <c r="AK25" s="172"/>
      <c r="AL25" s="37"/>
    </row>
    <row r="26" spans="1:40" x14ac:dyDescent="0.2">
      <c r="A26" s="4">
        <v>14</v>
      </c>
      <c r="C26" s="145"/>
      <c r="D26" s="145"/>
      <c r="E26" s="145"/>
      <c r="F26" s="145"/>
      <c r="G26" s="148" t="s">
        <v>529</v>
      </c>
      <c r="H26" s="148" t="s">
        <v>530</v>
      </c>
      <c r="I26" s="148"/>
      <c r="J26" s="284" t="s">
        <v>529</v>
      </c>
      <c r="K26" s="284" t="s">
        <v>530</v>
      </c>
      <c r="L26" s="4"/>
      <c r="AA26" s="84"/>
      <c r="AB26" s="188"/>
      <c r="AC26" s="9"/>
      <c r="AD26" s="9"/>
      <c r="AE26" s="177"/>
      <c r="AF26" s="177"/>
      <c r="AG26" s="172"/>
      <c r="AH26" s="35"/>
      <c r="AI26" s="9"/>
      <c r="AJ26" s="172"/>
      <c r="AK26" s="172"/>
      <c r="AL26" s="37"/>
    </row>
    <row r="27" spans="1:40" x14ac:dyDescent="0.2">
      <c r="A27" s="4">
        <v>15</v>
      </c>
      <c r="C27" s="7" t="s">
        <v>657</v>
      </c>
      <c r="D27" s="145"/>
      <c r="E27" s="145"/>
      <c r="F27" s="145"/>
      <c r="G27" s="200">
        <f>+ROUND(ROUND('E-13c'!G395,2)*30,2)</f>
        <v>580.79999999999995</v>
      </c>
      <c r="H27" s="200">
        <f>+ROUND(ROUND('E-13c'!G396,2)*30,2)</f>
        <v>580.79999999999995</v>
      </c>
      <c r="I27" s="7" t="s">
        <v>56</v>
      </c>
      <c r="J27" s="27">
        <f>+ROUND(ROUND('E-13c'!N395,2)*30,2)</f>
        <v>585.6</v>
      </c>
      <c r="K27" s="27">
        <f>+ROUND(ROUND('E-13c'!N396,2)*30,2)</f>
        <v>585.6</v>
      </c>
      <c r="L27" s="7" t="s">
        <v>56</v>
      </c>
      <c r="AB27" s="188"/>
      <c r="AC27" s="37"/>
      <c r="AD27" s="37"/>
      <c r="AE27" s="177"/>
      <c r="AF27" s="37"/>
      <c r="AG27" s="172"/>
      <c r="AH27" s="35"/>
      <c r="AI27" s="9"/>
      <c r="AJ27" s="172"/>
      <c r="AK27" s="172"/>
      <c r="AL27" s="37"/>
    </row>
    <row r="28" spans="1:40" x14ac:dyDescent="0.2">
      <c r="A28" s="4">
        <v>16</v>
      </c>
      <c r="C28" s="7" t="s">
        <v>139</v>
      </c>
      <c r="D28" s="145"/>
      <c r="G28" s="200">
        <f>+ROUND('E-13c'!G406,2)</f>
        <v>11.5</v>
      </c>
      <c r="H28" s="200">
        <v>0</v>
      </c>
      <c r="I28" s="7" t="s">
        <v>170</v>
      </c>
      <c r="J28" s="27">
        <f>ROUND(+'E-13c'!N406,2)</f>
        <v>11.59</v>
      </c>
      <c r="K28" s="27"/>
      <c r="L28" s="7" t="s">
        <v>170</v>
      </c>
      <c r="R28" s="201"/>
      <c r="S28" s="201"/>
      <c r="T28" s="201"/>
      <c r="U28" s="201"/>
      <c r="V28" s="201"/>
      <c r="W28" s="177"/>
      <c r="X28" s="180"/>
      <c r="Y28" s="177"/>
      <c r="Z28" s="177"/>
      <c r="AB28" s="37"/>
      <c r="AC28" s="37"/>
      <c r="AD28" s="37"/>
      <c r="AE28" s="177"/>
      <c r="AF28" s="37"/>
      <c r="AG28" s="9"/>
      <c r="AH28" s="9"/>
      <c r="AI28" s="9"/>
      <c r="AJ28" s="172"/>
      <c r="AK28" s="172"/>
      <c r="AL28" s="37"/>
    </row>
    <row r="29" spans="1:40" x14ac:dyDescent="0.2">
      <c r="A29" s="4">
        <v>17</v>
      </c>
      <c r="C29" s="7" t="s">
        <v>656</v>
      </c>
      <c r="D29" s="145"/>
      <c r="G29" s="200"/>
      <c r="H29" s="200">
        <f>+ROUND('E-13c'!G407,2)</f>
        <v>3.65</v>
      </c>
      <c r="I29" s="7" t="s">
        <v>170</v>
      </c>
      <c r="J29" s="27"/>
      <c r="K29" s="27">
        <f>ROUND(+'E-13c'!N407,2)</f>
        <v>3.68</v>
      </c>
      <c r="L29" s="7" t="s">
        <v>170</v>
      </c>
      <c r="R29" s="201"/>
      <c r="S29" s="201"/>
      <c r="T29" s="201"/>
      <c r="U29" s="201"/>
      <c r="V29" s="201"/>
      <c r="W29" s="177"/>
      <c r="X29" s="180"/>
      <c r="Y29" s="177"/>
      <c r="Z29" s="177"/>
      <c r="AB29" s="37"/>
      <c r="AC29" s="37"/>
      <c r="AD29" s="37"/>
      <c r="AE29" s="177"/>
      <c r="AF29" s="37"/>
      <c r="AG29" s="9"/>
      <c r="AH29" s="9"/>
      <c r="AI29" s="9"/>
      <c r="AJ29" s="172"/>
      <c r="AK29" s="172"/>
      <c r="AL29" s="37"/>
    </row>
    <row r="30" spans="1:40" x14ac:dyDescent="0.2">
      <c r="A30" s="4">
        <v>18</v>
      </c>
      <c r="C30" s="7" t="s">
        <v>385</v>
      </c>
      <c r="D30" s="145"/>
      <c r="G30" s="200"/>
      <c r="H30" s="200">
        <f>+ROUND('E-13c'!G408,2)</f>
        <v>7.82</v>
      </c>
      <c r="I30" s="7" t="s">
        <v>170</v>
      </c>
      <c r="J30" s="27"/>
      <c r="K30" s="27">
        <f>ROUND(+'E-13c'!N408,2)</f>
        <v>7.88</v>
      </c>
      <c r="L30" s="7" t="s">
        <v>170</v>
      </c>
      <c r="R30" s="201"/>
      <c r="S30" s="201"/>
      <c r="T30" s="201"/>
      <c r="U30" s="201"/>
      <c r="V30" s="201"/>
      <c r="W30" s="177"/>
      <c r="X30" s="180"/>
      <c r="Y30" s="177"/>
      <c r="Z30" s="177"/>
      <c r="AB30" s="37"/>
      <c r="AC30" s="37"/>
      <c r="AD30" s="37"/>
      <c r="AE30" s="177"/>
      <c r="AF30" s="37"/>
      <c r="AG30" s="9"/>
      <c r="AH30" s="9"/>
      <c r="AI30" s="9"/>
      <c r="AJ30" s="172"/>
      <c r="AK30" s="172"/>
      <c r="AL30" s="37"/>
    </row>
    <row r="31" spans="1:40" x14ac:dyDescent="0.2">
      <c r="A31" s="4">
        <v>19</v>
      </c>
      <c r="C31" s="7" t="s">
        <v>140</v>
      </c>
      <c r="D31" s="145"/>
      <c r="G31" s="204">
        <f>+ROUND('E-13c'!G400,4)/10</f>
        <v>1.034</v>
      </c>
      <c r="H31" s="200"/>
      <c r="I31" s="7" t="s">
        <v>246</v>
      </c>
      <c r="J31" s="28">
        <f>ROUND(+'E-13c'!N400,4)/10</f>
        <v>1.0424200000000001</v>
      </c>
      <c r="K31" s="27"/>
      <c r="L31" s="7" t="s">
        <v>246</v>
      </c>
      <c r="R31" s="201"/>
      <c r="S31" s="201"/>
      <c r="T31" s="201"/>
      <c r="U31" s="201"/>
      <c r="V31" s="201"/>
      <c r="W31" s="177"/>
      <c r="X31" s="180"/>
      <c r="Y31" s="177"/>
      <c r="Z31" s="177"/>
      <c r="AB31" s="37"/>
      <c r="AC31" s="37"/>
      <c r="AD31" s="37"/>
      <c r="AE31" s="177"/>
      <c r="AF31" s="37"/>
      <c r="AG31" s="9"/>
      <c r="AH31" s="9"/>
      <c r="AI31" s="9"/>
      <c r="AJ31" s="172"/>
      <c r="AK31" s="172"/>
      <c r="AL31" s="37"/>
    </row>
    <row r="32" spans="1:40" x14ac:dyDescent="0.2">
      <c r="A32" s="4">
        <v>20</v>
      </c>
      <c r="B32" s="258"/>
      <c r="C32" s="8" t="s">
        <v>238</v>
      </c>
      <c r="D32" s="145"/>
      <c r="G32" s="204"/>
      <c r="H32" s="204">
        <f>+ROUND('E-13c'!G401,4)/10</f>
        <v>1.5710000000000002</v>
      </c>
      <c r="I32" s="7" t="s">
        <v>246</v>
      </c>
      <c r="K32" s="28">
        <f>ROUND(+'E-13c'!N401,4)/10</f>
        <v>1.58379</v>
      </c>
      <c r="L32" s="7" t="s">
        <v>246</v>
      </c>
      <c r="R32" s="201"/>
      <c r="S32" s="201"/>
      <c r="T32" s="201"/>
      <c r="U32" s="201"/>
      <c r="V32" s="201"/>
      <c r="W32" s="201"/>
      <c r="X32" s="180"/>
      <c r="Y32" s="201"/>
      <c r="Z32" s="206"/>
      <c r="AB32" s="188"/>
      <c r="AC32" s="9"/>
      <c r="AD32" s="9"/>
      <c r="AE32" s="177"/>
      <c r="AF32" s="177"/>
      <c r="AG32" s="35"/>
      <c r="AH32" s="172"/>
      <c r="AI32" s="37"/>
      <c r="AJ32" s="35"/>
      <c r="AK32" s="172"/>
      <c r="AL32" s="37"/>
    </row>
    <row r="33" spans="1:38" x14ac:dyDescent="0.2">
      <c r="A33" s="4">
        <v>21</v>
      </c>
      <c r="B33" s="258"/>
      <c r="C33" s="8" t="s">
        <v>239</v>
      </c>
      <c r="D33" s="145"/>
      <c r="G33" s="204"/>
      <c r="H33" s="204">
        <f>+ROUND('E-13c'!G402,4)/10</f>
        <v>0.84000000000000008</v>
      </c>
      <c r="I33" s="7" t="s">
        <v>246</v>
      </c>
      <c r="J33" s="28"/>
      <c r="K33" s="28">
        <f>ROUND(+'E-13c'!N402,4)/10</f>
        <v>0.84684000000000004</v>
      </c>
      <c r="L33" s="7" t="s">
        <v>246</v>
      </c>
      <c r="R33" s="201"/>
      <c r="S33" s="201"/>
      <c r="T33" s="201"/>
      <c r="U33" s="201"/>
      <c r="V33" s="201"/>
      <c r="W33" s="201"/>
      <c r="X33" s="180"/>
      <c r="Y33" s="201"/>
      <c r="Z33" s="206"/>
      <c r="AB33" s="188"/>
      <c r="AC33" s="9"/>
      <c r="AD33" s="9"/>
      <c r="AE33" s="177"/>
      <c r="AF33" s="177"/>
      <c r="AG33" s="35"/>
      <c r="AH33" s="172"/>
      <c r="AI33" s="37"/>
      <c r="AJ33" s="35"/>
      <c r="AK33" s="172"/>
      <c r="AL33" s="37"/>
    </row>
    <row r="34" spans="1:38" x14ac:dyDescent="0.2">
      <c r="A34" s="4">
        <v>22</v>
      </c>
      <c r="B34" s="258"/>
      <c r="C34" s="7" t="s">
        <v>171</v>
      </c>
      <c r="D34" s="145"/>
      <c r="G34" s="35">
        <v>4.085</v>
      </c>
      <c r="H34" s="35"/>
      <c r="I34" s="7" t="s">
        <v>246</v>
      </c>
      <c r="J34" s="35">
        <f t="shared" ref="J34:J42" si="3">+G34</f>
        <v>4.085</v>
      </c>
      <c r="K34" s="35">
        <f t="shared" ref="K34:K42" si="4">+H34</f>
        <v>0</v>
      </c>
      <c r="L34" s="7" t="s">
        <v>246</v>
      </c>
      <c r="R34" s="201"/>
      <c r="S34" s="201"/>
      <c r="T34" s="201"/>
      <c r="U34" s="201"/>
      <c r="V34" s="201"/>
      <c r="W34" s="201"/>
      <c r="X34" s="180"/>
      <c r="Y34" s="201"/>
      <c r="Z34" s="206"/>
      <c r="AB34" s="37"/>
      <c r="AC34" s="37"/>
      <c r="AD34" s="37"/>
      <c r="AE34" s="177"/>
      <c r="AF34" s="37"/>
      <c r="AG34" s="35"/>
      <c r="AH34" s="172"/>
      <c r="AI34" s="37"/>
      <c r="AJ34" s="35"/>
      <c r="AK34" s="172"/>
      <c r="AL34" s="37"/>
    </row>
    <row r="35" spans="1:38" x14ac:dyDescent="0.2">
      <c r="A35" s="4">
        <v>23</v>
      </c>
      <c r="B35" s="258"/>
      <c r="C35" s="8" t="s">
        <v>238</v>
      </c>
      <c r="D35" s="37"/>
      <c r="G35" s="35"/>
      <c r="H35" s="35">
        <v>4.4349999999999996</v>
      </c>
      <c r="I35" s="7" t="s">
        <v>246</v>
      </c>
      <c r="J35" s="35">
        <f t="shared" si="3"/>
        <v>0</v>
      </c>
      <c r="K35" s="35">
        <f t="shared" si="4"/>
        <v>4.4349999999999996</v>
      </c>
      <c r="L35" s="7" t="s">
        <v>246</v>
      </c>
      <c r="R35" s="201"/>
      <c r="S35" s="201"/>
      <c r="T35" s="201"/>
      <c r="U35" s="201"/>
      <c r="V35" s="201"/>
      <c r="W35" s="201"/>
      <c r="X35" s="180"/>
      <c r="Y35" s="201"/>
      <c r="Z35" s="206"/>
      <c r="AB35" s="37"/>
      <c r="AC35" s="37"/>
      <c r="AD35" s="37"/>
      <c r="AE35" s="177"/>
      <c r="AF35" s="37"/>
      <c r="AG35" s="35"/>
      <c r="AH35" s="172"/>
      <c r="AI35" s="37"/>
      <c r="AJ35" s="35"/>
      <c r="AK35" s="172"/>
      <c r="AL35" s="37"/>
    </row>
    <row r="36" spans="1:38" x14ac:dyDescent="0.2">
      <c r="A36" s="4">
        <v>24</v>
      </c>
      <c r="B36" s="258"/>
      <c r="C36" s="8" t="s">
        <v>239</v>
      </c>
      <c r="D36" s="37"/>
      <c r="G36" s="35"/>
      <c r="H36" s="35">
        <v>3.9340000000000002</v>
      </c>
      <c r="I36" s="7" t="s">
        <v>246</v>
      </c>
      <c r="J36" s="35">
        <f t="shared" si="3"/>
        <v>0</v>
      </c>
      <c r="K36" s="35">
        <f t="shared" si="4"/>
        <v>3.9340000000000002</v>
      </c>
      <c r="L36" s="7" t="s">
        <v>246</v>
      </c>
      <c r="R36" s="177"/>
      <c r="S36" s="177"/>
      <c r="T36" s="177"/>
      <c r="U36" s="177"/>
      <c r="V36" s="177"/>
      <c r="W36" s="177"/>
      <c r="X36" s="180"/>
      <c r="Y36" s="177"/>
      <c r="Z36" s="177"/>
      <c r="AB36" s="188"/>
      <c r="AC36" s="9"/>
      <c r="AD36" s="9"/>
      <c r="AE36" s="177"/>
      <c r="AF36" s="177"/>
      <c r="AG36" s="26"/>
      <c r="AH36" s="26"/>
      <c r="AI36" s="37"/>
      <c r="AJ36" s="26"/>
      <c r="AK36" s="26"/>
      <c r="AL36" s="37"/>
    </row>
    <row r="37" spans="1:38" x14ac:dyDescent="0.2">
      <c r="A37" s="4">
        <v>25</v>
      </c>
      <c r="B37" s="258"/>
      <c r="C37" s="7" t="s">
        <v>172</v>
      </c>
      <c r="D37" s="145"/>
      <c r="G37" s="201">
        <v>0.84</v>
      </c>
      <c r="H37" s="201">
        <v>0.84</v>
      </c>
      <c r="I37" s="7" t="s">
        <v>170</v>
      </c>
      <c r="J37" s="201">
        <f t="shared" si="3"/>
        <v>0.84</v>
      </c>
      <c r="K37" s="201">
        <f t="shared" si="4"/>
        <v>0.84</v>
      </c>
      <c r="L37" s="7" t="s">
        <v>170</v>
      </c>
      <c r="R37" s="201"/>
      <c r="S37" s="201"/>
      <c r="T37" s="201"/>
      <c r="U37" s="201"/>
      <c r="V37" s="201"/>
      <c r="W37" s="201"/>
      <c r="X37" s="180"/>
      <c r="Y37" s="201"/>
      <c r="Z37" s="206"/>
      <c r="AB37" s="188"/>
      <c r="AC37" s="9"/>
      <c r="AD37" s="9"/>
      <c r="AE37" s="177"/>
      <c r="AF37" s="177"/>
      <c r="AG37" s="26"/>
      <c r="AH37" s="26"/>
      <c r="AI37" s="37"/>
      <c r="AJ37" s="26"/>
      <c r="AK37" s="26"/>
      <c r="AL37" s="37"/>
    </row>
    <row r="38" spans="1:38" x14ac:dyDescent="0.2">
      <c r="A38" s="4">
        <v>26</v>
      </c>
      <c r="B38" s="258"/>
      <c r="C38" s="7" t="s">
        <v>173</v>
      </c>
      <c r="D38" s="145"/>
      <c r="G38" s="201">
        <v>0.15</v>
      </c>
      <c r="H38" s="201">
        <v>0.15</v>
      </c>
      <c r="I38" s="7" t="s">
        <v>170</v>
      </c>
      <c r="J38" s="201">
        <f t="shared" si="3"/>
        <v>0.15</v>
      </c>
      <c r="K38" s="201">
        <f t="shared" si="4"/>
        <v>0.15</v>
      </c>
      <c r="L38" s="7" t="s">
        <v>170</v>
      </c>
      <c r="R38" s="201"/>
      <c r="S38" s="201"/>
      <c r="T38" s="201"/>
      <c r="U38" s="201"/>
      <c r="V38" s="201"/>
      <c r="W38" s="201"/>
      <c r="X38" s="180"/>
      <c r="Y38" s="201"/>
      <c r="Z38" s="206"/>
      <c r="AB38" s="188"/>
      <c r="AC38" s="9"/>
      <c r="AD38" s="9"/>
      <c r="AE38" s="177"/>
      <c r="AF38" s="177"/>
      <c r="AG38" s="35"/>
      <c r="AH38" s="35"/>
      <c r="AI38" s="37"/>
      <c r="AJ38" s="35"/>
      <c r="AK38" s="35"/>
      <c r="AL38" s="37"/>
    </row>
    <row r="39" spans="1:38" x14ac:dyDescent="0.2">
      <c r="A39" s="4">
        <v>27</v>
      </c>
      <c r="B39" s="258"/>
      <c r="C39" s="7" t="s">
        <v>667</v>
      </c>
      <c r="D39" s="145"/>
      <c r="G39" s="201">
        <v>0.89</v>
      </c>
      <c r="H39" s="201">
        <v>0.89</v>
      </c>
      <c r="I39" s="7" t="s">
        <v>170</v>
      </c>
      <c r="J39" s="201">
        <f t="shared" si="3"/>
        <v>0.89</v>
      </c>
      <c r="K39" s="201">
        <f t="shared" si="4"/>
        <v>0.89</v>
      </c>
      <c r="L39" s="7" t="s">
        <v>170</v>
      </c>
      <c r="R39" s="201"/>
      <c r="S39" s="201"/>
      <c r="T39" s="201"/>
      <c r="U39" s="201"/>
      <c r="V39" s="201"/>
      <c r="W39" s="201"/>
      <c r="X39" s="180"/>
      <c r="Y39" s="201"/>
      <c r="Z39" s="206"/>
      <c r="AB39" s="37"/>
      <c r="AC39" s="37"/>
      <c r="AD39" s="37"/>
      <c r="AE39" s="37"/>
      <c r="AF39" s="37"/>
      <c r="AG39" s="9"/>
      <c r="AH39" s="9"/>
      <c r="AI39" s="9"/>
      <c r="AJ39" s="26"/>
      <c r="AK39" s="26"/>
      <c r="AL39" s="37"/>
    </row>
    <row r="40" spans="1:38" x14ac:dyDescent="0.2">
      <c r="A40" s="4"/>
      <c r="B40" s="258"/>
      <c r="C40" s="7" t="s">
        <v>174</v>
      </c>
      <c r="D40" s="145"/>
      <c r="G40" s="35">
        <v>0.123</v>
      </c>
      <c r="H40" s="35">
        <v>0.123</v>
      </c>
      <c r="I40" s="7" t="s">
        <v>246</v>
      </c>
      <c r="J40" s="35">
        <f t="shared" si="3"/>
        <v>0.123</v>
      </c>
      <c r="K40" s="35">
        <f t="shared" si="4"/>
        <v>0.123</v>
      </c>
      <c r="L40" s="7" t="s">
        <v>246</v>
      </c>
      <c r="R40" s="201"/>
      <c r="S40" s="201"/>
      <c r="T40" s="201"/>
      <c r="U40" s="201"/>
      <c r="V40" s="201"/>
      <c r="W40" s="201"/>
      <c r="X40" s="180"/>
      <c r="Y40" s="201"/>
      <c r="Z40" s="206"/>
      <c r="AB40" s="37"/>
      <c r="AC40" s="37"/>
      <c r="AD40" s="37"/>
      <c r="AE40" s="37"/>
      <c r="AF40" s="37"/>
      <c r="AG40" s="9"/>
      <c r="AH40" s="9"/>
      <c r="AI40" s="9"/>
      <c r="AJ40" s="26"/>
      <c r="AK40" s="26"/>
      <c r="AL40" s="37"/>
    </row>
    <row r="41" spans="1:38" x14ac:dyDescent="0.2">
      <c r="A41" s="4">
        <v>28</v>
      </c>
      <c r="C41" s="7" t="s">
        <v>527</v>
      </c>
      <c r="D41" s="145"/>
      <c r="G41" s="26">
        <v>0.53</v>
      </c>
      <c r="H41" s="26">
        <v>0.53</v>
      </c>
      <c r="I41" s="7" t="s">
        <v>170</v>
      </c>
      <c r="J41" s="26">
        <f t="shared" si="3"/>
        <v>0.53</v>
      </c>
      <c r="K41" s="26">
        <f t="shared" si="4"/>
        <v>0.53</v>
      </c>
      <c r="L41" s="7" t="s">
        <v>170</v>
      </c>
      <c r="W41" s="177"/>
      <c r="X41" s="177"/>
      <c r="Y41" s="177"/>
      <c r="Z41" s="177"/>
      <c r="AB41" s="188"/>
      <c r="AC41" s="9"/>
      <c r="AD41" s="9"/>
      <c r="AE41" s="178"/>
      <c r="AF41" s="37"/>
      <c r="AG41" s="178"/>
      <c r="AH41" s="178"/>
      <c r="AI41" s="37"/>
      <c r="AJ41" s="178"/>
      <c r="AK41" s="178"/>
      <c r="AL41" s="37"/>
    </row>
    <row r="42" spans="1:38" x14ac:dyDescent="0.2">
      <c r="A42" s="4">
        <v>29</v>
      </c>
      <c r="B42" s="258"/>
      <c r="C42" s="4" t="s">
        <v>655</v>
      </c>
      <c r="G42" s="27">
        <v>0</v>
      </c>
      <c r="H42" s="27">
        <v>0</v>
      </c>
      <c r="I42" s="4" t="s">
        <v>60</v>
      </c>
      <c r="J42" s="27">
        <f t="shared" si="3"/>
        <v>0</v>
      </c>
      <c r="K42" s="27">
        <f t="shared" si="4"/>
        <v>0</v>
      </c>
      <c r="L42" s="4" t="s">
        <v>60</v>
      </c>
      <c r="R42" s="201"/>
      <c r="S42" s="201"/>
      <c r="T42" s="201"/>
      <c r="U42" s="201"/>
      <c r="V42" s="201"/>
      <c r="W42" s="201"/>
      <c r="X42" s="180"/>
      <c r="Y42" s="201"/>
      <c r="Z42" s="206"/>
      <c r="AB42" s="188"/>
      <c r="AC42" s="37"/>
      <c r="AD42" s="37"/>
      <c r="AE42" s="37"/>
      <c r="AF42" s="37"/>
      <c r="AG42" s="37"/>
      <c r="AH42" s="37"/>
      <c r="AI42" s="37"/>
      <c r="AJ42" s="179"/>
      <c r="AK42" s="179"/>
      <c r="AL42" s="37"/>
    </row>
    <row r="43" spans="1:38" x14ac:dyDescent="0.2">
      <c r="A43" s="4">
        <v>30</v>
      </c>
      <c r="B43" s="258"/>
      <c r="R43" s="201"/>
      <c r="S43" s="201"/>
      <c r="T43" s="201"/>
      <c r="U43" s="201"/>
      <c r="V43" s="201"/>
      <c r="W43" s="201"/>
      <c r="X43" s="180"/>
      <c r="Y43" s="201"/>
      <c r="Z43" s="206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x14ac:dyDescent="0.2">
      <c r="A44" s="4">
        <v>31</v>
      </c>
      <c r="B44" s="258"/>
      <c r="R44" s="201"/>
      <c r="S44" s="201"/>
      <c r="T44" s="201"/>
      <c r="U44" s="201"/>
      <c r="V44" s="201"/>
      <c r="W44" s="201"/>
      <c r="X44" s="180"/>
      <c r="Y44" s="201"/>
      <c r="Z44" s="206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x14ac:dyDescent="0.2">
      <c r="A45" s="4">
        <v>32</v>
      </c>
      <c r="C45" s="177" t="s">
        <v>176</v>
      </c>
      <c r="W45" s="177"/>
      <c r="X45" s="177"/>
      <c r="Y45" s="177"/>
      <c r="Z45" s="177"/>
      <c r="AG45" s="85"/>
    </row>
    <row r="46" spans="1:38" x14ac:dyDescent="0.2">
      <c r="A46" s="4">
        <v>33</v>
      </c>
      <c r="C46" s="177" t="s">
        <v>247</v>
      </c>
      <c r="W46" s="177"/>
      <c r="X46" s="177"/>
      <c r="Y46" s="177"/>
      <c r="Z46" s="177"/>
      <c r="AG46" s="82"/>
    </row>
    <row r="47" spans="1:38" x14ac:dyDescent="0.2">
      <c r="A47" s="4">
        <v>34</v>
      </c>
      <c r="B47" s="251"/>
      <c r="C47" s="177" t="s">
        <v>394</v>
      </c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38" x14ac:dyDescent="0.2">
      <c r="A48" s="4">
        <v>35</v>
      </c>
      <c r="B48" s="251"/>
      <c r="C48" s="177" t="s">
        <v>252</v>
      </c>
      <c r="S48" s="177"/>
      <c r="T48" s="177"/>
      <c r="U48" s="177"/>
      <c r="V48" s="177"/>
      <c r="W48" s="177"/>
      <c r="X48" s="177"/>
      <c r="Y48" s="177"/>
      <c r="Z48" s="177"/>
      <c r="AG48" s="82"/>
    </row>
    <row r="49" spans="1:34" x14ac:dyDescent="0.2">
      <c r="A49" s="4">
        <v>36</v>
      </c>
      <c r="B49" s="251"/>
      <c r="C49" s="177" t="s">
        <v>395</v>
      </c>
      <c r="S49" s="177"/>
      <c r="T49" s="177"/>
      <c r="U49" s="177"/>
      <c r="V49" s="177"/>
      <c r="W49" s="177"/>
      <c r="X49" s="177"/>
      <c r="Y49" s="177"/>
      <c r="Z49" s="177"/>
      <c r="AG49" s="82"/>
      <c r="AH49" s="82"/>
    </row>
    <row r="50" spans="1:34" x14ac:dyDescent="0.2">
      <c r="A50" s="4">
        <v>37</v>
      </c>
      <c r="B50" s="251"/>
      <c r="C50" s="177" t="s">
        <v>757</v>
      </c>
      <c r="S50" s="177"/>
      <c r="T50" s="177"/>
      <c r="U50" s="177"/>
      <c r="V50" s="177"/>
      <c r="W50" s="177"/>
      <c r="X50" s="177"/>
      <c r="Y50" s="177"/>
      <c r="Z50" s="177"/>
      <c r="AH50" s="82"/>
    </row>
    <row r="51" spans="1:34" x14ac:dyDescent="0.2">
      <c r="A51" s="4">
        <v>38</v>
      </c>
      <c r="B51" s="251"/>
      <c r="N51" s="177"/>
      <c r="O51" s="177"/>
      <c r="P51" s="177"/>
      <c r="S51" s="177"/>
      <c r="T51" s="177"/>
      <c r="U51" s="177"/>
      <c r="V51" s="177"/>
      <c r="W51" s="177"/>
      <c r="X51" s="177"/>
      <c r="Y51" s="177"/>
      <c r="Z51" s="177"/>
    </row>
    <row r="52" spans="1:34" x14ac:dyDescent="0.2">
      <c r="A52" s="4">
        <v>39</v>
      </c>
      <c r="B52" s="9"/>
      <c r="N52" s="6"/>
      <c r="O52" s="6"/>
      <c r="P52" s="177"/>
      <c r="S52" s="6"/>
      <c r="T52" s="6"/>
      <c r="U52" s="6"/>
      <c r="V52" s="6"/>
      <c r="W52" s="6"/>
      <c r="X52" s="6"/>
      <c r="Y52" s="6"/>
      <c r="Z52" s="6"/>
    </row>
    <row r="53" spans="1:34" x14ac:dyDescent="0.2">
      <c r="A53" s="4">
        <v>40</v>
      </c>
      <c r="B53" s="9"/>
      <c r="C53" s="177"/>
      <c r="N53" s="6"/>
      <c r="O53" s="6"/>
      <c r="P53" s="177"/>
      <c r="S53" s="6"/>
      <c r="T53" s="6"/>
      <c r="U53" s="6"/>
      <c r="V53" s="6"/>
      <c r="W53" s="6"/>
      <c r="X53" s="6"/>
      <c r="Y53" s="6"/>
      <c r="Z53" s="6"/>
    </row>
    <row r="54" spans="1:34" ht="13.5" thickBot="1" x14ac:dyDescent="0.25">
      <c r="A54" s="16">
        <v>41</v>
      </c>
      <c r="B54" s="16"/>
      <c r="C54" s="81"/>
      <c r="D54" s="81"/>
      <c r="E54" s="81"/>
      <c r="F54" s="81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81"/>
    </row>
    <row r="55" spans="1:34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34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292" t="s">
        <v>768</v>
      </c>
      <c r="L56" s="292"/>
      <c r="M56" s="292"/>
      <c r="N56" s="292"/>
      <c r="O56" s="292"/>
      <c r="P56" s="292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34" ht="13.5" thickBot="1" x14ac:dyDescent="0.25">
      <c r="A57" s="16" t="s">
        <v>143</v>
      </c>
      <c r="B57" s="16"/>
      <c r="C57" s="16"/>
      <c r="D57" s="16"/>
      <c r="E57" s="16"/>
      <c r="F57" s="16"/>
      <c r="G57" s="16"/>
      <c r="H57" s="16"/>
      <c r="I57" s="16"/>
      <c r="J57" s="16"/>
      <c r="K57" s="16" t="s">
        <v>144</v>
      </c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300" t="s">
        <v>601</v>
      </c>
      <c r="Z57" s="300"/>
      <c r="AA57" s="81"/>
    </row>
    <row r="58" spans="1:34" x14ac:dyDescent="0.2">
      <c r="A58" s="9" t="s">
        <v>21</v>
      </c>
      <c r="B58" s="9"/>
      <c r="C58" s="9"/>
      <c r="D58" s="9"/>
      <c r="E58" s="9"/>
      <c r="F58" s="9"/>
      <c r="G58" s="9"/>
      <c r="H58" s="9"/>
      <c r="I58" s="9" t="s">
        <v>758</v>
      </c>
      <c r="J58" s="9"/>
      <c r="K58" s="9"/>
      <c r="L58" s="9" t="s">
        <v>145</v>
      </c>
      <c r="M58" s="20"/>
      <c r="N58" s="20"/>
      <c r="O58" s="20"/>
      <c r="P58" s="9"/>
      <c r="Q58" s="20"/>
      <c r="R58" s="20"/>
      <c r="S58" s="20"/>
      <c r="T58" s="20"/>
      <c r="U58" s="20"/>
      <c r="V58" s="20"/>
      <c r="W58" s="20" t="s">
        <v>30</v>
      </c>
      <c r="X58" s="9"/>
      <c r="Y58" s="9"/>
      <c r="Z58" s="20"/>
    </row>
    <row r="59" spans="1:34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21"/>
      <c r="N59" s="22"/>
      <c r="O59" s="22"/>
      <c r="P59" s="4"/>
      <c r="Q59" s="4"/>
      <c r="R59" s="4"/>
      <c r="S59" s="4"/>
      <c r="T59" s="4"/>
      <c r="U59" s="4"/>
      <c r="V59" s="21"/>
      <c r="W59" s="21"/>
      <c r="X59" s="22" t="s">
        <v>754</v>
      </c>
      <c r="Y59" s="4"/>
      <c r="Z59" s="70"/>
    </row>
    <row r="60" spans="1:34" x14ac:dyDescent="0.2">
      <c r="A60" s="4" t="s">
        <v>29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21"/>
      <c r="N60" s="22"/>
      <c r="O60" s="22"/>
      <c r="P60" s="21"/>
      <c r="Q60" s="4"/>
      <c r="R60" s="4"/>
      <c r="S60" s="4"/>
      <c r="T60" s="4"/>
      <c r="U60" s="4"/>
      <c r="V60" s="4"/>
      <c r="W60" s="22"/>
      <c r="X60" s="22" t="s">
        <v>755</v>
      </c>
      <c r="Y60" s="4"/>
      <c r="Z60" s="70"/>
    </row>
    <row r="61" spans="1:34" x14ac:dyDescent="0.2">
      <c r="A61" s="4"/>
      <c r="B61" s="4"/>
      <c r="C61" s="4"/>
      <c r="D61" s="4"/>
      <c r="E61" s="4"/>
      <c r="F61" s="4"/>
      <c r="G61" s="4"/>
      <c r="I61" s="296" t="s">
        <v>658</v>
      </c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83"/>
      <c r="U61" s="4"/>
      <c r="V61" s="4"/>
      <c r="W61" s="21"/>
      <c r="X61" s="22"/>
      <c r="Y61" s="4"/>
      <c r="Z61" s="70"/>
    </row>
    <row r="62" spans="1:34" ht="13.5" thickBo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51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 t="s">
        <v>738</v>
      </c>
      <c r="Y62" s="16"/>
      <c r="Z62" s="16"/>
      <c r="AA62" s="81"/>
    </row>
    <row r="63" spans="1:34" x14ac:dyDescent="0.2">
      <c r="A63" s="4"/>
      <c r="B63" s="297" t="s">
        <v>235</v>
      </c>
      <c r="C63" s="297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34" x14ac:dyDescent="0.2">
      <c r="A64" s="4"/>
      <c r="B64" s="298" t="s">
        <v>572</v>
      </c>
      <c r="C64" s="298"/>
      <c r="D64" s="294" t="s">
        <v>263</v>
      </c>
      <c r="E64" s="294"/>
      <c r="F64" s="294"/>
      <c r="G64" s="294"/>
      <c r="H64" s="294"/>
      <c r="I64" s="294"/>
      <c r="J64" s="294"/>
      <c r="K64" s="294"/>
      <c r="L64" s="294"/>
      <c r="M64" s="294"/>
      <c r="N64" s="294" t="s">
        <v>368</v>
      </c>
      <c r="O64" s="294"/>
      <c r="P64" s="294"/>
      <c r="Q64" s="294"/>
      <c r="R64" s="294"/>
      <c r="S64" s="294"/>
      <c r="T64" s="294"/>
      <c r="U64" s="294"/>
      <c r="V64" s="294"/>
      <c r="X64" s="299" t="s">
        <v>234</v>
      </c>
      <c r="Y64" s="299"/>
      <c r="Z64" s="299" t="s">
        <v>146</v>
      </c>
      <c r="AA64" s="299"/>
    </row>
    <row r="65" spans="1:28" x14ac:dyDescent="0.2">
      <c r="A65" s="4"/>
      <c r="B65" s="148" t="s">
        <v>22</v>
      </c>
      <c r="C65" s="13" t="s">
        <v>23</v>
      </c>
      <c r="D65" s="23" t="s">
        <v>24</v>
      </c>
      <c r="E65" s="14" t="s">
        <v>25</v>
      </c>
      <c r="F65" s="14" t="s">
        <v>18</v>
      </c>
      <c r="G65" s="14" t="s">
        <v>19</v>
      </c>
      <c r="H65" s="14" t="s">
        <v>147</v>
      </c>
      <c r="I65" s="36" t="s">
        <v>148</v>
      </c>
      <c r="J65" s="14" t="s">
        <v>149</v>
      </c>
      <c r="K65" s="14" t="s">
        <v>150</v>
      </c>
      <c r="L65" s="36" t="s">
        <v>151</v>
      </c>
      <c r="M65" s="2" t="s">
        <v>152</v>
      </c>
      <c r="N65" s="14" t="s">
        <v>153</v>
      </c>
      <c r="O65" s="14" t="s">
        <v>154</v>
      </c>
      <c r="P65" s="14" t="s">
        <v>155</v>
      </c>
      <c r="Q65" s="14" t="s">
        <v>156</v>
      </c>
      <c r="R65" s="14" t="s">
        <v>157</v>
      </c>
      <c r="S65" s="36" t="s">
        <v>158</v>
      </c>
      <c r="T65" s="36" t="s">
        <v>180</v>
      </c>
      <c r="U65" s="36" t="s">
        <v>74</v>
      </c>
      <c r="V65" s="36" t="s">
        <v>248</v>
      </c>
      <c r="W65" s="2" t="s">
        <v>264</v>
      </c>
      <c r="X65" s="36" t="s">
        <v>531</v>
      </c>
      <c r="Y65" s="52" t="s">
        <v>614</v>
      </c>
      <c r="Z65" s="10" t="s">
        <v>670</v>
      </c>
      <c r="AA65" s="57" t="s">
        <v>744</v>
      </c>
    </row>
    <row r="66" spans="1:28" x14ac:dyDescent="0.2">
      <c r="A66" s="4" t="s">
        <v>26</v>
      </c>
      <c r="B66" s="149" t="s">
        <v>159</v>
      </c>
      <c r="C66" s="145"/>
      <c r="D66" s="24" t="s">
        <v>160</v>
      </c>
      <c r="E66" s="13" t="s">
        <v>249</v>
      </c>
      <c r="F66" s="13" t="s">
        <v>161</v>
      </c>
      <c r="G66" s="145" t="s">
        <v>162</v>
      </c>
      <c r="H66" s="3" t="s">
        <v>163</v>
      </c>
      <c r="I66" s="3" t="s">
        <v>668</v>
      </c>
      <c r="J66" s="3" t="s">
        <v>526</v>
      </c>
      <c r="K66" s="3" t="s">
        <v>175</v>
      </c>
      <c r="L66" s="3" t="s">
        <v>179</v>
      </c>
      <c r="M66" s="25" t="s">
        <v>35</v>
      </c>
      <c r="N66" s="13" t="s">
        <v>160</v>
      </c>
      <c r="O66" s="13" t="s">
        <v>249</v>
      </c>
      <c r="P66" s="13" t="s">
        <v>161</v>
      </c>
      <c r="Q66" s="3" t="s">
        <v>162</v>
      </c>
      <c r="R66" s="3" t="s">
        <v>163</v>
      </c>
      <c r="S66" s="3" t="s">
        <v>175</v>
      </c>
      <c r="T66" s="3" t="s">
        <v>668</v>
      </c>
      <c r="U66" s="3" t="s">
        <v>526</v>
      </c>
      <c r="V66" s="13" t="s">
        <v>179</v>
      </c>
      <c r="W66" s="25" t="s">
        <v>35</v>
      </c>
      <c r="X66" s="3" t="s">
        <v>164</v>
      </c>
      <c r="Y66" s="25" t="s">
        <v>165</v>
      </c>
      <c r="Z66" s="148" t="s">
        <v>166</v>
      </c>
      <c r="AA66" s="58" t="s">
        <v>250</v>
      </c>
    </row>
    <row r="67" spans="1:28" ht="13.5" thickBot="1" x14ac:dyDescent="0.25">
      <c r="A67" s="16" t="s">
        <v>28</v>
      </c>
      <c r="B67" s="250" t="s">
        <v>167</v>
      </c>
      <c r="C67" s="194" t="s">
        <v>168</v>
      </c>
      <c r="D67" s="195" t="s">
        <v>137</v>
      </c>
      <c r="E67" s="15" t="s">
        <v>251</v>
      </c>
      <c r="F67" s="17" t="s">
        <v>169</v>
      </c>
      <c r="G67" s="194" t="s">
        <v>169</v>
      </c>
      <c r="H67" s="17" t="s">
        <v>169</v>
      </c>
      <c r="I67" s="17" t="s">
        <v>669</v>
      </c>
      <c r="J67" s="17" t="s">
        <v>169</v>
      </c>
      <c r="K67" s="194" t="s">
        <v>169</v>
      </c>
      <c r="L67" s="194" t="s">
        <v>169</v>
      </c>
      <c r="M67" s="196"/>
      <c r="N67" s="17" t="s">
        <v>137</v>
      </c>
      <c r="O67" s="15" t="s">
        <v>251</v>
      </c>
      <c r="P67" s="17" t="s">
        <v>169</v>
      </c>
      <c r="Q67" s="17" t="s">
        <v>169</v>
      </c>
      <c r="R67" s="17" t="s">
        <v>169</v>
      </c>
      <c r="S67" s="17" t="s">
        <v>169</v>
      </c>
      <c r="T67" s="17" t="s">
        <v>669</v>
      </c>
      <c r="U67" s="17" t="s">
        <v>169</v>
      </c>
      <c r="V67" s="17" t="s">
        <v>169</v>
      </c>
      <c r="W67" s="196"/>
      <c r="X67" s="195" t="s">
        <v>745</v>
      </c>
      <c r="Y67" s="196" t="s">
        <v>746</v>
      </c>
      <c r="Z67" s="151" t="s">
        <v>747</v>
      </c>
      <c r="AA67" s="59" t="s">
        <v>748</v>
      </c>
    </row>
    <row r="68" spans="1:28" x14ac:dyDescent="0.2">
      <c r="A68" s="4">
        <v>1</v>
      </c>
      <c r="B68" s="255">
        <v>500</v>
      </c>
      <c r="C68" s="177">
        <f>+B68*730*0.35</f>
        <v>127749.99999999999</v>
      </c>
      <c r="D68" s="248">
        <f>+$G$82+$B68*$G$83+($C68*$G$86)/100</f>
        <v>8450.505000000001</v>
      </c>
      <c r="E68" s="179">
        <f>+$B68*$J$97*0.35*0.99</f>
        <v>0</v>
      </c>
      <c r="F68" s="179">
        <f>+$C68*$G$89/100</f>
        <v>5164.932499999999</v>
      </c>
      <c r="G68" s="179">
        <f>+$B68*$G$92</f>
        <v>370</v>
      </c>
      <c r="H68" s="179">
        <f>+$B68*$G$93</f>
        <v>65</v>
      </c>
      <c r="I68" s="179">
        <f>+$C68*$G$95/100</f>
        <v>153.29999999999998</v>
      </c>
      <c r="J68" s="179">
        <f>+$B68*$G$94</f>
        <v>165</v>
      </c>
      <c r="K68" s="179">
        <f>+$B68*$G$96</f>
        <v>30</v>
      </c>
      <c r="L68" s="179">
        <f>+SUM(D68:K68)*0.025641</f>
        <v>369.19802823750001</v>
      </c>
      <c r="M68" s="179">
        <f>SUM(D68:L68)</f>
        <v>14767.9355282375</v>
      </c>
      <c r="N68" s="197">
        <f>+$J$82+$B68*$J$83+($C68*$J$86)/100</f>
        <v>8517.7857499999991</v>
      </c>
      <c r="O68" s="179">
        <f>+$B68*$J$97*0.35*0.99</f>
        <v>0</v>
      </c>
      <c r="P68" s="179">
        <f>+$C68*$J$89/100</f>
        <v>5164.932499999999</v>
      </c>
      <c r="Q68" s="179">
        <f>+$B68*$J$92</f>
        <v>370</v>
      </c>
      <c r="R68" s="179">
        <f>+$B68*$J$93</f>
        <v>65</v>
      </c>
      <c r="S68" s="179">
        <f>+$C68*$J$95/100</f>
        <v>153.29999999999998</v>
      </c>
      <c r="T68" s="179">
        <f>+$B68*$J$94</f>
        <v>165</v>
      </c>
      <c r="U68" s="179">
        <f>+$B68*$J$96</f>
        <v>30</v>
      </c>
      <c r="V68" s="179">
        <f>+SUM(N68:U68)*0.025641</f>
        <v>370.92317394824994</v>
      </c>
      <c r="W68" s="179">
        <f>SUM(N68:V68)</f>
        <v>14836.941423948247</v>
      </c>
      <c r="X68" s="233">
        <f>W68-M68</f>
        <v>69.005895710746699</v>
      </c>
      <c r="Y68" s="180">
        <f>+X68/M68</f>
        <v>4.6726839766331445E-3</v>
      </c>
      <c r="Z68" s="205">
        <f>+M68/C68 *100</f>
        <v>11.560027810753425</v>
      </c>
      <c r="AA68" s="234">
        <f>+W68/C68*100</f>
        <v>11.614044167474168</v>
      </c>
    </row>
    <row r="69" spans="1:28" x14ac:dyDescent="0.2">
      <c r="A69" s="4">
        <v>2</v>
      </c>
      <c r="B69" s="255">
        <v>500</v>
      </c>
      <c r="C69" s="177">
        <f>+B69*730*0.6</f>
        <v>219000</v>
      </c>
      <c r="D69" s="233">
        <f>+$G$82+$B69*$G$83+($C69*$G$86)/100</f>
        <v>9492.58</v>
      </c>
      <c r="E69" s="179">
        <f>+$B69*$J$97*0.6*0.99</f>
        <v>0</v>
      </c>
      <c r="F69" s="179">
        <f>+$C69*$G$89/100</f>
        <v>8854.17</v>
      </c>
      <c r="G69" s="179">
        <f>+$B69*$G$92</f>
        <v>370</v>
      </c>
      <c r="H69" s="179">
        <f>+$B69*$G$93</f>
        <v>65</v>
      </c>
      <c r="I69" s="179">
        <f>+$C69*$G$95/100</f>
        <v>262.8</v>
      </c>
      <c r="J69" s="179">
        <f>+$B69*$G$94</f>
        <v>165</v>
      </c>
      <c r="K69" s="179">
        <f>+$B69*$G$96</f>
        <v>30</v>
      </c>
      <c r="L69" s="179">
        <f>+SUM(D69:K69)*0.025641</f>
        <v>493.32130154999999</v>
      </c>
      <c r="M69" s="179">
        <f>SUM(D69:L69)</f>
        <v>19732.87130155</v>
      </c>
      <c r="N69" s="189">
        <f>+$J$82+$B69*$J$83+($C69*$J$86)/100</f>
        <v>9568.3469999999998</v>
      </c>
      <c r="O69" s="179">
        <f>+$B69*$J$97*0.6*0.99</f>
        <v>0</v>
      </c>
      <c r="P69" s="179">
        <f>+$C69*$J$89/100</f>
        <v>8854.17</v>
      </c>
      <c r="Q69" s="179">
        <f>+$B69*$J$92</f>
        <v>370</v>
      </c>
      <c r="R69" s="179">
        <f>+$B69*$J$93</f>
        <v>65</v>
      </c>
      <c r="S69" s="179">
        <f>+$C69*$J$95/100</f>
        <v>262.8</v>
      </c>
      <c r="T69" s="179">
        <f>+$B69*$J$94</f>
        <v>165</v>
      </c>
      <c r="U69" s="179">
        <f>+$B69*$J$96</f>
        <v>30</v>
      </c>
      <c r="V69" s="179">
        <f>+SUM(N69:U69)*0.025641</f>
        <v>495.26404319699998</v>
      </c>
      <c r="W69" s="179">
        <f>SUM(N69:V69)</f>
        <v>19810.581043196999</v>
      </c>
      <c r="X69" s="233">
        <f>+W69-M69</f>
        <v>77.709741646998737</v>
      </c>
      <c r="Y69" s="180">
        <f>+X69/M69</f>
        <v>3.9380858699916976E-3</v>
      </c>
      <c r="Z69" s="208">
        <f>+M69/C69 *100</f>
        <v>9.0104435166894987</v>
      </c>
      <c r="AA69" s="234">
        <f>+W69/C69*100</f>
        <v>9.0459274169849309</v>
      </c>
    </row>
    <row r="70" spans="1:28" x14ac:dyDescent="0.2">
      <c r="A70" s="4">
        <v>3</v>
      </c>
      <c r="B70" s="255">
        <v>500</v>
      </c>
      <c r="C70" s="177">
        <f>+B70*730*0.9</f>
        <v>328500</v>
      </c>
      <c r="D70" s="233">
        <f>+$H$82+($B70*$H$84+$B70*$H85)+$C70/100*$H$87*0.25+$C70/100*H88*0.75</f>
        <v>10739.567500000001</v>
      </c>
      <c r="E70" s="179">
        <f>+$B70*$K$97*0.9*0.99</f>
        <v>0</v>
      </c>
      <c r="F70" s="179">
        <f>+$C70*$H$90/100*0.25+$C70*$H$91/100*0.75</f>
        <v>13201.593750000002</v>
      </c>
      <c r="G70" s="179">
        <f>+$B70*$H$92</f>
        <v>370</v>
      </c>
      <c r="H70" s="179">
        <f>+$B70*$H$93</f>
        <v>65</v>
      </c>
      <c r="I70" s="179">
        <f>+$C70*$H$95/100</f>
        <v>394.2</v>
      </c>
      <c r="J70" s="179">
        <f>+$B70*$G$94</f>
        <v>165</v>
      </c>
      <c r="K70" s="179">
        <f>+$B70*$H$96</f>
        <v>30</v>
      </c>
      <c r="L70" s="179">
        <f>+SUM(D70:K70)*0.025641</f>
        <v>640.1368278112501</v>
      </c>
      <c r="M70" s="179">
        <f>SUM(D70:L70)</f>
        <v>25605.498077811255</v>
      </c>
      <c r="N70" s="189">
        <f>+$K$82+($B70*$K$84+$B70*$K85)+$C70/100*$K$87*0.25+$C70/100*K88*0.75</f>
        <v>10825.5919125</v>
      </c>
      <c r="O70" s="179">
        <f>+$B70*$K$97*0.9*0.99</f>
        <v>0</v>
      </c>
      <c r="P70" s="179">
        <f>+$C70*$K$90/100*0.25+$C70*$K$91/100*0.75</f>
        <v>13201.593750000002</v>
      </c>
      <c r="Q70" s="179">
        <f>+$B70*$K$92</f>
        <v>370</v>
      </c>
      <c r="R70" s="179">
        <f>+$B70*$K$93</f>
        <v>65</v>
      </c>
      <c r="S70" s="179">
        <f>+$C70*$K$95/100</f>
        <v>394.2</v>
      </c>
      <c r="T70" s="179">
        <f>+$B70*$J$94</f>
        <v>165</v>
      </c>
      <c r="U70" s="179">
        <f>+$B70*$K$96</f>
        <v>30</v>
      </c>
      <c r="V70" s="179">
        <f>+SUM(N70:U70)*0.025641</f>
        <v>642.34257977216248</v>
      </c>
      <c r="W70" s="179">
        <f>SUM(N70:V70)</f>
        <v>25693.728242272162</v>
      </c>
      <c r="X70" s="233">
        <f>+W70-M70</f>
        <v>88.230164460906963</v>
      </c>
      <c r="Y70" s="180">
        <f>+X70/M70</f>
        <v>3.4457507599652531E-3</v>
      </c>
      <c r="Z70" s="208">
        <f>+M70/C70 *100</f>
        <v>7.7946721698055565</v>
      </c>
      <c r="AA70" s="234">
        <f>+W70/C70*100</f>
        <v>7.8215306673583456</v>
      </c>
    </row>
    <row r="71" spans="1:28" x14ac:dyDescent="0.2">
      <c r="A71" s="4">
        <v>4</v>
      </c>
      <c r="D71" s="262"/>
      <c r="E71" s="256"/>
      <c r="F71" s="261"/>
      <c r="G71" s="261"/>
      <c r="H71" s="261"/>
      <c r="I71" s="261"/>
      <c r="J71" s="261"/>
      <c r="K71" s="179"/>
      <c r="L71" s="179"/>
      <c r="M71" s="261"/>
      <c r="N71" s="288"/>
      <c r="O71" s="256"/>
      <c r="P71" s="261"/>
      <c r="Q71" s="261"/>
      <c r="R71" s="261"/>
      <c r="S71" s="261"/>
      <c r="T71" s="261"/>
      <c r="U71" s="179"/>
      <c r="V71" s="179"/>
      <c r="W71" s="261"/>
      <c r="X71" s="233"/>
      <c r="Y71" s="180"/>
      <c r="Z71" s="209"/>
      <c r="AA71" s="235"/>
      <c r="AB71" s="187"/>
    </row>
    <row r="72" spans="1:28" x14ac:dyDescent="0.2">
      <c r="A72" s="4">
        <v>5</v>
      </c>
      <c r="B72" s="257">
        <v>1000</v>
      </c>
      <c r="C72" s="177">
        <f>+B72*730*0.35</f>
        <v>255499.99999999997</v>
      </c>
      <c r="D72" s="233">
        <f>+$G$82+$B72*$G$83+($C72*$G$86)/100</f>
        <v>14404.41</v>
      </c>
      <c r="E72" s="179">
        <f>+$B72*$J$97*0.35*0.99</f>
        <v>0</v>
      </c>
      <c r="F72" s="179">
        <f>+$C72*$G$89/100</f>
        <v>10329.864999999998</v>
      </c>
      <c r="G72" s="179">
        <f>+$B72*$G$92</f>
        <v>740</v>
      </c>
      <c r="H72" s="179">
        <f>+$B72*$G$93</f>
        <v>130</v>
      </c>
      <c r="I72" s="179">
        <f>+$C72*$G$95/100</f>
        <v>306.59999999999997</v>
      </c>
      <c r="J72" s="179">
        <f>+$B72*$G$94</f>
        <v>330</v>
      </c>
      <c r="K72" s="179">
        <f>+$B72*$G$96</f>
        <v>60</v>
      </c>
      <c r="L72" s="179">
        <f>+SUM(D72:K72)*0.025641</f>
        <v>674.38073587499991</v>
      </c>
      <c r="M72" s="179">
        <f>SUM(D72:L72)</f>
        <v>26975.255735874995</v>
      </c>
      <c r="N72" s="189">
        <f>+$J$82+$B72*$J$83+($C72*$J$86)/100</f>
        <v>14518.5715</v>
      </c>
      <c r="O72" s="179">
        <f>+$B72*$J$97*0.35*0.99</f>
        <v>0</v>
      </c>
      <c r="P72" s="179">
        <f>+$C72*$J$89/100</f>
        <v>10329.864999999998</v>
      </c>
      <c r="Q72" s="179">
        <f>+$B72*$J$92</f>
        <v>740</v>
      </c>
      <c r="R72" s="179">
        <f>+$B72*$J$93</f>
        <v>130</v>
      </c>
      <c r="S72" s="179">
        <f>+$C72*$J$95/100</f>
        <v>306.59999999999997</v>
      </c>
      <c r="T72" s="179">
        <f>+$B72*$J$94</f>
        <v>330</v>
      </c>
      <c r="U72" s="179">
        <f>+$B72*$J$96</f>
        <v>60</v>
      </c>
      <c r="V72" s="179">
        <f>+SUM(N72:U72)*0.025641</f>
        <v>677.30795089649985</v>
      </c>
      <c r="W72" s="179">
        <f>SUM(N72:V72)</f>
        <v>27092.344450896493</v>
      </c>
      <c r="X72" s="233">
        <f>+W72-M72</f>
        <v>117.0887150214985</v>
      </c>
      <c r="Y72" s="180">
        <f>+X72/M72</f>
        <v>4.3405970333686072E-3</v>
      </c>
      <c r="Z72" s="208">
        <f>+M72/C72 *100</f>
        <v>10.557830033610568</v>
      </c>
      <c r="AA72" s="234">
        <f>+W72/C72*100</f>
        <v>10.603657319333266</v>
      </c>
      <c r="AB72" s="83"/>
    </row>
    <row r="73" spans="1:28" x14ac:dyDescent="0.2">
      <c r="A73" s="4">
        <v>6</v>
      </c>
      <c r="B73" s="257">
        <v>1000</v>
      </c>
      <c r="C73" s="177">
        <f>+B73*730*0.6</f>
        <v>438000</v>
      </c>
      <c r="D73" s="233">
        <f>+$G$82+$B73*$G$83+($C73*$G$86)/100</f>
        <v>16488.559999999998</v>
      </c>
      <c r="E73" s="179">
        <f>+$B73*$J$97*0.6*0.99</f>
        <v>0</v>
      </c>
      <c r="F73" s="179">
        <f>+$C73*$G$89/100</f>
        <v>17708.34</v>
      </c>
      <c r="G73" s="179">
        <f>+$B73*$G$92</f>
        <v>740</v>
      </c>
      <c r="H73" s="179">
        <f>+$B73*$G$93</f>
        <v>130</v>
      </c>
      <c r="I73" s="179">
        <f>+$C73*$G$95/100</f>
        <v>525.6</v>
      </c>
      <c r="J73" s="179">
        <f>+$B73*$G$94</f>
        <v>330</v>
      </c>
      <c r="K73" s="179">
        <f>+$B73*$G$96</f>
        <v>60</v>
      </c>
      <c r="L73" s="179">
        <f>+SUM(D73:K73)*0.025641</f>
        <v>922.62728249999986</v>
      </c>
      <c r="M73" s="179">
        <f>SUM(D73:L73)</f>
        <v>36905.127282499991</v>
      </c>
      <c r="N73" s="189">
        <f>+$J$82+$B73*$J$83+($C73*$J$86)/100</f>
        <v>16619.694</v>
      </c>
      <c r="O73" s="179">
        <f>+$B73*$J$97*0.6*0.99</f>
        <v>0</v>
      </c>
      <c r="P73" s="179">
        <f>+$C73*$J$89/100</f>
        <v>17708.34</v>
      </c>
      <c r="Q73" s="179">
        <f>+$B73*$J$92</f>
        <v>740</v>
      </c>
      <c r="R73" s="179">
        <f>+$B73*$J$93</f>
        <v>130</v>
      </c>
      <c r="S73" s="179">
        <f>+$C73*$J$95/100</f>
        <v>525.6</v>
      </c>
      <c r="T73" s="179">
        <f>+$B73*$J$94</f>
        <v>330</v>
      </c>
      <c r="U73" s="179">
        <f>+$B73*$J$96</f>
        <v>60</v>
      </c>
      <c r="V73" s="179">
        <f>+SUM(N73:U73)*0.025641</f>
        <v>925.98968939399992</v>
      </c>
      <c r="W73" s="179">
        <f>SUM(N73:V73)</f>
        <v>37039.623689394</v>
      </c>
      <c r="X73" s="233">
        <f>+W73-M73</f>
        <v>134.49640689400985</v>
      </c>
      <c r="Y73" s="180">
        <f>+X73/M73</f>
        <v>3.6443826860281981E-3</v>
      </c>
      <c r="Z73" s="208">
        <f>+M73/C73 *100</f>
        <v>8.4258281466894953</v>
      </c>
      <c r="AA73" s="234">
        <f>+W73/C73*100</f>
        <v>8.45653508890274</v>
      </c>
      <c r="AB73" s="83"/>
    </row>
    <row r="74" spans="1:28" x14ac:dyDescent="0.2">
      <c r="A74" s="4">
        <v>7</v>
      </c>
      <c r="B74" s="257">
        <v>1000</v>
      </c>
      <c r="C74" s="177">
        <f>+B74*730*0.9</f>
        <v>657000</v>
      </c>
      <c r="D74" s="233">
        <f>$H$82+($B74*$H$84+$B74*$H85)+$C74/100*$H$87*0.25+$C74/100*H88*0.75</f>
        <v>18982.535</v>
      </c>
      <c r="E74" s="179">
        <f>+$B74*$K$97*0.9*0.99</f>
        <v>0</v>
      </c>
      <c r="F74" s="179">
        <f>+$C74*$H$90/100*0.25+$C74*$H$91/100*0.75</f>
        <v>26403.187500000004</v>
      </c>
      <c r="G74" s="179">
        <f>+$B74*$H$92</f>
        <v>740</v>
      </c>
      <c r="H74" s="179">
        <f>+$B74*$H$93</f>
        <v>130</v>
      </c>
      <c r="I74" s="179">
        <f>+$C74*$H$95/100</f>
        <v>788.4</v>
      </c>
      <c r="J74" s="179">
        <f>+$B74*$G$94</f>
        <v>330</v>
      </c>
      <c r="K74" s="179">
        <f>+$B74*$H$96</f>
        <v>60</v>
      </c>
      <c r="L74" s="179">
        <f>+SUM(D74:K74)*0.025641</f>
        <v>1216.2583350225002</v>
      </c>
      <c r="M74" s="179">
        <f>SUM(D74:L74)</f>
        <v>48650.380835022508</v>
      </c>
      <c r="N74" s="189">
        <f>$K$82+($B74*$K$84+$B74*$K85)+$C74/100*$K$87*0.25+$C74/100*K88*0.75</f>
        <v>19134.183825</v>
      </c>
      <c r="O74" s="179">
        <f>+$B74*$K$97*0.9*0.99</f>
        <v>0</v>
      </c>
      <c r="P74" s="179">
        <f>+$C74*$K$90/100*0.25+$C74*$K$91/100*0.75</f>
        <v>26403.187500000004</v>
      </c>
      <c r="Q74" s="179">
        <f>+$B74*$K$92</f>
        <v>740</v>
      </c>
      <c r="R74" s="179">
        <f>+$B74*$K$93</f>
        <v>130</v>
      </c>
      <c r="S74" s="179">
        <f>+$C74*$K$95/100</f>
        <v>788.4</v>
      </c>
      <c r="T74" s="179">
        <f>+$B74*$J$94</f>
        <v>330</v>
      </c>
      <c r="U74" s="179">
        <f>+$B74*$K$96</f>
        <v>60</v>
      </c>
      <c r="V74" s="179">
        <f>+SUM(N74:U74)*0.025641</f>
        <v>1220.1467625443252</v>
      </c>
      <c r="W74" s="179">
        <f>SUM(N74:V74)</f>
        <v>48805.918087544327</v>
      </c>
      <c r="X74" s="233">
        <f>+W74-M74</f>
        <v>155.53725252181903</v>
      </c>
      <c r="Y74" s="180">
        <f>+X74/M74</f>
        <v>3.1970408011657461E-3</v>
      </c>
      <c r="Z74" s="208">
        <f>+M74/C74 *100</f>
        <v>7.4049285898055563</v>
      </c>
      <c r="AA74" s="234">
        <f>+W74/C74*100</f>
        <v>7.4286024486368838</v>
      </c>
      <c r="AB74" s="83"/>
    </row>
    <row r="75" spans="1:28" x14ac:dyDescent="0.2">
      <c r="A75" s="4">
        <v>8</v>
      </c>
      <c r="D75" s="262"/>
      <c r="E75" s="256"/>
      <c r="F75" s="261"/>
      <c r="G75" s="261"/>
      <c r="H75" s="261"/>
      <c r="I75" s="261"/>
      <c r="J75" s="261"/>
      <c r="K75" s="179"/>
      <c r="L75" s="179"/>
      <c r="M75" s="261"/>
      <c r="N75" s="288"/>
      <c r="O75" s="256"/>
      <c r="P75" s="261"/>
      <c r="Q75" s="261"/>
      <c r="R75" s="261"/>
      <c r="S75" s="261"/>
      <c r="T75" s="261"/>
      <c r="U75" s="179"/>
      <c r="V75" s="179"/>
      <c r="W75" s="261"/>
      <c r="X75" s="233"/>
      <c r="Y75" s="180"/>
      <c r="Z75" s="209"/>
      <c r="AA75" s="235"/>
    </row>
    <row r="76" spans="1:28" x14ac:dyDescent="0.2">
      <c r="A76" s="4">
        <v>9</v>
      </c>
      <c r="B76" s="258">
        <v>5000</v>
      </c>
      <c r="C76" s="177">
        <f>+B76*730*0.35</f>
        <v>1277500</v>
      </c>
      <c r="D76" s="233">
        <f>+$G$82+$B76*$G$83+($C76*$G$86)/100</f>
        <v>62035.649999999994</v>
      </c>
      <c r="E76" s="179">
        <f>+$B76*$J$97*0.35*0.99</f>
        <v>0</v>
      </c>
      <c r="F76" s="179">
        <f>+$C76*$G$89/100</f>
        <v>51649.324999999997</v>
      </c>
      <c r="G76" s="179">
        <f>+$B76*$G$92</f>
        <v>3700</v>
      </c>
      <c r="H76" s="179">
        <f>+$B76*$G$93</f>
        <v>650</v>
      </c>
      <c r="I76" s="179">
        <f>+$C76*$G$95/100</f>
        <v>1533</v>
      </c>
      <c r="J76" s="179">
        <f>+$B76*$G$94</f>
        <v>1650</v>
      </c>
      <c r="K76" s="179">
        <f>+$B76*$G$96</f>
        <v>300</v>
      </c>
      <c r="L76" s="179">
        <f>+SUM(D76:K76)*0.025641</f>
        <v>3115.8423969749997</v>
      </c>
      <c r="M76" s="179">
        <f>SUM(D76:L76)</f>
        <v>124633.81739697499</v>
      </c>
      <c r="N76" s="189">
        <f>+$J$82+$B76*$J$83+($C76*$J$86)/100</f>
        <v>62524.857499999998</v>
      </c>
      <c r="O76" s="179">
        <f>+$B76*$J$97*0.35*0.99</f>
        <v>0</v>
      </c>
      <c r="P76" s="179">
        <f>+$C76*$J$89/100</f>
        <v>51649.324999999997</v>
      </c>
      <c r="Q76" s="179">
        <f>+$B76*$J$92</f>
        <v>3700</v>
      </c>
      <c r="R76" s="179">
        <f>+$B76*$J$93</f>
        <v>650</v>
      </c>
      <c r="S76" s="179">
        <f>+$C76*$J$95/100</f>
        <v>1533</v>
      </c>
      <c r="T76" s="179">
        <f>+$B76*$J$94</f>
        <v>1650</v>
      </c>
      <c r="U76" s="179">
        <f>+$B76*$J$96</f>
        <v>300</v>
      </c>
      <c r="V76" s="179">
        <f>+SUM(N76:U76)*0.025641</f>
        <v>3128.3861664824999</v>
      </c>
      <c r="W76" s="179">
        <f>SUM(N76:V76)</f>
        <v>125135.56866648249</v>
      </c>
      <c r="X76" s="233">
        <f>W76-M76</f>
        <v>501.75126950749836</v>
      </c>
      <c r="Y76" s="180">
        <f>+X76/M76</f>
        <v>4.0258035899627068E-3</v>
      </c>
      <c r="Z76" s="208">
        <f>+M76/C76 *100</f>
        <v>9.7560718118962821</v>
      </c>
      <c r="AA76" s="234">
        <f>+W76/C76*100</f>
        <v>9.795347840820547</v>
      </c>
      <c r="AB76" s="46"/>
    </row>
    <row r="77" spans="1:28" x14ac:dyDescent="0.2">
      <c r="A77" s="4">
        <v>10</v>
      </c>
      <c r="B77" s="258">
        <v>5000</v>
      </c>
      <c r="C77" s="177">
        <f>+B77*730*0.6</f>
        <v>2190000</v>
      </c>
      <c r="D77" s="233">
        <f>+$G$82+$B77*$G$83+($C77*$G$86)/100</f>
        <v>72456.399999999994</v>
      </c>
      <c r="E77" s="179">
        <f>+$B77*$J$97*0.6*0.99</f>
        <v>0</v>
      </c>
      <c r="F77" s="179">
        <f>+$C77*$G$89/100</f>
        <v>88541.7</v>
      </c>
      <c r="G77" s="179">
        <f>+$B77*$G$92</f>
        <v>3700</v>
      </c>
      <c r="H77" s="179">
        <f>+$B77*$G$93</f>
        <v>650</v>
      </c>
      <c r="I77" s="179">
        <f>+$C77*$G$95/100</f>
        <v>2628</v>
      </c>
      <c r="J77" s="179">
        <f>+$B77*$G$94</f>
        <v>1650</v>
      </c>
      <c r="K77" s="179">
        <f>+$B77*$G$96</f>
        <v>300</v>
      </c>
      <c r="L77" s="179">
        <f>+SUM(D77:K77)*0.025641</f>
        <v>4357.0751300999991</v>
      </c>
      <c r="M77" s="179">
        <f>SUM(D77:L77)</f>
        <v>174283.17513009999</v>
      </c>
      <c r="N77" s="189">
        <f>+$J$82+$B77*$J$83+($C77*$J$86)/100</f>
        <v>73030.47</v>
      </c>
      <c r="O77" s="179">
        <f>+$B77*$J$97*0.6*0.99</f>
        <v>0</v>
      </c>
      <c r="P77" s="179">
        <f>+$C77*$J$89/100</f>
        <v>88541.7</v>
      </c>
      <c r="Q77" s="179">
        <f>+$B77*$J$92</f>
        <v>3700</v>
      </c>
      <c r="R77" s="179">
        <f>+$B77*$J$93</f>
        <v>650</v>
      </c>
      <c r="S77" s="179">
        <f>+$C77*$J$95/100</f>
        <v>2628</v>
      </c>
      <c r="T77" s="179">
        <f>+$B77*$J$94</f>
        <v>1650</v>
      </c>
      <c r="U77" s="179">
        <f>+$B77*$J$96</f>
        <v>300</v>
      </c>
      <c r="V77" s="179">
        <f>+SUM(N77:U77)*0.025641</f>
        <v>4371.79485897</v>
      </c>
      <c r="W77" s="179">
        <f>SUM(N77:V77)</f>
        <v>174871.96485896999</v>
      </c>
      <c r="X77" s="233">
        <f>W77-M77</f>
        <v>588.78972887000418</v>
      </c>
      <c r="Y77" s="180">
        <f>+X77/M77</f>
        <v>3.3783509419683267E-3</v>
      </c>
      <c r="Z77" s="208">
        <f>+M77/C77 *100</f>
        <v>7.9581358506894979</v>
      </c>
      <c r="AA77" s="234">
        <f>+W77/C77*100</f>
        <v>7.9850212264369862</v>
      </c>
      <c r="AB77" s="46"/>
    </row>
    <row r="78" spans="1:28" x14ac:dyDescent="0.2">
      <c r="A78" s="4">
        <v>11</v>
      </c>
      <c r="B78" s="258">
        <v>5000</v>
      </c>
      <c r="C78" s="177">
        <f>+B78*730*0.9</f>
        <v>3285000</v>
      </c>
      <c r="D78" s="233">
        <f>$H$82+($B78*$H$84+$B78*$H85)+$C78/100*$H$87*0.25+$C78/100*H88*0.75</f>
        <v>84926.274999999994</v>
      </c>
      <c r="E78" s="179">
        <f>+$B78*$K$97*0.9*0.99</f>
        <v>0</v>
      </c>
      <c r="F78" s="179">
        <f>+$C78*$H$90/100*0.25+$C78*$H$91/100*0.75</f>
        <v>132015.9375</v>
      </c>
      <c r="G78" s="179">
        <f>+$B78*$H$92</f>
        <v>3700</v>
      </c>
      <c r="H78" s="179">
        <f>+$B78*$H$93</f>
        <v>650</v>
      </c>
      <c r="I78" s="179">
        <f>+$C78*$H$95/100</f>
        <v>3942</v>
      </c>
      <c r="J78" s="179">
        <f>+$B78*$G$94</f>
        <v>1650</v>
      </c>
      <c r="K78" s="179">
        <f>+$B78*$H$96</f>
        <v>300</v>
      </c>
      <c r="L78" s="179">
        <f>+SUM(D78:K78)*0.025641</f>
        <v>5825.2303927125004</v>
      </c>
      <c r="M78" s="179">
        <f>SUM(D78:L78)</f>
        <v>233009.44289271248</v>
      </c>
      <c r="N78" s="189">
        <f>$K$82+($B78*$K$84+$B78*$K85)+$C78/100*$K$87*0.25+$C78/100*K88*0.75</f>
        <v>85602.919125</v>
      </c>
      <c r="O78" s="179">
        <f>+$B78*$K$97*0.9*0.99</f>
        <v>0</v>
      </c>
      <c r="P78" s="179">
        <f>+$C78*$K$90/100*0.25+$C78*$K$91/100*0.75</f>
        <v>132015.9375</v>
      </c>
      <c r="Q78" s="179">
        <f>+$B78*$K$92</f>
        <v>3700</v>
      </c>
      <c r="R78" s="179">
        <f>+$B78*$K$93</f>
        <v>650</v>
      </c>
      <c r="S78" s="179">
        <f>+$C78*$K$95/100</f>
        <v>3942</v>
      </c>
      <c r="T78" s="179">
        <f>+$B78*$J$94</f>
        <v>1650</v>
      </c>
      <c r="U78" s="179">
        <f>+$B78*$K$96</f>
        <v>300</v>
      </c>
      <c r="V78" s="179">
        <f>+SUM(N78:U78)*0.025641</f>
        <v>5842.5802247216252</v>
      </c>
      <c r="W78" s="179">
        <f>SUM(N78:V78)</f>
        <v>233703.43684972165</v>
      </c>
      <c r="X78" s="233">
        <f>W78-M78</f>
        <v>693.99395700916648</v>
      </c>
      <c r="Y78" s="180">
        <f>+X78/M78</f>
        <v>2.9783941302701238E-3</v>
      </c>
      <c r="Z78" s="208">
        <f>+M78/C78 *100</f>
        <v>7.0931337258055542</v>
      </c>
      <c r="AA78" s="234">
        <f>+W78/C78*100</f>
        <v>7.1142598736597158</v>
      </c>
      <c r="AB78" s="46"/>
    </row>
    <row r="79" spans="1:28" x14ac:dyDescent="0.2">
      <c r="A79" s="4">
        <v>12</v>
      </c>
      <c r="D79" s="263"/>
      <c r="E79" s="263"/>
      <c r="F79" s="263"/>
      <c r="G79" s="263"/>
      <c r="H79" s="263"/>
      <c r="I79" s="263"/>
      <c r="J79" s="263"/>
      <c r="K79" s="263"/>
      <c r="L79" s="263"/>
      <c r="M79" s="263"/>
      <c r="N79" s="263"/>
      <c r="O79" s="263"/>
      <c r="P79" s="263"/>
      <c r="Q79" s="263"/>
      <c r="R79" s="263"/>
      <c r="S79" s="263"/>
      <c r="T79" s="263"/>
      <c r="U79" s="263"/>
      <c r="V79" s="263"/>
      <c r="W79" s="201"/>
      <c r="X79" s="180"/>
      <c r="Y79" s="177"/>
      <c r="Z79" s="177"/>
    </row>
    <row r="80" spans="1:28" x14ac:dyDescent="0.2">
      <c r="A80" s="4">
        <v>13</v>
      </c>
      <c r="G80" s="293" t="s">
        <v>166</v>
      </c>
      <c r="H80" s="293"/>
      <c r="I80" s="293"/>
      <c r="J80" s="293" t="s">
        <v>138</v>
      </c>
      <c r="K80" s="293"/>
      <c r="L80" s="293"/>
      <c r="Q80" s="1"/>
      <c r="AA80" s="46"/>
    </row>
    <row r="81" spans="1:27" x14ac:dyDescent="0.2">
      <c r="A81" s="4">
        <v>14</v>
      </c>
      <c r="C81" s="145"/>
      <c r="D81" s="145"/>
      <c r="E81" s="145"/>
      <c r="F81" s="145"/>
      <c r="G81" s="148" t="s">
        <v>615</v>
      </c>
      <c r="H81" s="148" t="s">
        <v>654</v>
      </c>
      <c r="I81" s="148"/>
      <c r="J81" s="148" t="s">
        <v>615</v>
      </c>
      <c r="K81" s="148" t="s">
        <v>654</v>
      </c>
      <c r="L81" s="4"/>
      <c r="AA81" s="46"/>
    </row>
    <row r="82" spans="1:27" x14ac:dyDescent="0.2">
      <c r="A82" s="4">
        <v>15</v>
      </c>
      <c r="C82" s="7" t="s">
        <v>657</v>
      </c>
      <c r="D82" s="145"/>
      <c r="E82" s="145"/>
      <c r="F82" s="145"/>
      <c r="G82" s="200">
        <f>+ROUND(ROUND('E-13c'!G449,2)*30,2)</f>
        <v>2496.6</v>
      </c>
      <c r="H82" s="200">
        <f>+ROUND(ROUND('E-13c'!G450,2)*30,2)</f>
        <v>2496.6</v>
      </c>
      <c r="I82" s="206" t="s">
        <v>56</v>
      </c>
      <c r="J82" s="27">
        <f>+ROUND(ROUND('E-13c'!N449,2)*30,2)</f>
        <v>2517</v>
      </c>
      <c r="K82" s="27">
        <f>+ROUND(ROUND('E-13c'!N450,2)*30,2)</f>
        <v>2517</v>
      </c>
      <c r="L82" s="7" t="s">
        <v>56</v>
      </c>
      <c r="Q82" s="86"/>
      <c r="AA82" s="46"/>
    </row>
    <row r="83" spans="1:27" x14ac:dyDescent="0.2">
      <c r="A83" s="4">
        <v>16</v>
      </c>
      <c r="C83" s="7" t="s">
        <v>139</v>
      </c>
      <c r="D83" s="145"/>
      <c r="G83" s="200">
        <f>ROUND(+'E-13c'!G460,2)</f>
        <v>8.99</v>
      </c>
      <c r="H83" s="200"/>
      <c r="I83" s="206" t="s">
        <v>170</v>
      </c>
      <c r="J83" s="27">
        <f>+ROUND('E-13c'!N460,2)</f>
        <v>9.06</v>
      </c>
      <c r="K83" s="27"/>
      <c r="L83" s="7" t="s">
        <v>170</v>
      </c>
      <c r="R83" s="201"/>
      <c r="S83" s="201"/>
      <c r="T83" s="201"/>
      <c r="U83" s="201"/>
      <c r="V83" s="201"/>
      <c r="W83" s="177"/>
      <c r="X83" s="180"/>
      <c r="Y83" s="177"/>
      <c r="Z83" s="177"/>
    </row>
    <row r="84" spans="1:27" x14ac:dyDescent="0.2">
      <c r="A84" s="4">
        <v>17</v>
      </c>
      <c r="C84" s="7" t="s">
        <v>656</v>
      </c>
      <c r="D84" s="145"/>
      <c r="G84" s="200"/>
      <c r="H84" s="200">
        <f>ROUND(+'E-13c'!G461,2)</f>
        <v>2.86</v>
      </c>
      <c r="I84" s="206" t="s">
        <v>170</v>
      </c>
      <c r="J84" s="27"/>
      <c r="K84" s="27">
        <f>+ROUND('E-13c'!N461,2)</f>
        <v>2.88</v>
      </c>
      <c r="L84" s="7" t="s">
        <v>170</v>
      </c>
      <c r="R84" s="201"/>
      <c r="S84" s="201"/>
      <c r="T84" s="201"/>
      <c r="U84" s="201"/>
      <c r="V84" s="201"/>
      <c r="W84" s="177"/>
      <c r="X84" s="180"/>
      <c r="Y84" s="177"/>
      <c r="Z84" s="177"/>
    </row>
    <row r="85" spans="1:27" x14ac:dyDescent="0.2">
      <c r="A85" s="4">
        <v>18</v>
      </c>
      <c r="C85" s="7" t="s">
        <v>385</v>
      </c>
      <c r="D85" s="145"/>
      <c r="G85" s="200"/>
      <c r="H85" s="200">
        <f>ROUND(+'E-13c'!G462,2)</f>
        <v>6.1</v>
      </c>
      <c r="I85" s="206" t="s">
        <v>170</v>
      </c>
      <c r="J85" s="27"/>
      <c r="K85" s="27">
        <f>+ROUND('E-13c'!N462,2)</f>
        <v>6.15</v>
      </c>
      <c r="L85" s="7" t="s">
        <v>170</v>
      </c>
      <c r="R85" s="201"/>
      <c r="S85" s="201"/>
      <c r="T85" s="201"/>
      <c r="U85" s="201"/>
      <c r="V85" s="201"/>
      <c r="W85" s="177"/>
      <c r="X85" s="180"/>
      <c r="Y85" s="177"/>
      <c r="Z85" s="177"/>
    </row>
    <row r="86" spans="1:27" x14ac:dyDescent="0.2">
      <c r="A86" s="4">
        <v>19</v>
      </c>
      <c r="C86" s="7" t="s">
        <v>659</v>
      </c>
      <c r="D86" s="145"/>
      <c r="G86" s="204">
        <f>ROUND(+'E-13c'!G454,4)/10</f>
        <v>1.1419999999999999</v>
      </c>
      <c r="H86" s="200"/>
      <c r="I86" s="264" t="s">
        <v>246</v>
      </c>
      <c r="J86" s="28">
        <f>+ROUND('E-13c'!N454,4)/10</f>
        <v>1.1513</v>
      </c>
      <c r="K86" s="27"/>
      <c r="L86" s="7" t="s">
        <v>246</v>
      </c>
      <c r="R86" s="201"/>
      <c r="S86" s="201"/>
      <c r="T86" s="201"/>
      <c r="U86" s="201"/>
      <c r="V86" s="201"/>
      <c r="W86" s="177"/>
      <c r="X86" s="180"/>
      <c r="Y86" s="177"/>
      <c r="Z86" s="177"/>
    </row>
    <row r="87" spans="1:27" x14ac:dyDescent="0.2">
      <c r="A87" s="4">
        <v>20</v>
      </c>
      <c r="B87" s="258"/>
      <c r="C87" s="8" t="s">
        <v>238</v>
      </c>
      <c r="D87" s="145"/>
      <c r="H87" s="204">
        <f>ROUND(+'E-13c'!G455,4)/10</f>
        <v>1.375</v>
      </c>
      <c r="I87" s="264" t="s">
        <v>246</v>
      </c>
      <c r="K87" s="28">
        <f>ROUND(+'E-13c'!N455,4)/10</f>
        <v>1.38619</v>
      </c>
      <c r="L87" s="7" t="s">
        <v>246</v>
      </c>
      <c r="R87" s="201"/>
      <c r="S87" s="201"/>
      <c r="T87" s="201"/>
      <c r="U87" s="201"/>
      <c r="V87" s="201"/>
      <c r="W87" s="201"/>
      <c r="X87" s="180"/>
      <c r="Y87" s="201"/>
      <c r="Z87" s="206"/>
    </row>
    <row r="88" spans="1:27" x14ac:dyDescent="0.2">
      <c r="A88" s="4">
        <v>21</v>
      </c>
      <c r="B88" s="258"/>
      <c r="C88" s="8" t="s">
        <v>239</v>
      </c>
      <c r="D88" s="145"/>
      <c r="G88" s="204"/>
      <c r="H88" s="204">
        <f>ROUND(+'E-13c'!G456,4)/10</f>
        <v>1.069</v>
      </c>
      <c r="I88" s="264" t="s">
        <v>246</v>
      </c>
      <c r="J88" s="28"/>
      <c r="K88" s="28">
        <f>ROUND(+'E-13c'!N456,4)/10</f>
        <v>1.0776999999999999</v>
      </c>
      <c r="L88" s="7" t="s">
        <v>246</v>
      </c>
      <c r="R88" s="201"/>
      <c r="S88" s="201"/>
      <c r="T88" s="201"/>
      <c r="U88" s="201"/>
      <c r="V88" s="201"/>
      <c r="W88" s="201"/>
      <c r="X88" s="180"/>
      <c r="Y88" s="201"/>
      <c r="Z88" s="206"/>
    </row>
    <row r="89" spans="1:27" x14ac:dyDescent="0.2">
      <c r="A89" s="4">
        <v>22</v>
      </c>
      <c r="B89" s="258"/>
      <c r="C89" s="7" t="s">
        <v>171</v>
      </c>
      <c r="D89" s="145"/>
      <c r="G89" s="35">
        <v>4.0430000000000001</v>
      </c>
      <c r="H89" s="35"/>
      <c r="I89" s="87" t="s">
        <v>246</v>
      </c>
      <c r="J89" s="35">
        <f>+G89</f>
        <v>4.0430000000000001</v>
      </c>
      <c r="K89" s="35">
        <f>+H89</f>
        <v>0</v>
      </c>
      <c r="L89" s="7" t="s">
        <v>246</v>
      </c>
      <c r="R89" s="201"/>
      <c r="S89" s="201"/>
      <c r="T89" s="201"/>
      <c r="U89" s="201"/>
      <c r="V89" s="201"/>
      <c r="W89" s="201"/>
      <c r="X89" s="180"/>
      <c r="Y89" s="201"/>
      <c r="Z89" s="206"/>
    </row>
    <row r="90" spans="1:27" x14ac:dyDescent="0.2">
      <c r="A90" s="4">
        <v>23</v>
      </c>
      <c r="B90" s="258"/>
      <c r="C90" s="8" t="s">
        <v>238</v>
      </c>
      <c r="D90" s="37"/>
      <c r="G90" s="35"/>
      <c r="H90" s="35">
        <v>4.3899999999999997</v>
      </c>
      <c r="I90" s="87" t="s">
        <v>246</v>
      </c>
      <c r="J90" s="35"/>
      <c r="K90" s="35">
        <f t="shared" ref="K90:K97" si="5">+H90</f>
        <v>4.3899999999999997</v>
      </c>
      <c r="L90" s="7" t="s">
        <v>246</v>
      </c>
      <c r="R90" s="201"/>
      <c r="S90" s="201"/>
      <c r="T90" s="201"/>
      <c r="U90" s="201"/>
      <c r="V90" s="201"/>
      <c r="W90" s="201"/>
      <c r="X90" s="180"/>
      <c r="Y90" s="201"/>
      <c r="Z90" s="206"/>
    </row>
    <row r="91" spans="1:27" x14ac:dyDescent="0.2">
      <c r="A91" s="4">
        <v>24</v>
      </c>
      <c r="B91" s="258"/>
      <c r="C91" s="8" t="s">
        <v>239</v>
      </c>
      <c r="D91" s="37"/>
      <c r="G91" s="35"/>
      <c r="H91" s="35">
        <v>3.895</v>
      </c>
      <c r="I91" s="87" t="s">
        <v>246</v>
      </c>
      <c r="J91" s="35"/>
      <c r="K91" s="35">
        <f t="shared" si="5"/>
        <v>3.895</v>
      </c>
      <c r="L91" s="7" t="s">
        <v>246</v>
      </c>
      <c r="R91" s="177"/>
      <c r="S91" s="177"/>
      <c r="T91" s="177"/>
      <c r="U91" s="177"/>
      <c r="V91" s="177"/>
      <c r="W91" s="177"/>
      <c r="X91" s="180"/>
      <c r="Y91" s="177"/>
      <c r="Z91" s="177"/>
    </row>
    <row r="92" spans="1:27" x14ac:dyDescent="0.2">
      <c r="A92" s="4">
        <v>25</v>
      </c>
      <c r="B92" s="258"/>
      <c r="C92" s="7" t="s">
        <v>172</v>
      </c>
      <c r="D92" s="145"/>
      <c r="G92" s="201">
        <v>0.74</v>
      </c>
      <c r="H92" s="201">
        <v>0.74</v>
      </c>
      <c r="I92" s="206" t="s">
        <v>170</v>
      </c>
      <c r="J92" s="201">
        <f t="shared" ref="J92:J97" si="6">+G92</f>
        <v>0.74</v>
      </c>
      <c r="K92" s="201">
        <f t="shared" si="5"/>
        <v>0.74</v>
      </c>
      <c r="L92" s="7" t="s">
        <v>170</v>
      </c>
      <c r="R92" s="201"/>
      <c r="S92" s="201"/>
      <c r="T92" s="201"/>
      <c r="U92" s="201"/>
      <c r="V92" s="201"/>
      <c r="W92" s="201"/>
      <c r="X92" s="180"/>
      <c r="Y92" s="201"/>
      <c r="Z92" s="206"/>
    </row>
    <row r="93" spans="1:27" x14ac:dyDescent="0.2">
      <c r="A93" s="4">
        <v>26</v>
      </c>
      <c r="B93" s="258"/>
      <c r="C93" s="7" t="s">
        <v>173</v>
      </c>
      <c r="D93" s="145"/>
      <c r="G93" s="201">
        <v>0.13</v>
      </c>
      <c r="H93" s="201">
        <v>0.13</v>
      </c>
      <c r="I93" s="206" t="s">
        <v>170</v>
      </c>
      <c r="J93" s="201">
        <f t="shared" si="6"/>
        <v>0.13</v>
      </c>
      <c r="K93" s="201">
        <f t="shared" si="5"/>
        <v>0.13</v>
      </c>
      <c r="L93" s="7" t="s">
        <v>170</v>
      </c>
      <c r="R93" s="201"/>
      <c r="S93" s="201"/>
      <c r="T93" s="201"/>
      <c r="U93" s="201"/>
      <c r="V93" s="201"/>
      <c r="W93" s="201"/>
      <c r="X93" s="180"/>
      <c r="Y93" s="201"/>
      <c r="Z93" s="206"/>
    </row>
    <row r="94" spans="1:27" x14ac:dyDescent="0.2">
      <c r="A94" s="4">
        <v>27</v>
      </c>
      <c r="B94" s="258"/>
      <c r="C94" s="7" t="s">
        <v>667</v>
      </c>
      <c r="D94" s="145"/>
      <c r="G94" s="201">
        <v>0.33</v>
      </c>
      <c r="H94" s="201">
        <v>0.33</v>
      </c>
      <c r="I94" s="206" t="s">
        <v>170</v>
      </c>
      <c r="J94" s="201">
        <f t="shared" si="6"/>
        <v>0.33</v>
      </c>
      <c r="K94" s="201">
        <f t="shared" si="5"/>
        <v>0.33</v>
      </c>
      <c r="L94" s="7" t="s">
        <v>170</v>
      </c>
      <c r="R94" s="201"/>
      <c r="S94" s="201"/>
      <c r="T94" s="201"/>
      <c r="U94" s="201"/>
      <c r="V94" s="201"/>
      <c r="W94" s="201"/>
      <c r="X94" s="180"/>
      <c r="Y94" s="201"/>
      <c r="Z94" s="206"/>
    </row>
    <row r="95" spans="1:27" x14ac:dyDescent="0.2">
      <c r="A95" s="4"/>
      <c r="B95" s="258"/>
      <c r="C95" s="7" t="s">
        <v>174</v>
      </c>
      <c r="D95" s="145"/>
      <c r="G95" s="35">
        <v>0.12</v>
      </c>
      <c r="H95" s="35">
        <v>0.12</v>
      </c>
      <c r="I95" s="87" t="s">
        <v>246</v>
      </c>
      <c r="J95" s="35">
        <f t="shared" si="6"/>
        <v>0.12</v>
      </c>
      <c r="K95" s="35">
        <f t="shared" si="5"/>
        <v>0.12</v>
      </c>
      <c r="L95" s="7" t="s">
        <v>246</v>
      </c>
      <c r="R95" s="201"/>
      <c r="S95" s="201"/>
      <c r="T95" s="201"/>
      <c r="U95" s="201"/>
      <c r="V95" s="201"/>
      <c r="W95" s="201"/>
      <c r="X95" s="180"/>
      <c r="Y95" s="201"/>
      <c r="Z95" s="206"/>
    </row>
    <row r="96" spans="1:27" x14ac:dyDescent="0.2">
      <c r="A96" s="4">
        <v>28</v>
      </c>
      <c r="C96" s="7" t="s">
        <v>527</v>
      </c>
      <c r="D96" s="145"/>
      <c r="G96" s="26">
        <v>0.06</v>
      </c>
      <c r="H96" s="26">
        <v>0.06</v>
      </c>
      <c r="I96" s="88" t="s">
        <v>170</v>
      </c>
      <c r="J96" s="26">
        <f t="shared" si="6"/>
        <v>0.06</v>
      </c>
      <c r="K96" s="26">
        <f t="shared" si="5"/>
        <v>0.06</v>
      </c>
      <c r="L96" s="7" t="s">
        <v>170</v>
      </c>
      <c r="W96" s="177"/>
      <c r="X96" s="177"/>
      <c r="Y96" s="177"/>
      <c r="Z96" s="177"/>
    </row>
    <row r="97" spans="1:26" x14ac:dyDescent="0.2">
      <c r="A97" s="4">
        <v>29</v>
      </c>
      <c r="B97" s="258"/>
      <c r="C97" s="4" t="s">
        <v>655</v>
      </c>
      <c r="G97" s="27">
        <v>0</v>
      </c>
      <c r="H97" s="27">
        <v>0</v>
      </c>
      <c r="I97" s="88" t="s">
        <v>60</v>
      </c>
      <c r="J97" s="27">
        <f t="shared" si="6"/>
        <v>0</v>
      </c>
      <c r="K97" s="27">
        <f t="shared" si="5"/>
        <v>0</v>
      </c>
      <c r="L97" s="4" t="s">
        <v>60</v>
      </c>
      <c r="R97" s="201"/>
      <c r="S97" s="201"/>
      <c r="T97" s="201"/>
      <c r="U97" s="201"/>
      <c r="V97" s="201"/>
      <c r="W97" s="201"/>
      <c r="X97" s="180"/>
      <c r="Y97" s="201"/>
      <c r="Z97" s="206"/>
    </row>
    <row r="98" spans="1:26" x14ac:dyDescent="0.2">
      <c r="A98" s="4">
        <v>30</v>
      </c>
      <c r="B98" s="258"/>
      <c r="R98" s="201"/>
      <c r="S98" s="201"/>
      <c r="T98" s="201"/>
      <c r="U98" s="201"/>
      <c r="V98" s="201"/>
      <c r="W98" s="201"/>
      <c r="X98" s="180"/>
      <c r="Y98" s="201"/>
      <c r="Z98" s="206"/>
    </row>
    <row r="99" spans="1:26" x14ac:dyDescent="0.2">
      <c r="A99" s="4">
        <v>31</v>
      </c>
      <c r="B99" s="258"/>
      <c r="R99" s="201"/>
      <c r="S99" s="201"/>
      <c r="T99" s="201"/>
      <c r="U99" s="201"/>
      <c r="V99" s="201"/>
      <c r="W99" s="201"/>
      <c r="X99" s="180"/>
      <c r="Y99" s="201"/>
      <c r="Z99" s="206"/>
    </row>
    <row r="100" spans="1:26" x14ac:dyDescent="0.2">
      <c r="A100" s="4">
        <v>32</v>
      </c>
      <c r="C100" s="177" t="s">
        <v>176</v>
      </c>
      <c r="W100" s="177"/>
      <c r="X100" s="177"/>
      <c r="Y100" s="177"/>
      <c r="Z100" s="177"/>
    </row>
    <row r="101" spans="1:26" x14ac:dyDescent="0.2">
      <c r="A101" s="4">
        <v>33</v>
      </c>
      <c r="C101" s="177" t="s">
        <v>247</v>
      </c>
      <c r="W101" s="177"/>
      <c r="X101" s="177"/>
      <c r="Y101" s="177"/>
      <c r="Z101" s="177"/>
    </row>
    <row r="102" spans="1:26" x14ac:dyDescent="0.2">
      <c r="A102" s="4">
        <v>34</v>
      </c>
      <c r="B102" s="251"/>
      <c r="C102" s="177" t="s">
        <v>394</v>
      </c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x14ac:dyDescent="0.2">
      <c r="A103" s="4">
        <v>35</v>
      </c>
      <c r="B103" s="251"/>
      <c r="C103" s="177" t="s">
        <v>671</v>
      </c>
      <c r="S103" s="177"/>
      <c r="T103" s="177"/>
      <c r="U103" s="177"/>
      <c r="V103" s="177"/>
      <c r="W103" s="177"/>
      <c r="X103" s="177"/>
      <c r="Y103" s="177"/>
      <c r="Z103" s="177"/>
    </row>
    <row r="104" spans="1:26" x14ac:dyDescent="0.2">
      <c r="A104" s="4">
        <v>36</v>
      </c>
      <c r="B104" s="251"/>
      <c r="C104" s="177" t="s">
        <v>395</v>
      </c>
      <c r="S104" s="177"/>
      <c r="T104" s="177"/>
      <c r="U104" s="177"/>
      <c r="V104" s="177"/>
      <c r="W104" s="177"/>
      <c r="X104" s="177"/>
      <c r="Y104" s="177"/>
      <c r="Z104" s="177"/>
    </row>
    <row r="105" spans="1:26" x14ac:dyDescent="0.2">
      <c r="A105" s="4">
        <v>37</v>
      </c>
      <c r="B105" s="251"/>
      <c r="C105" s="177" t="s">
        <v>757</v>
      </c>
      <c r="S105" s="177"/>
      <c r="T105" s="177"/>
      <c r="U105" s="177"/>
      <c r="V105" s="177"/>
      <c r="W105" s="177"/>
      <c r="X105" s="177"/>
      <c r="Y105" s="177"/>
      <c r="Z105" s="177"/>
    </row>
    <row r="106" spans="1:26" x14ac:dyDescent="0.2">
      <c r="A106" s="4">
        <v>38</v>
      </c>
      <c r="B106" s="251"/>
      <c r="N106" s="177"/>
      <c r="O106" s="177"/>
      <c r="P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x14ac:dyDescent="0.2">
      <c r="A107" s="4">
        <v>39</v>
      </c>
      <c r="B107" s="9"/>
      <c r="N107" s="6"/>
      <c r="O107" s="6"/>
      <c r="P107" s="177"/>
      <c r="S107" s="6"/>
      <c r="T107" s="6"/>
      <c r="U107" s="6"/>
      <c r="V107" s="6"/>
      <c r="W107" s="6"/>
      <c r="X107" s="6"/>
      <c r="Y107" s="6"/>
      <c r="Z107" s="6"/>
    </row>
    <row r="108" spans="1:26" x14ac:dyDescent="0.2">
      <c r="A108" s="4">
        <v>40</v>
      </c>
      <c r="B108" s="9"/>
      <c r="C108" s="177"/>
      <c r="L108" s="27"/>
      <c r="N108" s="6"/>
      <c r="O108" s="6"/>
      <c r="P108" s="177"/>
      <c r="S108" s="6"/>
      <c r="T108" s="6"/>
      <c r="U108" s="6"/>
      <c r="V108" s="6"/>
      <c r="W108" s="6"/>
      <c r="X108" s="6"/>
      <c r="Y108" s="6"/>
      <c r="Z108" s="6"/>
    </row>
    <row r="109" spans="1:26" ht="13.5" thickBot="1" x14ac:dyDescent="0.25">
      <c r="A109" s="16">
        <v>41</v>
      </c>
      <c r="B109" s="16"/>
      <c r="C109" s="81"/>
      <c r="D109" s="81"/>
      <c r="E109" s="81"/>
      <c r="F109" s="81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</sheetData>
  <mergeCells count="22">
    <mergeCell ref="Y2:Z2"/>
    <mergeCell ref="H6:R6"/>
    <mergeCell ref="B8:C8"/>
    <mergeCell ref="B9:C9"/>
    <mergeCell ref="D9:M9"/>
    <mergeCell ref="N9:V9"/>
    <mergeCell ref="G80:I80"/>
    <mergeCell ref="J80:L80"/>
    <mergeCell ref="X9:Y9"/>
    <mergeCell ref="Z9:AA9"/>
    <mergeCell ref="X64:Y64"/>
    <mergeCell ref="Z64:AA64"/>
    <mergeCell ref="J25:L25"/>
    <mergeCell ref="G25:I25"/>
    <mergeCell ref="Y57:Z57"/>
    <mergeCell ref="K1:P1"/>
    <mergeCell ref="K56:P56"/>
    <mergeCell ref="B63:C63"/>
    <mergeCell ref="B64:C64"/>
    <mergeCell ref="D64:M64"/>
    <mergeCell ref="N64:V64"/>
    <mergeCell ref="I61:S61"/>
  </mergeCells>
  <phoneticPr fontId="4" type="noConversion"/>
  <printOptions horizontalCentered="1" verticalCentered="1"/>
  <pageMargins left="0.5" right="0.5" top="1.25" bottom="0.35000000000000003" header="0.5" footer="0.5"/>
  <pageSetup scale="49" fitToHeight="0" orientation="landscape" r:id="rId1"/>
  <headerFooter alignWithMargins="0"/>
  <rowBreaks count="1" manualBreakCount="1">
    <brk id="54" max="27" man="1"/>
  </rowBreaks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10"/>
    <pageSetUpPr fitToPage="1"/>
  </sheetPr>
  <dimension ref="A1:X71"/>
  <sheetViews>
    <sheetView tabSelected="1" topLeftCell="A3" zoomScale="140" zoomScaleNormal="130" workbookViewId="0">
      <selection activeCell="A3" sqref="A3"/>
    </sheetView>
  </sheetViews>
  <sheetFormatPr defaultColWidth="9.140625" defaultRowHeight="14.1" customHeight="1" x14ac:dyDescent="0.2"/>
  <cols>
    <col min="1" max="1" width="3.5703125" style="4" customWidth="1"/>
    <col min="2" max="2" width="6.85546875" style="4" bestFit="1" customWidth="1"/>
    <col min="3" max="4" width="9.5703125" style="4" customWidth="1"/>
    <col min="5" max="5" width="13.5703125" style="4" customWidth="1"/>
    <col min="6" max="6" width="12" style="4" bestFit="1" customWidth="1"/>
    <col min="7" max="7" width="8.7109375" style="4" customWidth="1"/>
    <col min="8" max="8" width="7" style="4" customWidth="1"/>
    <col min="9" max="9" width="10.7109375" style="4" bestFit="1" customWidth="1"/>
    <col min="10" max="10" width="8.140625" style="4" customWidth="1"/>
    <col min="11" max="11" width="12" style="4" bestFit="1" customWidth="1"/>
    <col min="12" max="12" width="11.7109375" style="4" customWidth="1"/>
    <col min="13" max="13" width="9.85546875" style="4" customWidth="1"/>
    <col min="14" max="14" width="9.42578125" style="4" customWidth="1"/>
    <col min="15" max="15" width="8.85546875" style="4" customWidth="1"/>
    <col min="16" max="16" width="9.5703125" style="4" customWidth="1"/>
    <col min="17" max="17" width="9.42578125" style="4" customWidth="1"/>
    <col min="18" max="18" width="14.140625" style="4" bestFit="1" customWidth="1"/>
    <col min="19" max="19" width="9.5703125" style="4" customWidth="1"/>
    <col min="20" max="20" width="15" style="4" bestFit="1" customWidth="1"/>
    <col min="21" max="16384" width="9.140625" style="4"/>
  </cols>
  <sheetData>
    <row r="1" spans="1:24" ht="14.1" hidden="1" customHeight="1" x14ac:dyDescent="0.2">
      <c r="C1" s="4">
        <v>2</v>
      </c>
      <c r="F1" s="4">
        <v>3</v>
      </c>
      <c r="G1" s="4">
        <v>4</v>
      </c>
      <c r="H1" s="4">
        <v>5</v>
      </c>
      <c r="I1" s="4">
        <v>6</v>
      </c>
      <c r="L1" s="4">
        <v>7</v>
      </c>
      <c r="M1" s="4">
        <v>9</v>
      </c>
      <c r="N1" s="4">
        <v>10</v>
      </c>
      <c r="O1" s="4">
        <v>13</v>
      </c>
      <c r="P1" s="4">
        <v>14</v>
      </c>
      <c r="Q1" s="4">
        <v>15</v>
      </c>
      <c r="R1" s="4">
        <v>17</v>
      </c>
    </row>
    <row r="2" spans="1:24" ht="14.1" hidden="1" customHeight="1" x14ac:dyDescent="0.2">
      <c r="R2" s="4">
        <v>1</v>
      </c>
    </row>
    <row r="3" spans="1:24" ht="14.1" customHeight="1" x14ac:dyDescent="0.2">
      <c r="H3" s="292" t="s">
        <v>768</v>
      </c>
      <c r="I3" s="292"/>
      <c r="J3" s="292"/>
      <c r="K3" s="292"/>
      <c r="L3" s="292"/>
    </row>
    <row r="4" spans="1:24" ht="14.1" customHeight="1" thickBot="1" x14ac:dyDescent="0.25">
      <c r="A4" s="16" t="s">
        <v>0</v>
      </c>
      <c r="B4" s="16"/>
      <c r="C4" s="16"/>
      <c r="D4" s="16"/>
      <c r="E4" s="16"/>
      <c r="F4" s="16"/>
      <c r="G4" s="16"/>
      <c r="H4" s="16" t="s">
        <v>396</v>
      </c>
      <c r="I4" s="16"/>
      <c r="J4" s="16"/>
      <c r="K4" s="16"/>
      <c r="L4" s="16"/>
      <c r="M4" s="16"/>
      <c r="N4" s="16"/>
      <c r="O4" s="16"/>
      <c r="P4" s="16"/>
      <c r="Q4" s="16"/>
      <c r="R4" s="16" t="str">
        <f>"Page 1 of " &amp; R$2</f>
        <v>Page 1 of 1</v>
      </c>
      <c r="S4" s="9"/>
    </row>
    <row r="5" spans="1:24" ht="14.1" customHeight="1" x14ac:dyDescent="0.2">
      <c r="A5" s="4" t="s">
        <v>21</v>
      </c>
      <c r="F5" s="4" t="s">
        <v>761</v>
      </c>
      <c r="H5" s="4" t="s">
        <v>753</v>
      </c>
      <c r="M5" s="56"/>
      <c r="O5" s="56" t="s">
        <v>30</v>
      </c>
      <c r="R5" s="20"/>
      <c r="S5" s="20"/>
    </row>
    <row r="6" spans="1:24" ht="14.1" customHeight="1" x14ac:dyDescent="0.2">
      <c r="M6" s="22"/>
      <c r="O6" s="21"/>
      <c r="P6" s="22" t="s">
        <v>762</v>
      </c>
      <c r="R6" s="70"/>
      <c r="S6" s="20"/>
    </row>
    <row r="7" spans="1:24" ht="14.1" customHeight="1" x14ac:dyDescent="0.2">
      <c r="A7" s="4" t="s">
        <v>29</v>
      </c>
      <c r="M7" s="22"/>
      <c r="N7" s="21"/>
      <c r="O7" s="21"/>
      <c r="P7" s="22" t="s">
        <v>763</v>
      </c>
      <c r="R7" s="70"/>
      <c r="S7" s="20"/>
    </row>
    <row r="8" spans="1:24" ht="14.1" customHeight="1" x14ac:dyDescent="0.2">
      <c r="M8" s="22"/>
      <c r="N8" s="21"/>
      <c r="O8" s="21"/>
      <c r="P8" s="22"/>
      <c r="R8" s="70"/>
      <c r="S8" s="20"/>
    </row>
    <row r="9" spans="1:24" ht="14.1" customHeight="1" thickBot="1" x14ac:dyDescent="0.25">
      <c r="A9" s="16"/>
      <c r="B9" s="16"/>
      <c r="C9" s="16"/>
      <c r="D9" s="16"/>
      <c r="E9" s="16"/>
      <c r="F9" s="16"/>
      <c r="G9" s="16"/>
      <c r="H9" s="16"/>
      <c r="I9" s="151"/>
      <c r="J9" s="151" t="s">
        <v>20</v>
      </c>
      <c r="K9" s="16"/>
      <c r="L9" s="16"/>
      <c r="M9" s="16"/>
      <c r="N9" s="16"/>
      <c r="O9" s="16"/>
      <c r="P9" s="16" t="s">
        <v>738</v>
      </c>
      <c r="Q9" s="16"/>
      <c r="R9" s="16"/>
      <c r="S9" s="9"/>
    </row>
    <row r="10" spans="1:24" ht="14.1" customHeight="1" x14ac:dyDescent="0.2"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24" ht="14.1" customHeight="1" x14ac:dyDescent="0.2">
      <c r="B11" s="148"/>
      <c r="C11" s="148"/>
      <c r="D11" s="14"/>
      <c r="E11" s="14"/>
      <c r="F11" s="14"/>
      <c r="G11" s="14" t="s">
        <v>22</v>
      </c>
      <c r="I11" s="14" t="s">
        <v>23</v>
      </c>
      <c r="L11" s="14" t="s">
        <v>24</v>
      </c>
      <c r="M11" s="14" t="s">
        <v>25</v>
      </c>
      <c r="O11" s="14"/>
    </row>
    <row r="12" spans="1:24" ht="14.1" customHeight="1" x14ac:dyDescent="0.2">
      <c r="B12" s="148"/>
      <c r="C12" s="148"/>
      <c r="D12" s="14"/>
      <c r="E12" s="14"/>
      <c r="F12" s="14"/>
      <c r="G12" s="14" t="s">
        <v>377</v>
      </c>
      <c r="I12" s="148" t="s">
        <v>377</v>
      </c>
      <c r="L12" s="13"/>
      <c r="M12" s="14"/>
      <c r="N12" s="14"/>
      <c r="O12" s="14"/>
    </row>
    <row r="13" spans="1:24" ht="14.1" customHeight="1" x14ac:dyDescent="0.2">
      <c r="B13" s="148"/>
      <c r="C13" s="148"/>
      <c r="D13" s="110"/>
      <c r="G13" s="148" t="s">
        <v>653</v>
      </c>
      <c r="I13" s="148" t="s">
        <v>653</v>
      </c>
      <c r="L13" s="298"/>
      <c r="M13" s="298"/>
      <c r="O13" s="13"/>
    </row>
    <row r="14" spans="1:24" ht="14.1" customHeight="1" x14ac:dyDescent="0.2">
      <c r="A14" s="4" t="s">
        <v>26</v>
      </c>
      <c r="B14" s="148"/>
      <c r="C14" s="13"/>
      <c r="D14" s="13"/>
      <c r="G14" s="13" t="s">
        <v>373</v>
      </c>
      <c r="I14" s="148" t="s">
        <v>6</v>
      </c>
      <c r="L14" s="14" t="s">
        <v>2</v>
      </c>
      <c r="M14" s="148" t="s">
        <v>31</v>
      </c>
      <c r="O14" s="145"/>
    </row>
    <row r="15" spans="1:24" ht="14.1" customHeight="1" thickBot="1" x14ac:dyDescent="0.25">
      <c r="A15" s="16" t="s">
        <v>28</v>
      </c>
      <c r="B15" s="151"/>
      <c r="C15" s="15" t="s">
        <v>1</v>
      </c>
      <c r="D15" s="15"/>
      <c r="E15" s="16"/>
      <c r="F15" s="16"/>
      <c r="G15" s="15" t="s">
        <v>584</v>
      </c>
      <c r="H15" s="16"/>
      <c r="I15" s="151" t="s">
        <v>584</v>
      </c>
      <c r="J15" s="16"/>
      <c r="K15" s="16"/>
      <c r="L15" s="17" t="s">
        <v>3</v>
      </c>
      <c r="M15" s="151" t="s">
        <v>749</v>
      </c>
      <c r="N15" s="16"/>
      <c r="O15" s="17"/>
      <c r="P15" s="17"/>
      <c r="Q15" s="17"/>
      <c r="R15" s="17"/>
      <c r="S15" s="183"/>
      <c r="T15" s="68"/>
      <c r="U15" s="68"/>
    </row>
    <row r="16" spans="1:24" ht="14.1" customHeight="1" x14ac:dyDescent="0.2">
      <c r="A16" s="4">
        <v>1</v>
      </c>
      <c r="B16" s="186"/>
      <c r="C16" s="186" t="s">
        <v>261</v>
      </c>
      <c r="D16" s="186"/>
      <c r="G16" s="183">
        <f>+'E-13c'!I87/1000</f>
        <v>776798.04889333341</v>
      </c>
      <c r="H16" s="183"/>
      <c r="I16" s="183">
        <f>+'E-13c'!P87/1000</f>
        <v>783122.45086755964</v>
      </c>
      <c r="J16" s="183"/>
      <c r="K16" s="68"/>
      <c r="L16" s="183">
        <f>+I16-G16</f>
        <v>6324.4019742262317</v>
      </c>
      <c r="M16" s="153">
        <f t="shared" ref="M16:M24" si="0">+L16/G16</f>
        <v>8.1416295821498275E-3</v>
      </c>
      <c r="O16" s="186"/>
      <c r="P16" s="5"/>
      <c r="S16" s="183"/>
      <c r="T16" s="230"/>
      <c r="U16" s="230"/>
      <c r="W16" s="230"/>
      <c r="X16" s="183"/>
    </row>
    <row r="17" spans="1:24" ht="14.1" customHeight="1" x14ac:dyDescent="0.2">
      <c r="A17" s="4">
        <v>2</v>
      </c>
      <c r="B17" s="186"/>
      <c r="C17" s="186" t="s">
        <v>259</v>
      </c>
      <c r="G17" s="183">
        <f>+'E-13c'!I146/1000</f>
        <v>80248.245243799582</v>
      </c>
      <c r="I17" s="183">
        <f>+'E-13c'!P146/1000</f>
        <v>80901.596731192127</v>
      </c>
      <c r="K17" s="68"/>
      <c r="L17" s="183">
        <f t="shared" ref="L17:L25" si="1">+I17-G17</f>
        <v>653.3514873925451</v>
      </c>
      <c r="M17" s="153">
        <f t="shared" si="0"/>
        <v>8.1416295821499802E-3</v>
      </c>
      <c r="O17" s="183"/>
      <c r="P17" s="5"/>
      <c r="S17" s="183"/>
      <c r="T17" s="230"/>
      <c r="U17" s="230"/>
      <c r="W17" s="230"/>
      <c r="X17" s="183"/>
    </row>
    <row r="18" spans="1:24" ht="14.1" customHeight="1" x14ac:dyDescent="0.2">
      <c r="A18" s="4">
        <v>3</v>
      </c>
      <c r="B18" s="186"/>
      <c r="C18" s="186" t="s">
        <v>582</v>
      </c>
      <c r="G18" s="183">
        <f>+'E-13c'!I189/1000</f>
        <v>2557.7297683333331</v>
      </c>
      <c r="I18" s="183">
        <f>+'E-13c'!P189/1000</f>
        <v>2578.5538566783416</v>
      </c>
      <c r="K18" s="68"/>
      <c r="L18" s="183">
        <f t="shared" si="1"/>
        <v>20.824088345008477</v>
      </c>
      <c r="M18" s="153">
        <f t="shared" si="0"/>
        <v>8.1416295821500565E-3</v>
      </c>
      <c r="O18" s="183"/>
      <c r="P18" s="5"/>
      <c r="S18" s="183"/>
      <c r="T18" s="230"/>
      <c r="U18" s="230"/>
      <c r="W18" s="230"/>
      <c r="X18" s="183"/>
    </row>
    <row r="19" spans="1:24" ht="14.1" customHeight="1" x14ac:dyDescent="0.2">
      <c r="A19" s="4">
        <v>4</v>
      </c>
      <c r="B19" s="186"/>
      <c r="C19" s="186" t="s">
        <v>604</v>
      </c>
      <c r="G19" s="183">
        <f>+'E-13c'!I305/1000</f>
        <v>271384.12444778567</v>
      </c>
      <c r="I19" s="183">
        <f>+'E-13c'!P305/1000</f>
        <v>273593.63346351555</v>
      </c>
      <c r="K19" s="68"/>
      <c r="L19" s="183">
        <f t="shared" si="1"/>
        <v>2209.5090157298837</v>
      </c>
      <c r="M19" s="153">
        <f t="shared" si="0"/>
        <v>8.141629582149687E-3</v>
      </c>
      <c r="O19" s="177"/>
      <c r="P19" s="5"/>
      <c r="S19" s="183"/>
      <c r="T19" s="230"/>
      <c r="U19" s="230"/>
      <c r="W19" s="230"/>
      <c r="X19" s="183"/>
    </row>
    <row r="20" spans="1:24" ht="14.1" customHeight="1" x14ac:dyDescent="0.2">
      <c r="A20" s="4">
        <v>5</v>
      </c>
      <c r="B20" s="186"/>
      <c r="C20" s="186" t="s">
        <v>260</v>
      </c>
      <c r="G20" s="183">
        <f>+'E-13c'!I371/1000</f>
        <v>30064.656425850349</v>
      </c>
      <c r="H20" s="5"/>
      <c r="I20" s="183">
        <f>+'E-13c'!P371/1000</f>
        <v>30309.431721984231</v>
      </c>
      <c r="J20" s="5"/>
      <c r="K20" s="68"/>
      <c r="L20" s="183">
        <f t="shared" si="1"/>
        <v>244.77529613388106</v>
      </c>
      <c r="M20" s="153">
        <f t="shared" si="0"/>
        <v>8.1416295821500582E-3</v>
      </c>
      <c r="O20" s="177"/>
      <c r="P20" s="5"/>
      <c r="S20" s="183"/>
      <c r="T20" s="230"/>
      <c r="U20" s="230"/>
      <c r="W20" s="230"/>
      <c r="X20" s="183"/>
    </row>
    <row r="21" spans="1:24" ht="14.1" customHeight="1" x14ac:dyDescent="0.2">
      <c r="A21" s="4">
        <v>6</v>
      </c>
      <c r="B21" s="186"/>
      <c r="C21" s="186" t="s">
        <v>664</v>
      </c>
      <c r="G21" s="183">
        <f>+'E-13c'!I428/1000</f>
        <v>37594.931578873307</v>
      </c>
      <c r="I21" s="183">
        <f>+'E-13c'!P428/1000</f>
        <v>37901.015585954752</v>
      </c>
      <c r="K21" s="68"/>
      <c r="L21" s="183">
        <f t="shared" si="1"/>
        <v>306.08400708144472</v>
      </c>
      <c r="M21" s="153">
        <f t="shared" si="0"/>
        <v>8.1416295821495899E-3</v>
      </c>
      <c r="O21" s="177"/>
      <c r="P21" s="5"/>
      <c r="Q21" s="5"/>
      <c r="S21" s="183"/>
      <c r="T21" s="230"/>
      <c r="U21" s="230"/>
      <c r="W21" s="230"/>
      <c r="X21" s="183"/>
    </row>
    <row r="22" spans="1:24" ht="14.1" customHeight="1" x14ac:dyDescent="0.2">
      <c r="A22" s="4">
        <v>7</v>
      </c>
      <c r="B22" s="186"/>
      <c r="C22" s="186" t="s">
        <v>674</v>
      </c>
      <c r="G22" s="183">
        <f>+'E-13c'!I482/1000</f>
        <v>9853.7273335373338</v>
      </c>
      <c r="I22" s="183">
        <f>+'E-13c'!P482/1000</f>
        <v>9933.9527314905008</v>
      </c>
      <c r="K22" s="68"/>
      <c r="L22" s="183">
        <f t="shared" si="1"/>
        <v>80.225397953166976</v>
      </c>
      <c r="M22" s="153">
        <f t="shared" si="0"/>
        <v>8.1416295821499368E-3</v>
      </c>
      <c r="O22" s="177"/>
      <c r="P22" s="5"/>
      <c r="S22" s="183"/>
      <c r="T22" s="230"/>
      <c r="U22" s="230"/>
      <c r="W22" s="230"/>
      <c r="X22" s="183"/>
    </row>
    <row r="23" spans="1:24" ht="14.1" customHeight="1" x14ac:dyDescent="0.2">
      <c r="A23" s="4">
        <v>8</v>
      </c>
      <c r="B23" s="186"/>
      <c r="C23" s="186" t="s">
        <v>578</v>
      </c>
      <c r="G23" s="183">
        <f>+'E-13c'!I901/1000</f>
        <v>0</v>
      </c>
      <c r="I23" s="183">
        <f>+'E-13c'!P901/1000</f>
        <v>0</v>
      </c>
      <c r="L23" s="183">
        <f t="shared" si="1"/>
        <v>0</v>
      </c>
      <c r="M23" s="153">
        <v>0</v>
      </c>
      <c r="O23" s="177"/>
      <c r="P23" s="5"/>
      <c r="Q23" s="5"/>
      <c r="S23" s="183"/>
      <c r="T23" s="230"/>
      <c r="U23" s="230"/>
      <c r="W23" s="230"/>
      <c r="X23" s="183"/>
    </row>
    <row r="24" spans="1:24" ht="14.1" customHeight="1" x14ac:dyDescent="0.2">
      <c r="A24" s="4">
        <v>9</v>
      </c>
      <c r="B24" s="186"/>
      <c r="C24" s="4" t="s">
        <v>673</v>
      </c>
      <c r="G24" s="183">
        <f>+'E-13c'!I570/1000</f>
        <v>2494.3340478111627</v>
      </c>
      <c r="I24" s="183">
        <f>+'E-13c'!P570/1000</f>
        <v>2514.6419916825857</v>
      </c>
      <c r="L24" s="183">
        <f t="shared" si="1"/>
        <v>20.307943871423049</v>
      </c>
      <c r="M24" s="153">
        <f t="shared" si="0"/>
        <v>8.1416295821498934E-3</v>
      </c>
      <c r="O24" s="177"/>
      <c r="P24" s="5"/>
      <c r="S24" s="183"/>
      <c r="T24" s="230"/>
      <c r="U24" s="230"/>
      <c r="W24" s="230"/>
      <c r="X24" s="183"/>
    </row>
    <row r="25" spans="1:24" ht="14.1" customHeight="1" x14ac:dyDescent="0.2">
      <c r="A25" s="4">
        <v>10</v>
      </c>
      <c r="B25" s="186"/>
      <c r="C25" s="4" t="s">
        <v>579</v>
      </c>
      <c r="G25" s="183">
        <f>+'E-13c'!I678/1000</f>
        <v>14044.457953340319</v>
      </c>
      <c r="I25" s="183">
        <f>+'E-13c'!P678/1000</f>
        <v>14158.802727678496</v>
      </c>
      <c r="L25" s="183">
        <f t="shared" si="1"/>
        <v>114.34477433817665</v>
      </c>
      <c r="M25" s="153">
        <f>+L25/G25</f>
        <v>8.1416295821499472E-3</v>
      </c>
      <c r="O25" s="177"/>
      <c r="P25" s="6"/>
      <c r="Q25" s="5"/>
      <c r="S25" s="183"/>
      <c r="T25" s="230"/>
      <c r="U25" s="230"/>
      <c r="W25" s="230"/>
      <c r="X25" s="183"/>
    </row>
    <row r="26" spans="1:24" ht="14.1" customHeight="1" thickBot="1" x14ac:dyDescent="0.25">
      <c r="A26" s="4">
        <v>11</v>
      </c>
      <c r="B26" s="186"/>
      <c r="C26" s="4" t="s">
        <v>580</v>
      </c>
      <c r="G26" s="183">
        <f>+'E-13c'!I942/1000</f>
        <v>3215.0831309785326</v>
      </c>
      <c r="I26" s="183">
        <f>+'E-13c'!P942/1000</f>
        <v>3241.2591469067784</v>
      </c>
      <c r="L26" s="183">
        <f t="shared" ref="L26" si="2">+I26-G26</f>
        <v>26.176015928245761</v>
      </c>
      <c r="M26" s="153">
        <f>+L26/G26</f>
        <v>8.1416295821498431E-3</v>
      </c>
      <c r="O26" s="177"/>
      <c r="P26" s="9"/>
      <c r="S26" s="183"/>
      <c r="T26" s="230"/>
      <c r="U26" s="230"/>
      <c r="W26" s="230"/>
      <c r="X26" s="183"/>
    </row>
    <row r="27" spans="1:24" ht="14.1" customHeight="1" x14ac:dyDescent="0.2">
      <c r="A27" s="4">
        <v>12</v>
      </c>
      <c r="B27" s="186"/>
      <c r="C27" s="89" t="s">
        <v>27</v>
      </c>
      <c r="D27" s="89"/>
      <c r="E27" s="89"/>
      <c r="F27" s="89"/>
      <c r="G27" s="278">
        <f>+SUM(G16:G26)</f>
        <v>1228255.338823643</v>
      </c>
      <c r="H27" s="89"/>
      <c r="I27" s="278">
        <f>+SUM(I16:I26)</f>
        <v>1238255.3388246428</v>
      </c>
      <c r="J27" s="89"/>
      <c r="K27" s="89"/>
      <c r="L27" s="278">
        <f>SUM(L16:L26)</f>
        <v>10000.000001000008</v>
      </c>
      <c r="M27" s="154">
        <f>+L27/G27</f>
        <v>8.1416295821498084E-3</v>
      </c>
      <c r="O27" s="177"/>
      <c r="P27" s="108"/>
      <c r="Q27" s="66"/>
      <c r="S27" s="183"/>
      <c r="T27" s="230"/>
      <c r="U27" s="230"/>
      <c r="W27" s="230"/>
      <c r="X27" s="183"/>
    </row>
    <row r="28" spans="1:24" ht="14.1" customHeight="1" x14ac:dyDescent="0.2">
      <c r="A28" s="4">
        <v>13</v>
      </c>
      <c r="B28" s="186"/>
      <c r="O28" s="177"/>
      <c r="P28" s="9"/>
      <c r="S28" s="183"/>
      <c r="T28" s="230"/>
      <c r="U28" s="230"/>
      <c r="W28" s="230"/>
      <c r="X28" s="183"/>
    </row>
    <row r="29" spans="1:24" ht="14.1" customHeight="1" x14ac:dyDescent="0.2">
      <c r="A29" s="4">
        <v>14</v>
      </c>
      <c r="B29" s="186"/>
      <c r="O29" s="177"/>
      <c r="P29" s="6"/>
      <c r="Q29" s="6"/>
      <c r="R29" s="6"/>
      <c r="S29" s="183"/>
      <c r="T29" s="230"/>
      <c r="U29" s="230"/>
      <c r="W29" s="230"/>
      <c r="X29" s="183"/>
    </row>
    <row r="30" spans="1:24" ht="14.1" customHeight="1" x14ac:dyDescent="0.2">
      <c r="A30" s="4">
        <v>15</v>
      </c>
      <c r="B30" s="186"/>
      <c r="O30" s="177"/>
      <c r="P30" s="9"/>
      <c r="S30" s="183"/>
      <c r="T30" s="230"/>
      <c r="U30" s="230"/>
      <c r="W30" s="230"/>
      <c r="X30" s="183"/>
    </row>
    <row r="31" spans="1:24" ht="14.1" customHeight="1" x14ac:dyDescent="0.2">
      <c r="A31" s="4">
        <v>16</v>
      </c>
      <c r="B31" s="186"/>
      <c r="F31" s="183"/>
      <c r="I31" s="5"/>
      <c r="O31" s="177"/>
      <c r="P31" s="9"/>
      <c r="S31" s="183"/>
      <c r="T31" s="230"/>
      <c r="U31" s="230"/>
      <c r="W31" s="230"/>
      <c r="X31" s="183"/>
    </row>
    <row r="32" spans="1:24" ht="14.1" customHeight="1" x14ac:dyDescent="0.2">
      <c r="A32" s="4">
        <v>17</v>
      </c>
      <c r="B32" s="186"/>
      <c r="O32" s="177"/>
      <c r="P32" s="9"/>
      <c r="Q32" s="5"/>
      <c r="S32" s="183"/>
      <c r="T32" s="230"/>
      <c r="U32" s="230"/>
      <c r="W32" s="230"/>
      <c r="X32" s="183"/>
    </row>
    <row r="33" spans="1:24" ht="14.1" customHeight="1" x14ac:dyDescent="0.2">
      <c r="A33" s="4">
        <v>18</v>
      </c>
      <c r="B33" s="186"/>
      <c r="O33" s="177"/>
      <c r="P33" s="9"/>
      <c r="S33" s="183"/>
      <c r="T33" s="230"/>
      <c r="U33" s="230"/>
      <c r="W33" s="230"/>
      <c r="X33" s="183"/>
    </row>
    <row r="34" spans="1:24" ht="14.1" customHeight="1" x14ac:dyDescent="0.2">
      <c r="A34" s="4">
        <v>19</v>
      </c>
      <c r="B34" s="186"/>
      <c r="O34" s="177"/>
      <c r="P34" s="9"/>
      <c r="Q34" s="5"/>
      <c r="S34" s="183"/>
    </row>
    <row r="35" spans="1:24" ht="14.1" customHeight="1" x14ac:dyDescent="0.2">
      <c r="A35" s="4">
        <v>20</v>
      </c>
      <c r="B35" s="186"/>
      <c r="O35" s="177"/>
      <c r="P35" s="9"/>
      <c r="Q35" s="5"/>
      <c r="R35" s="5"/>
      <c r="S35" s="5"/>
      <c r="T35" s="64"/>
      <c r="U35" s="68"/>
      <c r="X35" s="5">
        <f>+SUM(X16:X33)</f>
        <v>0</v>
      </c>
    </row>
    <row r="36" spans="1:24" ht="14.1" customHeight="1" x14ac:dyDescent="0.2">
      <c r="A36" s="4">
        <v>21</v>
      </c>
      <c r="B36" s="186"/>
      <c r="G36" s="5"/>
      <c r="J36" s="5"/>
      <c r="L36" s="183"/>
      <c r="O36" s="177"/>
      <c r="P36" s="9"/>
    </row>
    <row r="37" spans="1:24" ht="14.1" customHeight="1" x14ac:dyDescent="0.2">
      <c r="A37" s="4">
        <v>22</v>
      </c>
      <c r="B37" s="186"/>
      <c r="O37" s="177"/>
      <c r="P37" s="9"/>
    </row>
    <row r="38" spans="1:24" ht="14.1" customHeight="1" x14ac:dyDescent="0.2">
      <c r="A38" s="4">
        <v>23</v>
      </c>
      <c r="B38" s="186"/>
      <c r="C38" s="4" t="s">
        <v>397</v>
      </c>
      <c r="I38" s="47">
        <f>L27</f>
        <v>10000.000001000008</v>
      </c>
      <c r="K38" s="186"/>
      <c r="O38" s="177"/>
      <c r="P38" s="9"/>
    </row>
    <row r="39" spans="1:24" ht="14.1" customHeight="1" x14ac:dyDescent="0.35">
      <c r="A39" s="4">
        <v>24</v>
      </c>
      <c r="B39" s="186"/>
      <c r="I39" s="232"/>
      <c r="O39" s="177"/>
      <c r="P39" s="6"/>
      <c r="Q39" s="5"/>
      <c r="R39" s="5"/>
      <c r="S39" s="47"/>
      <c r="T39" s="5"/>
    </row>
    <row r="40" spans="1:24" ht="14.1" customHeight="1" x14ac:dyDescent="0.2">
      <c r="A40" s="4">
        <v>25</v>
      </c>
      <c r="B40" s="186"/>
      <c r="I40" s="47"/>
      <c r="J40" s="47"/>
      <c r="K40" s="47"/>
      <c r="O40" s="177"/>
      <c r="P40" s="9"/>
    </row>
    <row r="41" spans="1:24" ht="14.1" customHeight="1" x14ac:dyDescent="0.2">
      <c r="A41" s="4">
        <v>26</v>
      </c>
      <c r="B41" s="186"/>
      <c r="O41" s="177"/>
      <c r="P41" s="9"/>
    </row>
    <row r="42" spans="1:24" ht="14.1" customHeight="1" x14ac:dyDescent="0.2">
      <c r="A42" s="4">
        <v>27</v>
      </c>
      <c r="B42" s="186"/>
      <c r="C42" s="213"/>
      <c r="D42" s="9"/>
      <c r="E42" s="9"/>
      <c r="F42" s="173"/>
      <c r="G42" s="173"/>
      <c r="H42" s="173"/>
      <c r="I42" s="173"/>
      <c r="J42" s="173"/>
      <c r="L42" s="177"/>
      <c r="O42" s="177"/>
      <c r="P42" s="9"/>
    </row>
    <row r="43" spans="1:24" ht="14.1" customHeight="1" x14ac:dyDescent="0.2">
      <c r="A43" s="4">
        <v>28</v>
      </c>
      <c r="B43" s="186"/>
      <c r="C43" s="213"/>
      <c r="D43" s="9"/>
      <c r="E43" s="9"/>
      <c r="F43" s="173"/>
      <c r="G43" s="173"/>
      <c r="H43" s="173"/>
      <c r="I43" s="173"/>
      <c r="J43" s="173"/>
      <c r="L43" s="177"/>
      <c r="O43" s="177"/>
      <c r="P43" s="9"/>
    </row>
    <row r="44" spans="1:24" ht="14.1" customHeight="1" x14ac:dyDescent="0.2">
      <c r="A44" s="4">
        <v>29</v>
      </c>
      <c r="B44" s="188"/>
      <c r="C44" s="9"/>
      <c r="D44" s="9"/>
      <c r="E44" s="9"/>
      <c r="F44" s="177"/>
      <c r="G44" s="177"/>
      <c r="H44" s="177"/>
      <c r="I44" s="177"/>
      <c r="J44" s="177"/>
      <c r="L44" s="177"/>
      <c r="O44" s="177"/>
      <c r="P44" s="9"/>
    </row>
    <row r="45" spans="1:24" ht="14.1" customHeight="1" x14ac:dyDescent="0.2">
      <c r="A45" s="4">
        <v>30</v>
      </c>
      <c r="B45" s="186"/>
      <c r="C45" s="9"/>
      <c r="D45" s="9"/>
      <c r="E45" s="9"/>
      <c r="F45" s="9"/>
      <c r="G45" s="6"/>
      <c r="H45" s="6"/>
      <c r="I45" s="6"/>
      <c r="J45" s="6"/>
      <c r="L45" s="177"/>
      <c r="O45" s="177"/>
      <c r="P45" s="9"/>
    </row>
    <row r="46" spans="1:24" ht="14.1" customHeight="1" x14ac:dyDescent="0.2">
      <c r="A46" s="4">
        <v>31</v>
      </c>
      <c r="B46" s="186"/>
      <c r="C46" s="9" t="s">
        <v>383</v>
      </c>
      <c r="D46" s="9"/>
      <c r="E46" s="9"/>
      <c r="F46" s="177"/>
      <c r="G46" s="177"/>
      <c r="H46" s="177"/>
      <c r="I46" s="177"/>
      <c r="J46" s="177"/>
      <c r="L46" s="55"/>
      <c r="M46" s="55"/>
      <c r="N46" s="9"/>
      <c r="O46" s="177"/>
      <c r="P46" s="9"/>
    </row>
    <row r="47" spans="1:24" ht="14.1" customHeight="1" x14ac:dyDescent="0.2">
      <c r="A47" s="4">
        <v>32</v>
      </c>
      <c r="B47" s="186"/>
      <c r="C47" s="9" t="s">
        <v>32</v>
      </c>
      <c r="D47" s="9"/>
      <c r="E47" s="9"/>
      <c r="F47" s="177"/>
      <c r="G47" s="177">
        <f>+G16</f>
        <v>776798.04889333341</v>
      </c>
      <c r="H47" s="177"/>
      <c r="I47" s="177">
        <f>+I16</f>
        <v>783122.45086755964</v>
      </c>
      <c r="J47" s="177"/>
      <c r="L47" s="177">
        <f>+L16</f>
        <v>6324.4019742262317</v>
      </c>
      <c r="O47" s="177"/>
      <c r="P47" s="9"/>
    </row>
    <row r="48" spans="1:24" ht="14.1" customHeight="1" x14ac:dyDescent="0.2">
      <c r="A48" s="4">
        <v>33</v>
      </c>
      <c r="B48" s="186"/>
      <c r="C48" s="9" t="s">
        <v>33</v>
      </c>
      <c r="D48" s="9"/>
      <c r="E48" s="9"/>
      <c r="F48" s="177"/>
      <c r="G48" s="181">
        <f>+G17+G18</f>
        <v>82805.975012132913</v>
      </c>
      <c r="H48" s="177"/>
      <c r="I48" s="181">
        <f>+I17+I18</f>
        <v>83480.150587870463</v>
      </c>
      <c r="J48" s="177"/>
      <c r="L48" s="181">
        <f>+L17+L18</f>
        <v>674.17557573755357</v>
      </c>
      <c r="O48" s="177"/>
      <c r="P48" s="9"/>
    </row>
    <row r="49" spans="1:18" ht="14.1" customHeight="1" x14ac:dyDescent="0.2">
      <c r="A49" s="4">
        <v>34</v>
      </c>
      <c r="B49" s="186"/>
      <c r="C49" s="9"/>
      <c r="D49" s="9"/>
      <c r="E49" s="9"/>
      <c r="F49" s="177"/>
      <c r="G49" s="177">
        <f>SUM(G47:G48)</f>
        <v>859604.02390546631</v>
      </c>
      <c r="H49" s="177"/>
      <c r="I49" s="177">
        <f>SUM(I47:I48)</f>
        <v>866602.60145543015</v>
      </c>
      <c r="J49" s="177"/>
      <c r="L49" s="177">
        <f>SUM(L47:L48)</f>
        <v>6998.5775499637857</v>
      </c>
      <c r="M49" s="153">
        <f>+L49/G49</f>
        <v>8.1416295821498431E-3</v>
      </c>
      <c r="O49" s="177"/>
      <c r="P49" s="9"/>
    </row>
    <row r="50" spans="1:18" ht="14.1" customHeight="1" x14ac:dyDescent="0.2">
      <c r="A50" s="4">
        <v>35</v>
      </c>
      <c r="B50" s="186"/>
      <c r="C50" s="9"/>
      <c r="D50" s="9"/>
      <c r="E50" s="9"/>
      <c r="F50" s="9"/>
      <c r="G50" s="214"/>
      <c r="H50" s="6"/>
      <c r="I50" s="214"/>
      <c r="J50" s="6"/>
      <c r="L50" s="214"/>
      <c r="M50" s="153"/>
      <c r="O50" s="177"/>
      <c r="P50" s="9"/>
    </row>
    <row r="51" spans="1:18" ht="14.1" customHeight="1" x14ac:dyDescent="0.2">
      <c r="A51" s="4">
        <v>36</v>
      </c>
      <c r="B51" s="186"/>
      <c r="C51" s="9" t="s">
        <v>34</v>
      </c>
      <c r="D51" s="9"/>
      <c r="E51" s="9"/>
      <c r="F51" s="9"/>
      <c r="G51" s="6">
        <f>+G20+G19+G23</f>
        <v>301448.78087363602</v>
      </c>
      <c r="H51" s="6"/>
      <c r="I51" s="6">
        <f>+I20+I19+I23</f>
        <v>303903.06518549979</v>
      </c>
      <c r="J51" s="6"/>
      <c r="L51" s="6">
        <f>+L20+L19+L23</f>
        <v>2454.2843118637647</v>
      </c>
      <c r="M51" s="153">
        <f>+L51/G51</f>
        <v>8.1416295821497234E-3</v>
      </c>
      <c r="O51" s="177"/>
      <c r="P51" s="9"/>
    </row>
    <row r="52" spans="1:18" ht="14.1" customHeight="1" x14ac:dyDescent="0.2">
      <c r="A52" s="4">
        <v>37</v>
      </c>
      <c r="B52" s="186"/>
      <c r="C52" s="9"/>
      <c r="D52" s="9"/>
      <c r="E52" s="9"/>
      <c r="F52" s="9"/>
      <c r="G52" s="6"/>
      <c r="H52" s="6"/>
      <c r="I52" s="6"/>
      <c r="J52" s="6"/>
      <c r="L52" s="6"/>
      <c r="M52" s="153"/>
      <c r="O52" s="177"/>
      <c r="P52" s="9"/>
    </row>
    <row r="53" spans="1:18" ht="14.1" customHeight="1" x14ac:dyDescent="0.2">
      <c r="A53" s="4">
        <v>38</v>
      </c>
      <c r="B53" s="186"/>
      <c r="C53" s="4" t="s">
        <v>529</v>
      </c>
      <c r="G53" s="6">
        <f>+G21+G24</f>
        <v>40089.265626684471</v>
      </c>
      <c r="I53" s="6">
        <f>+I21+I24</f>
        <v>40415.657577637336</v>
      </c>
      <c r="L53" s="6">
        <f>+L21+L24</f>
        <v>326.39195095286777</v>
      </c>
      <c r="M53" s="153">
        <f>+L53/G53</f>
        <v>8.141629582149609E-3</v>
      </c>
      <c r="O53" s="177"/>
      <c r="P53" s="9"/>
    </row>
    <row r="54" spans="1:18" ht="14.1" customHeight="1" x14ac:dyDescent="0.35">
      <c r="A54" s="4">
        <v>39</v>
      </c>
      <c r="B54" s="186"/>
      <c r="C54" s="4" t="s">
        <v>615</v>
      </c>
      <c r="G54" s="67">
        <f>+G22+G25</f>
        <v>23898.185286877655</v>
      </c>
      <c r="I54" s="67">
        <f>+I22+I25</f>
        <v>24092.755459168999</v>
      </c>
      <c r="L54" s="67">
        <f>+L22+L25</f>
        <v>194.57017229134362</v>
      </c>
      <c r="M54" s="153">
        <f>+L54/G54</f>
        <v>8.141629582149942E-3</v>
      </c>
      <c r="O54" s="177"/>
      <c r="P54" s="9"/>
    </row>
    <row r="55" spans="1:18" ht="14.1" customHeight="1" x14ac:dyDescent="0.2">
      <c r="A55" s="4">
        <v>40</v>
      </c>
      <c r="B55" s="186"/>
      <c r="G55" s="5">
        <f>SUM(G53:G54)</f>
        <v>63987.450913562127</v>
      </c>
      <c r="I55" s="5">
        <f>SUM(I53:I54)</f>
        <v>64508.413036806334</v>
      </c>
      <c r="L55" s="5">
        <f>SUM(L53:L54)</f>
        <v>520.9621232442114</v>
      </c>
      <c r="M55" s="153"/>
      <c r="O55" s="177"/>
      <c r="P55" s="9"/>
    </row>
    <row r="56" spans="1:18" ht="14.1" customHeight="1" x14ac:dyDescent="0.2">
      <c r="A56" s="4">
        <v>41</v>
      </c>
      <c r="B56" s="186"/>
      <c r="M56" s="281"/>
      <c r="O56" s="177"/>
      <c r="P56" s="9"/>
    </row>
    <row r="57" spans="1:18" ht="14.1" customHeight="1" x14ac:dyDescent="0.2">
      <c r="A57" s="4">
        <v>42</v>
      </c>
      <c r="B57" s="186"/>
      <c r="C57" s="4" t="s">
        <v>384</v>
      </c>
      <c r="G57" s="5">
        <f>+G26</f>
        <v>3215.0831309785326</v>
      </c>
      <c r="I57" s="5">
        <f>+I26</f>
        <v>3241.2591469067784</v>
      </c>
      <c r="L57" s="5">
        <f>+L26</f>
        <v>26.176015928245761</v>
      </c>
      <c r="M57" s="152">
        <f>+L57/G57</f>
        <v>8.1416295821498431E-3</v>
      </c>
      <c r="O57" s="177"/>
      <c r="P57" s="9"/>
    </row>
    <row r="58" spans="1:18" ht="14.1" customHeight="1" x14ac:dyDescent="0.2">
      <c r="A58" s="4">
        <v>43</v>
      </c>
      <c r="B58" s="186"/>
      <c r="G58" s="6"/>
      <c r="H58" s="9"/>
      <c r="I58" s="6"/>
      <c r="J58" s="9"/>
      <c r="L58" s="5"/>
      <c r="M58" s="152"/>
      <c r="O58" s="177"/>
      <c r="P58" s="9"/>
    </row>
    <row r="59" spans="1:18" ht="14.1" customHeight="1" x14ac:dyDescent="0.2">
      <c r="A59" s="4">
        <v>44</v>
      </c>
      <c r="B59" s="186"/>
      <c r="H59" s="9"/>
      <c r="I59" s="9"/>
      <c r="J59" s="9"/>
      <c r="L59" s="5"/>
      <c r="M59" s="281"/>
      <c r="O59" s="177"/>
      <c r="P59" s="9"/>
    </row>
    <row r="60" spans="1:18" ht="14.1" customHeight="1" x14ac:dyDescent="0.2">
      <c r="A60" s="4">
        <v>45</v>
      </c>
      <c r="B60" s="186"/>
      <c r="C60" s="4" t="s">
        <v>35</v>
      </c>
      <c r="G60" s="5">
        <f>+G49+G54+G57+G58+G51+G53</f>
        <v>1228255.338823643</v>
      </c>
      <c r="I60" s="183">
        <f>+I49+I54+I57+I58+I51+I53</f>
        <v>1238255.3388246431</v>
      </c>
      <c r="L60" s="5">
        <f>+L49+L55+L51+L57+L58</f>
        <v>10000.000001000008</v>
      </c>
      <c r="M60" s="153">
        <f>+L60/G60</f>
        <v>8.1416295821498084E-3</v>
      </c>
      <c r="O60" s="177"/>
      <c r="P60" s="9"/>
    </row>
    <row r="61" spans="1:18" ht="14.1" customHeight="1" x14ac:dyDescent="0.2">
      <c r="A61" s="4">
        <v>46</v>
      </c>
      <c r="B61" s="186"/>
      <c r="N61" s="9"/>
      <c r="O61" s="177"/>
      <c r="P61" s="177"/>
      <c r="Q61" s="177"/>
      <c r="R61" s="9"/>
    </row>
    <row r="62" spans="1:18" ht="14.1" customHeight="1" thickBot="1" x14ac:dyDescent="0.25">
      <c r="A62" s="16">
        <v>47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</row>
    <row r="63" spans="1:18" ht="14.1" customHeight="1" x14ac:dyDescent="0.2">
      <c r="A63" s="4" t="s">
        <v>737</v>
      </c>
    </row>
    <row r="64" spans="1:18" ht="14.1" customHeight="1" x14ac:dyDescent="0.2">
      <c r="C64" s="9"/>
      <c r="D64" s="9"/>
      <c r="E64" s="9"/>
      <c r="F64" s="9"/>
      <c r="G64" s="9"/>
      <c r="H64" s="9"/>
      <c r="I64" s="9"/>
      <c r="J64" s="9"/>
      <c r="K64" s="9"/>
      <c r="L64" s="188"/>
      <c r="M64" s="9"/>
      <c r="N64" s="9"/>
      <c r="O64" s="9"/>
    </row>
    <row r="65" spans="3:15" ht="14.1" customHeight="1" x14ac:dyDescent="0.2">
      <c r="C65" s="9"/>
      <c r="D65" s="9"/>
      <c r="E65" s="9"/>
      <c r="F65" s="9"/>
      <c r="G65" s="9"/>
      <c r="H65" s="6"/>
      <c r="I65" s="9"/>
      <c r="J65" s="9"/>
      <c r="K65" s="9"/>
      <c r="L65" s="6"/>
      <c r="M65" s="9"/>
      <c r="N65" s="6"/>
      <c r="O65" s="9"/>
    </row>
    <row r="66" spans="3:15" ht="14.1" customHeight="1" x14ac:dyDescent="0.2">
      <c r="C66" s="9"/>
      <c r="D66" s="9"/>
      <c r="E66" s="9"/>
      <c r="F66" s="9"/>
      <c r="G66" s="9"/>
      <c r="H66" s="6"/>
      <c r="I66" s="9"/>
      <c r="J66" s="9"/>
      <c r="K66" s="9"/>
      <c r="L66" s="6"/>
      <c r="M66" s="9"/>
      <c r="N66" s="6"/>
      <c r="O66" s="9"/>
    </row>
    <row r="67" spans="3:15" ht="14.1" customHeight="1" x14ac:dyDescent="0.2">
      <c r="C67" s="9"/>
      <c r="D67" s="9"/>
      <c r="E67" s="9"/>
      <c r="F67" s="9"/>
      <c r="G67" s="9"/>
      <c r="H67" s="6"/>
      <c r="I67" s="9"/>
      <c r="J67" s="9"/>
      <c r="K67" s="9"/>
      <c r="L67" s="6"/>
      <c r="M67" s="9"/>
      <c r="N67" s="6"/>
      <c r="O67" s="9"/>
    </row>
    <row r="68" spans="3:15" ht="14.1" customHeight="1" x14ac:dyDescent="0.2">
      <c r="C68" s="9"/>
      <c r="D68" s="9"/>
      <c r="E68" s="9"/>
      <c r="F68" s="9"/>
      <c r="G68" s="9"/>
      <c r="H68" s="6"/>
      <c r="I68" s="9"/>
      <c r="J68" s="9"/>
      <c r="K68" s="9"/>
      <c r="L68" s="6"/>
      <c r="M68" s="9"/>
      <c r="N68" s="6"/>
      <c r="O68" s="9"/>
    </row>
    <row r="69" spans="3:15" ht="14.1" customHeight="1" x14ac:dyDescent="0.2">
      <c r="C69" s="9"/>
      <c r="D69" s="9"/>
      <c r="E69" s="9"/>
      <c r="F69" s="9"/>
      <c r="G69" s="9"/>
      <c r="H69" s="6"/>
      <c r="I69" s="9"/>
      <c r="J69" s="9"/>
      <c r="K69" s="9"/>
      <c r="L69" s="6"/>
      <c r="M69" s="9"/>
      <c r="N69" s="6"/>
      <c r="O69" s="9"/>
    </row>
    <row r="70" spans="3:15" ht="14.1" customHeight="1" x14ac:dyDescent="0.2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3:15" ht="14.1" customHeight="1" x14ac:dyDescent="0.2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</sheetData>
  <sortState xmlns:xlrd2="http://schemas.microsoft.com/office/spreadsheetml/2017/richdata2" ref="L51:M51">
    <sortCondition sortBy="icon" ref="M51"/>
  </sortState>
  <mergeCells count="2">
    <mergeCell ref="L13:M13"/>
    <mergeCell ref="H3:L3"/>
  </mergeCells>
  <phoneticPr fontId="4" type="noConversion"/>
  <printOptions horizontalCentered="1" verticalCentered="1"/>
  <pageMargins left="0.5" right="0.5" top="1.25" bottom="0.35000000000000003" header="0.5" footer="0.25"/>
  <pageSetup scale="60" orientation="landscape" r:id="rId1"/>
  <headerFooter alignWithMargins="0"/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indexed="10"/>
    <pageSetUpPr fitToPage="1"/>
  </sheetPr>
  <dimension ref="A1:AE1029"/>
  <sheetViews>
    <sheetView topLeftCell="A2" zoomScale="160" zoomScaleNormal="160" zoomScaleSheetLayoutView="100" workbookViewId="0">
      <selection activeCell="D3" sqref="D3"/>
    </sheetView>
  </sheetViews>
  <sheetFormatPr defaultColWidth="9.140625" defaultRowHeight="14.1" customHeight="1" x14ac:dyDescent="0.2"/>
  <cols>
    <col min="1" max="1" width="3.5703125" style="4" customWidth="1"/>
    <col min="2" max="2" width="6.85546875" style="4" bestFit="1" customWidth="1"/>
    <col min="3" max="3" width="9.5703125" style="4" customWidth="1"/>
    <col min="4" max="4" width="17.5703125" style="4" customWidth="1"/>
    <col min="5" max="5" width="12.5703125" style="4" customWidth="1"/>
    <col min="6" max="6" width="9" style="4" bestFit="1" customWidth="1"/>
    <col min="7" max="7" width="9.5703125" style="4" customWidth="1"/>
    <col min="8" max="8" width="16" style="4" bestFit="1" customWidth="1"/>
    <col min="9" max="9" width="19" style="4" bestFit="1" customWidth="1"/>
    <col min="10" max="10" width="5.5703125" style="4" customWidth="1"/>
    <col min="11" max="11" width="6.42578125" style="148" customWidth="1"/>
    <col min="12" max="12" width="13.5703125" style="4" customWidth="1"/>
    <col min="13" max="13" width="8.5703125" style="4" customWidth="1"/>
    <col min="14" max="14" width="10.140625" style="4" customWidth="1"/>
    <col min="15" max="15" width="11.140625" style="4" customWidth="1"/>
    <col min="16" max="16" width="17" style="4" customWidth="1"/>
    <col min="17" max="17" width="11.28515625" style="4" customWidth="1"/>
    <col min="18" max="18" width="16.140625" style="4" bestFit="1" customWidth="1"/>
    <col min="19" max="19" width="18.7109375" style="4" bestFit="1" customWidth="1"/>
    <col min="20" max="20" width="9.5703125" style="4" customWidth="1"/>
    <col min="21" max="21" width="15" style="4" bestFit="1" customWidth="1"/>
    <col min="22" max="22" width="14.5703125" style="4" bestFit="1" customWidth="1"/>
    <col min="23" max="23" width="18.28515625" style="4" bestFit="1" customWidth="1"/>
    <col min="24" max="24" width="18.28515625" style="4" customWidth="1"/>
    <col min="25" max="25" width="13.140625" style="4" bestFit="1" customWidth="1"/>
    <col min="26" max="27" width="9.140625" style="4"/>
    <col min="28" max="28" width="14.5703125" style="4" bestFit="1" customWidth="1"/>
    <col min="29" max="29" width="18.28515625" style="4" bestFit="1" customWidth="1"/>
    <col min="30" max="30" width="15" style="4" bestFit="1" customWidth="1"/>
    <col min="31" max="31" width="13.140625" style="4" bestFit="1" customWidth="1"/>
    <col min="32" max="16384" width="9.140625" style="4"/>
  </cols>
  <sheetData>
    <row r="1" spans="1:22" ht="14.1" hidden="1" customHeight="1" x14ac:dyDescent="0.2">
      <c r="R1" s="4">
        <v>52</v>
      </c>
      <c r="S1" s="4">
        <v>19</v>
      </c>
    </row>
    <row r="2" spans="1:22" ht="14.1" customHeight="1" x14ac:dyDescent="0.2">
      <c r="H2" s="292" t="s">
        <v>768</v>
      </c>
      <c r="I2" s="292"/>
      <c r="J2" s="292"/>
      <c r="K2" s="292"/>
      <c r="L2" s="292"/>
    </row>
    <row r="3" spans="1:22" ht="14.1" customHeight="1" thickBot="1" x14ac:dyDescent="0.25">
      <c r="A3" s="16" t="s">
        <v>7</v>
      </c>
      <c r="B3" s="16"/>
      <c r="C3" s="16"/>
      <c r="D3" s="16"/>
      <c r="E3" s="16"/>
      <c r="F3" s="16"/>
      <c r="G3" s="16"/>
      <c r="H3" s="301" t="s">
        <v>380</v>
      </c>
      <c r="I3" s="301"/>
      <c r="J3" s="301"/>
      <c r="K3" s="301"/>
      <c r="L3" s="301"/>
      <c r="M3" s="16"/>
      <c r="N3" s="16"/>
      <c r="O3" s="16"/>
      <c r="P3" s="16"/>
      <c r="Q3" s="16"/>
      <c r="R3" s="16"/>
      <c r="S3" s="16" t="str">
        <f>"Page " &amp; INT(ROW()/$R$1 +1)  &amp; "  of " &amp; S$1</f>
        <v>Page 1  of 19</v>
      </c>
      <c r="V3" s="151" t="s">
        <v>20</v>
      </c>
    </row>
    <row r="4" spans="1:22" ht="14.1" customHeight="1" x14ac:dyDescent="0.2">
      <c r="A4" s="4" t="s">
        <v>21</v>
      </c>
      <c r="E4" s="4" t="s">
        <v>761</v>
      </c>
      <c r="G4" s="4" t="s">
        <v>766</v>
      </c>
      <c r="K4" s="285"/>
      <c r="L4" s="56"/>
      <c r="N4" s="56"/>
      <c r="O4" s="56"/>
      <c r="P4" s="56" t="s">
        <v>663</v>
      </c>
      <c r="S4" s="22"/>
      <c r="U4" s="4" t="s">
        <v>672</v>
      </c>
      <c r="V4" s="156">
        <f>+'E-13a'!I27-'E-13a'!G27</f>
        <v>10000.000000999775</v>
      </c>
    </row>
    <row r="5" spans="1:22" ht="14.1" customHeight="1" x14ac:dyDescent="0.2">
      <c r="G5" s="4" t="s">
        <v>767</v>
      </c>
      <c r="K5" s="284"/>
      <c r="L5" s="22"/>
      <c r="O5" s="21"/>
      <c r="P5" s="21"/>
      <c r="Q5" s="22" t="s">
        <v>764</v>
      </c>
      <c r="S5" s="21"/>
      <c r="U5" s="4" t="s">
        <v>736</v>
      </c>
      <c r="V5" s="167">
        <v>8.1416295821500079E-3</v>
      </c>
    </row>
    <row r="6" spans="1:22" ht="14.1" customHeight="1" x14ac:dyDescent="0.2">
      <c r="A6" s="4" t="s">
        <v>29</v>
      </c>
      <c r="G6" s="4" t="s">
        <v>770</v>
      </c>
      <c r="K6" s="284"/>
      <c r="L6" s="22"/>
      <c r="M6" s="21"/>
      <c r="P6" s="21"/>
      <c r="Q6" s="22" t="s">
        <v>765</v>
      </c>
      <c r="S6" s="21"/>
    </row>
    <row r="7" spans="1:22" ht="14.1" customHeight="1" x14ac:dyDescent="0.2">
      <c r="G7" s="4" t="s">
        <v>769</v>
      </c>
      <c r="K7" s="284"/>
      <c r="L7" s="22"/>
      <c r="M7" s="21"/>
      <c r="P7" s="21"/>
      <c r="Q7" s="22"/>
      <c r="S7" s="21"/>
    </row>
    <row r="8" spans="1:22" ht="14.1" customHeight="1" x14ac:dyDescent="0.2">
      <c r="C8" s="21"/>
      <c r="H8" s="10"/>
      <c r="I8" s="10"/>
      <c r="J8" s="10"/>
      <c r="Q8" s="4" t="s">
        <v>738</v>
      </c>
    </row>
    <row r="9" spans="1:22" ht="14.1" customHeight="1" thickBot="1" x14ac:dyDescent="0.25">
      <c r="A9" s="16"/>
      <c r="B9" s="16"/>
      <c r="C9" s="150"/>
      <c r="D9" s="101"/>
      <c r="E9" s="101"/>
      <c r="F9" s="101"/>
      <c r="G9" s="102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</row>
    <row r="10" spans="1:22" ht="14.1" customHeight="1" x14ac:dyDescent="0.2">
      <c r="A10" s="9"/>
      <c r="B10" s="149"/>
      <c r="C10" s="149"/>
      <c r="D10" s="3"/>
      <c r="E10" s="3"/>
      <c r="F10" s="3"/>
      <c r="G10" s="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22" ht="14.1" customHeight="1" x14ac:dyDescent="0.2">
      <c r="A11" s="9"/>
      <c r="B11" s="92"/>
      <c r="C11" s="92"/>
      <c r="D11" s="1"/>
      <c r="E11" s="3"/>
      <c r="F11" s="1"/>
      <c r="G11" s="3"/>
      <c r="H11" s="39"/>
      <c r="I11" s="3"/>
      <c r="J11" s="1"/>
      <c r="K11" s="3"/>
      <c r="L11" s="1"/>
      <c r="M11" s="39"/>
      <c r="N11" s="1"/>
      <c r="O11" s="1"/>
      <c r="P11" s="1"/>
      <c r="Q11" s="1"/>
      <c r="R11" s="1"/>
      <c r="S11" s="1"/>
    </row>
    <row r="12" spans="1:22" ht="14.1" customHeight="1" x14ac:dyDescent="0.2">
      <c r="A12" s="9"/>
      <c r="B12" s="92"/>
      <c r="C12" s="1"/>
      <c r="D12" s="1"/>
      <c r="E12" s="1"/>
      <c r="F12" s="39"/>
      <c r="G12" s="39"/>
      <c r="H12" s="40"/>
      <c r="I12" s="40"/>
      <c r="J12" s="3"/>
      <c r="K12" s="41"/>
      <c r="L12" s="39"/>
      <c r="M12" s="1"/>
      <c r="N12" s="39"/>
      <c r="O12" s="39"/>
      <c r="P12" s="39"/>
      <c r="Q12" s="39"/>
      <c r="R12" s="39"/>
      <c r="S12" s="1"/>
    </row>
    <row r="13" spans="1:22" ht="14.1" customHeight="1" x14ac:dyDescent="0.2">
      <c r="A13" s="9"/>
      <c r="B13" s="92"/>
      <c r="C13" s="1"/>
      <c r="D13" s="1"/>
      <c r="E13" s="3"/>
      <c r="F13" s="39"/>
      <c r="G13" s="3"/>
      <c r="H13" s="39"/>
      <c r="I13" s="39"/>
      <c r="J13" s="39"/>
      <c r="K13" s="3"/>
      <c r="L13" s="39"/>
      <c r="M13" s="39"/>
      <c r="N13" s="39"/>
      <c r="O13" s="39"/>
      <c r="P13" s="39"/>
      <c r="Q13" s="39"/>
      <c r="R13" s="39"/>
      <c r="S13" s="39"/>
    </row>
    <row r="14" spans="1:22" ht="14.1" customHeight="1" x14ac:dyDescent="0.2">
      <c r="A14" s="149" t="s">
        <v>26</v>
      </c>
      <c r="B14" s="174"/>
      <c r="C14" s="216"/>
      <c r="D14" s="213"/>
      <c r="E14" s="213"/>
      <c r="F14" s="213"/>
      <c r="G14" s="187"/>
      <c r="H14" s="213"/>
      <c r="I14" s="213"/>
      <c r="J14" s="213"/>
      <c r="K14" s="187"/>
      <c r="L14" s="213"/>
      <c r="M14" s="187"/>
      <c r="N14" s="187"/>
      <c r="O14" s="213"/>
      <c r="P14" s="213"/>
      <c r="Q14" s="216"/>
      <c r="R14" s="217"/>
      <c r="S14" s="217"/>
    </row>
    <row r="15" spans="1:22" ht="14.1" customHeight="1" thickBot="1" x14ac:dyDescent="0.25">
      <c r="A15" s="16" t="s">
        <v>28</v>
      </c>
      <c r="B15" s="171"/>
      <c r="C15" s="215"/>
      <c r="D15" s="44"/>
      <c r="E15" s="151"/>
      <c r="F15" s="215"/>
      <c r="G15" s="215"/>
      <c r="H15" s="215"/>
      <c r="I15" s="194"/>
      <c r="J15" s="215"/>
      <c r="K15" s="194"/>
      <c r="L15" s="194"/>
      <c r="M15" s="215"/>
      <c r="N15" s="215"/>
      <c r="O15" s="215"/>
      <c r="P15" s="194"/>
      <c r="Q15" s="215"/>
      <c r="R15" s="194"/>
      <c r="S15" s="194"/>
    </row>
    <row r="16" spans="1:22" ht="14.1" customHeight="1" x14ac:dyDescent="0.2">
      <c r="A16" s="21">
        <v>1</v>
      </c>
      <c r="B16" s="169"/>
      <c r="C16" s="186"/>
      <c r="F16" s="177"/>
      <c r="G16" s="177"/>
      <c r="H16" s="177"/>
      <c r="I16" s="177"/>
      <c r="J16" s="183"/>
      <c r="K16" s="210"/>
      <c r="L16" s="183"/>
      <c r="M16" s="183"/>
      <c r="N16" s="183"/>
      <c r="O16" s="183"/>
      <c r="P16" s="183"/>
      <c r="Q16" s="183"/>
      <c r="R16" s="183"/>
      <c r="S16" s="183"/>
    </row>
    <row r="17" spans="1:19" ht="14.1" customHeight="1" x14ac:dyDescent="0.2">
      <c r="A17" s="4">
        <v>2</v>
      </c>
      <c r="B17" s="48"/>
      <c r="C17" s="188"/>
      <c r="D17" s="149"/>
      <c r="E17" s="9"/>
      <c r="M17" s="188"/>
      <c r="N17" s="188"/>
      <c r="O17" s="188"/>
      <c r="P17" s="188"/>
      <c r="Q17" s="188"/>
      <c r="R17" s="188"/>
      <c r="S17" s="188"/>
    </row>
    <row r="18" spans="1:19" ht="14.1" customHeight="1" x14ac:dyDescent="0.2">
      <c r="A18" s="21">
        <v>3</v>
      </c>
      <c r="B18" s="269"/>
      <c r="C18" s="188"/>
      <c r="D18" s="149"/>
      <c r="E18" s="177"/>
      <c r="M18" s="177"/>
      <c r="N18" s="179"/>
      <c r="O18" s="177"/>
      <c r="P18" s="177"/>
      <c r="Q18" s="177"/>
      <c r="R18" s="177"/>
      <c r="S18" s="180"/>
    </row>
    <row r="19" spans="1:19" ht="14.1" customHeight="1" x14ac:dyDescent="0.2">
      <c r="A19" s="4">
        <v>4</v>
      </c>
      <c r="B19" s="269"/>
      <c r="C19" s="188"/>
      <c r="D19" s="9"/>
      <c r="E19" s="177"/>
      <c r="F19" s="267" t="s">
        <v>233</v>
      </c>
      <c r="G19" s="188"/>
      <c r="H19" s="289" t="s">
        <v>217</v>
      </c>
      <c r="I19" s="177"/>
      <c r="J19" s="177"/>
      <c r="K19" s="177"/>
      <c r="L19" s="177"/>
      <c r="M19" s="177"/>
      <c r="N19" s="179"/>
      <c r="O19" s="177"/>
      <c r="P19" s="177"/>
      <c r="Q19" s="177"/>
      <c r="R19" s="177"/>
      <c r="S19" s="270"/>
    </row>
    <row r="20" spans="1:19" ht="14.1" customHeight="1" x14ac:dyDescent="0.2">
      <c r="A20" s="21">
        <v>5</v>
      </c>
      <c r="B20" s="269"/>
      <c r="C20" s="9"/>
      <c r="D20" s="9"/>
      <c r="E20" s="177"/>
      <c r="F20" s="148">
        <v>2</v>
      </c>
      <c r="G20" s="179"/>
      <c r="H20" s="177" t="str">
        <f>K66</f>
        <v>RS, RSVP-1</v>
      </c>
      <c r="I20" s="177"/>
      <c r="J20" s="177"/>
      <c r="K20" s="177"/>
      <c r="L20" s="177"/>
      <c r="M20" s="177"/>
      <c r="N20" s="179"/>
      <c r="O20" s="6"/>
      <c r="P20" s="177"/>
      <c r="Q20" s="177"/>
      <c r="R20" s="177"/>
      <c r="S20" s="270"/>
    </row>
    <row r="21" spans="1:19" ht="14.1" customHeight="1" x14ac:dyDescent="0.2">
      <c r="A21" s="4">
        <v>6</v>
      </c>
      <c r="B21" s="213"/>
      <c r="C21" s="188"/>
      <c r="D21" s="9"/>
      <c r="E21" s="177"/>
      <c r="F21" s="148">
        <v>3</v>
      </c>
      <c r="G21" s="179"/>
      <c r="H21" s="177" t="str">
        <f>K120</f>
        <v>GS, GST</v>
      </c>
      <c r="I21" s="177"/>
      <c r="J21" s="9"/>
      <c r="K21" s="149"/>
      <c r="L21" s="177"/>
      <c r="M21" s="177"/>
      <c r="N21" s="177"/>
      <c r="O21" s="177"/>
      <c r="P21" s="177"/>
      <c r="Q21" s="177"/>
      <c r="R21" s="177"/>
      <c r="S21" s="180"/>
    </row>
    <row r="22" spans="1:19" ht="14.1" customHeight="1" x14ac:dyDescent="0.2">
      <c r="A22" s="21">
        <v>7</v>
      </c>
      <c r="B22" s="213"/>
      <c r="C22" s="188"/>
      <c r="D22" s="9"/>
      <c r="E22" s="177"/>
      <c r="F22" s="148">
        <v>4</v>
      </c>
      <c r="G22" s="179"/>
      <c r="H22" s="177" t="str">
        <f>K174</f>
        <v>CS</v>
      </c>
      <c r="I22" s="177"/>
      <c r="J22" s="9"/>
      <c r="K22" s="149"/>
      <c r="L22" s="177"/>
      <c r="M22" s="177"/>
      <c r="N22" s="177"/>
      <c r="O22" s="177"/>
      <c r="P22" s="177"/>
      <c r="Q22" s="177"/>
      <c r="R22" s="177"/>
      <c r="S22" s="180"/>
    </row>
    <row r="23" spans="1:19" ht="14.1" customHeight="1" x14ac:dyDescent="0.2">
      <c r="A23" s="4">
        <v>8</v>
      </c>
      <c r="B23" s="269"/>
      <c r="C23" s="188"/>
      <c r="D23" s="9"/>
      <c r="E23" s="177"/>
      <c r="F23" s="148">
        <v>5</v>
      </c>
      <c r="G23" s="9"/>
      <c r="H23" s="177" t="str">
        <f>K228</f>
        <v>GSD,GSDT</v>
      </c>
      <c r="I23" s="9"/>
      <c r="J23" s="9"/>
      <c r="K23" s="149"/>
      <c r="L23" s="9"/>
      <c r="M23" s="177"/>
      <c r="N23" s="179"/>
      <c r="O23" s="177"/>
      <c r="P23" s="177"/>
      <c r="Q23" s="177"/>
      <c r="R23" s="177"/>
      <c r="S23" s="270"/>
    </row>
    <row r="24" spans="1:19" ht="14.1" customHeight="1" x14ac:dyDescent="0.2">
      <c r="A24" s="21">
        <v>9</v>
      </c>
      <c r="B24" s="271"/>
      <c r="C24" s="9"/>
      <c r="D24" s="9"/>
      <c r="E24" s="9"/>
      <c r="F24" s="148">
        <v>7</v>
      </c>
      <c r="G24" s="177"/>
      <c r="H24" s="177" t="s">
        <v>260</v>
      </c>
      <c r="I24" s="177"/>
      <c r="J24" s="177"/>
      <c r="K24" s="173"/>
      <c r="L24" s="177"/>
      <c r="M24" s="177"/>
      <c r="N24" s="179"/>
      <c r="O24" s="6"/>
      <c r="P24" s="177"/>
      <c r="Q24" s="6"/>
      <c r="R24" s="9"/>
      <c r="S24" s="180"/>
    </row>
    <row r="25" spans="1:19" ht="14.1" customHeight="1" x14ac:dyDescent="0.2">
      <c r="A25" s="4">
        <v>10</v>
      </c>
      <c r="B25" s="269"/>
      <c r="C25" s="188"/>
      <c r="D25" s="9"/>
      <c r="E25" s="177"/>
      <c r="F25" s="148">
        <v>8</v>
      </c>
      <c r="G25" s="9"/>
      <c r="H25" s="177" t="str">
        <f>K390</f>
        <v>GSLDPR, GSDLTPR</v>
      </c>
      <c r="I25" s="177"/>
      <c r="J25" s="9"/>
      <c r="K25" s="149"/>
      <c r="L25" s="177"/>
      <c r="M25" s="177"/>
      <c r="N25" s="76"/>
      <c r="O25" s="177"/>
      <c r="P25" s="177"/>
      <c r="Q25" s="177"/>
      <c r="R25" s="177"/>
      <c r="S25" s="270"/>
    </row>
    <row r="26" spans="1:19" ht="14.1" customHeight="1" x14ac:dyDescent="0.2">
      <c r="A26" s="21">
        <v>11</v>
      </c>
      <c r="B26" s="9"/>
      <c r="C26" s="9"/>
      <c r="D26" s="9"/>
      <c r="E26" s="9"/>
      <c r="F26" s="148">
        <v>9</v>
      </c>
      <c r="G26" s="272"/>
      <c r="H26" s="177" t="str">
        <f>K444</f>
        <v>GSLDSU, GSDLTSU</v>
      </c>
      <c r="I26" s="177"/>
      <c r="J26" s="177"/>
      <c r="K26" s="173"/>
      <c r="L26" s="177"/>
      <c r="M26" s="9"/>
      <c r="N26" s="9"/>
      <c r="O26" s="6"/>
      <c r="P26" s="9"/>
      <c r="Q26" s="6"/>
      <c r="R26" s="9"/>
      <c r="S26" s="9"/>
    </row>
    <row r="27" spans="1:19" ht="14.1" customHeight="1" x14ac:dyDescent="0.2">
      <c r="A27" s="4">
        <v>12</v>
      </c>
      <c r="B27" s="9"/>
      <c r="C27" s="9"/>
      <c r="D27" s="9"/>
      <c r="E27" s="9"/>
      <c r="F27" s="148">
        <v>10</v>
      </c>
      <c r="G27" s="9"/>
      <c r="H27" s="177" t="str">
        <f>K498</f>
        <v>SBLDPR,SBLDTPR</v>
      </c>
      <c r="I27" s="9"/>
      <c r="J27" s="9"/>
      <c r="K27" s="149"/>
      <c r="L27" s="9"/>
      <c r="M27" s="9"/>
      <c r="N27" s="9"/>
      <c r="O27" s="76"/>
      <c r="P27" s="9"/>
      <c r="Q27" s="6"/>
      <c r="R27" s="9"/>
      <c r="S27" s="9"/>
    </row>
    <row r="28" spans="1:19" ht="14.1" customHeight="1" x14ac:dyDescent="0.2">
      <c r="A28" s="21">
        <v>13</v>
      </c>
      <c r="B28" s="9"/>
      <c r="C28" s="9"/>
      <c r="D28" s="9"/>
      <c r="E28" s="9"/>
      <c r="F28" s="148">
        <v>12</v>
      </c>
      <c r="G28" s="9"/>
      <c r="H28" s="177" t="str">
        <f>K606</f>
        <v>SBLDSU,SBLDTSU</v>
      </c>
      <c r="I28" s="9"/>
      <c r="J28" s="9"/>
      <c r="K28" s="149"/>
      <c r="L28" s="9"/>
      <c r="M28" s="9"/>
      <c r="N28" s="9"/>
      <c r="O28" s="6"/>
      <c r="P28" s="9"/>
      <c r="Q28" s="6"/>
      <c r="R28" s="9"/>
      <c r="S28" s="9"/>
    </row>
    <row r="29" spans="1:19" ht="14.1" customHeight="1" x14ac:dyDescent="0.2">
      <c r="A29" s="4">
        <v>14</v>
      </c>
      <c r="B29" s="9"/>
      <c r="C29" s="9"/>
      <c r="D29" s="9"/>
      <c r="E29" s="9"/>
      <c r="F29" s="148">
        <v>14</v>
      </c>
      <c r="G29" s="9"/>
      <c r="H29" s="177" t="str">
        <f>K715</f>
        <v>SBD/SBDT</v>
      </c>
      <c r="I29" s="9"/>
      <c r="J29" s="9"/>
      <c r="K29" s="149"/>
      <c r="L29" s="9"/>
      <c r="M29" s="9"/>
      <c r="N29" s="9"/>
      <c r="O29" s="6"/>
      <c r="P29" s="9"/>
      <c r="Q29" s="6"/>
      <c r="R29" s="9"/>
      <c r="S29" s="9"/>
    </row>
    <row r="30" spans="1:19" ht="14.1" customHeight="1" x14ac:dyDescent="0.2">
      <c r="A30" s="21">
        <v>15</v>
      </c>
      <c r="B30" s="9"/>
      <c r="C30" s="9"/>
      <c r="D30" s="9"/>
      <c r="E30" s="9"/>
      <c r="F30" s="148">
        <v>18</v>
      </c>
      <c r="H30" s="177" t="str">
        <f>K932</f>
        <v>LS-1,LS-2</v>
      </c>
      <c r="I30" s="9"/>
      <c r="J30" s="9"/>
      <c r="K30" s="149"/>
      <c r="L30" s="9"/>
      <c r="M30" s="9"/>
      <c r="N30" s="9"/>
      <c r="O30" s="6"/>
      <c r="P30" s="9"/>
      <c r="Q30" s="6"/>
      <c r="R30" s="9"/>
      <c r="S30" s="9"/>
    </row>
    <row r="31" spans="1:19" ht="14.1" customHeight="1" x14ac:dyDescent="0.2">
      <c r="A31" s="4">
        <v>16</v>
      </c>
      <c r="F31" s="148">
        <v>19</v>
      </c>
      <c r="H31" s="4" t="s">
        <v>35</v>
      </c>
      <c r="J31" s="9"/>
      <c r="K31" s="149"/>
      <c r="L31" s="9"/>
      <c r="O31" s="5"/>
      <c r="Q31" s="5"/>
    </row>
    <row r="32" spans="1:19" ht="14.1" customHeight="1" x14ac:dyDescent="0.2">
      <c r="A32" s="21">
        <v>17</v>
      </c>
      <c r="B32" s="186"/>
      <c r="C32" s="186"/>
      <c r="F32" s="148"/>
      <c r="G32" s="9"/>
      <c r="J32" s="9"/>
      <c r="K32" s="149"/>
      <c r="L32" s="9"/>
      <c r="M32" s="177"/>
      <c r="N32" s="177"/>
      <c r="O32" s="177"/>
      <c r="P32" s="177"/>
      <c r="Q32" s="177"/>
      <c r="R32" s="177"/>
      <c r="S32" s="180"/>
    </row>
    <row r="33" spans="1:19" ht="14.1" customHeight="1" x14ac:dyDescent="0.2">
      <c r="A33" s="4">
        <v>18</v>
      </c>
      <c r="B33" s="186"/>
      <c r="C33" s="186"/>
      <c r="F33" s="148"/>
      <c r="G33" s="9"/>
      <c r="I33" s="9"/>
      <c r="J33" s="9"/>
      <c r="K33" s="149"/>
      <c r="L33" s="9"/>
      <c r="M33" s="177"/>
      <c r="N33" s="177"/>
      <c r="O33" s="177"/>
      <c r="P33" s="177"/>
      <c r="Q33" s="177"/>
      <c r="R33" s="177"/>
      <c r="S33" s="180"/>
    </row>
    <row r="34" spans="1:19" ht="14.1" customHeight="1" x14ac:dyDescent="0.2">
      <c r="A34" s="21">
        <v>19</v>
      </c>
      <c r="B34" s="186"/>
      <c r="C34" s="186"/>
      <c r="F34" s="148"/>
      <c r="G34" s="9"/>
      <c r="H34" s="177"/>
      <c r="I34" s="9"/>
      <c r="J34" s="9"/>
      <c r="K34" s="149"/>
      <c r="L34" s="9"/>
      <c r="M34" s="177"/>
      <c r="N34" s="177"/>
      <c r="O34" s="177"/>
      <c r="P34" s="177"/>
      <c r="Q34" s="177"/>
      <c r="R34" s="177"/>
      <c r="S34" s="180"/>
    </row>
    <row r="35" spans="1:19" ht="14.1" customHeight="1" x14ac:dyDescent="0.2">
      <c r="A35" s="4">
        <v>20</v>
      </c>
      <c r="B35" s="186"/>
      <c r="C35" s="186"/>
      <c r="F35" s="148"/>
      <c r="G35" s="9"/>
      <c r="H35" s="177"/>
      <c r="J35" s="9"/>
      <c r="K35" s="149"/>
      <c r="L35" s="9"/>
      <c r="M35" s="177"/>
      <c r="N35" s="177"/>
      <c r="O35" s="177"/>
      <c r="P35" s="177"/>
      <c r="Q35" s="177"/>
      <c r="R35" s="177"/>
      <c r="S35" s="180"/>
    </row>
    <row r="36" spans="1:19" ht="14.1" customHeight="1" x14ac:dyDescent="0.2">
      <c r="A36" s="21">
        <v>21</v>
      </c>
      <c r="B36" s="186"/>
      <c r="C36" s="186"/>
      <c r="F36" s="148"/>
      <c r="G36" s="9"/>
      <c r="I36" s="9"/>
      <c r="J36" s="9"/>
      <c r="K36" s="149"/>
      <c r="L36" s="9"/>
      <c r="M36" s="177"/>
      <c r="N36" s="177"/>
      <c r="O36" s="177"/>
      <c r="P36" s="177"/>
      <c r="Q36" s="177"/>
      <c r="R36" s="177"/>
      <c r="S36" s="180"/>
    </row>
    <row r="37" spans="1:19" ht="14.1" customHeight="1" x14ac:dyDescent="0.2">
      <c r="A37" s="4">
        <v>22</v>
      </c>
      <c r="B37" s="186"/>
      <c r="C37" s="186"/>
      <c r="F37" s="148"/>
      <c r="G37" s="9"/>
      <c r="H37" s="177"/>
      <c r="I37" s="9"/>
      <c r="J37" s="9"/>
      <c r="K37" s="149"/>
      <c r="L37" s="9"/>
      <c r="M37" s="177"/>
      <c r="N37" s="177"/>
      <c r="O37" s="177"/>
      <c r="P37" s="177"/>
      <c r="Q37" s="177"/>
      <c r="R37" s="177"/>
      <c r="S37" s="180"/>
    </row>
    <row r="38" spans="1:19" ht="14.1" customHeight="1" x14ac:dyDescent="0.2">
      <c r="A38" s="21">
        <v>23</v>
      </c>
      <c r="B38" s="169"/>
      <c r="C38" s="186"/>
      <c r="F38" s="148"/>
      <c r="G38" s="177"/>
      <c r="J38" s="177"/>
      <c r="K38" s="173"/>
      <c r="L38" s="177"/>
      <c r="M38" s="177"/>
      <c r="N38" s="177"/>
      <c r="O38" s="177"/>
      <c r="P38" s="177"/>
      <c r="Q38" s="177"/>
      <c r="R38" s="177"/>
      <c r="S38" s="177"/>
    </row>
    <row r="39" spans="1:19" ht="14.1" customHeight="1" x14ac:dyDescent="0.2">
      <c r="A39" s="4">
        <v>24</v>
      </c>
      <c r="B39" s="169"/>
      <c r="C39" s="186"/>
      <c r="F39" s="148"/>
      <c r="M39" s="177"/>
      <c r="N39" s="177"/>
      <c r="O39" s="177"/>
      <c r="P39" s="177"/>
      <c r="Q39" s="177"/>
      <c r="R39" s="177"/>
      <c r="S39" s="177"/>
    </row>
    <row r="40" spans="1:19" ht="14.1" customHeight="1" x14ac:dyDescent="0.2">
      <c r="A40" s="21">
        <v>25</v>
      </c>
      <c r="B40" s="169"/>
      <c r="C40" s="186"/>
      <c r="F40" s="148"/>
      <c r="G40" s="177"/>
      <c r="I40" s="177"/>
      <c r="J40" s="183"/>
      <c r="K40" s="173"/>
      <c r="L40" s="183"/>
      <c r="M40" s="177"/>
      <c r="N40" s="177"/>
      <c r="O40" s="177"/>
      <c r="P40" s="177"/>
      <c r="Q40" s="177"/>
      <c r="R40" s="177"/>
      <c r="S40" s="177"/>
    </row>
    <row r="41" spans="1:19" ht="14.1" customHeight="1" x14ac:dyDescent="0.2">
      <c r="A41" s="4">
        <v>26</v>
      </c>
      <c r="B41" s="169"/>
      <c r="C41" s="186"/>
      <c r="F41" s="177"/>
      <c r="G41" s="177"/>
      <c r="H41" s="177"/>
      <c r="I41" s="177"/>
      <c r="J41" s="183"/>
      <c r="K41" s="173"/>
      <c r="L41" s="183"/>
      <c r="M41" s="177"/>
      <c r="N41" s="177"/>
      <c r="O41" s="177"/>
      <c r="P41" s="177"/>
      <c r="Q41" s="177"/>
      <c r="R41" s="177"/>
      <c r="S41" s="177"/>
    </row>
    <row r="42" spans="1:19" ht="14.1" customHeight="1" x14ac:dyDescent="0.2">
      <c r="A42" s="21">
        <v>27</v>
      </c>
      <c r="B42" s="169"/>
      <c r="C42" s="186"/>
      <c r="F42" s="177"/>
      <c r="G42" s="177"/>
      <c r="H42" s="177"/>
      <c r="I42" s="177"/>
      <c r="J42" s="183"/>
      <c r="K42" s="173"/>
      <c r="L42" s="183"/>
      <c r="M42" s="177"/>
      <c r="N42" s="177"/>
      <c r="O42" s="177"/>
      <c r="P42" s="177"/>
      <c r="Q42" s="177"/>
      <c r="R42" s="177"/>
      <c r="S42" s="177"/>
    </row>
    <row r="43" spans="1:19" ht="14.1" customHeight="1" x14ac:dyDescent="0.2">
      <c r="A43" s="4">
        <v>28</v>
      </c>
      <c r="B43" s="169"/>
      <c r="C43" s="186"/>
      <c r="F43" s="177"/>
      <c r="G43" s="177"/>
      <c r="H43" s="177"/>
      <c r="I43" s="177"/>
      <c r="J43" s="183"/>
      <c r="K43" s="173"/>
      <c r="L43" s="183"/>
      <c r="M43" s="177"/>
      <c r="N43" s="177"/>
      <c r="O43" s="177"/>
      <c r="P43" s="177"/>
      <c r="Q43" s="177"/>
      <c r="R43" s="177"/>
      <c r="S43" s="177"/>
    </row>
    <row r="44" spans="1:19" ht="14.1" customHeight="1" x14ac:dyDescent="0.2">
      <c r="A44" s="21">
        <v>29</v>
      </c>
      <c r="B44" s="169"/>
      <c r="C44" s="186"/>
      <c r="F44" s="177"/>
      <c r="G44" s="177"/>
      <c r="H44" s="177"/>
      <c r="I44" s="177"/>
      <c r="J44" s="183"/>
      <c r="K44" s="173"/>
      <c r="L44" s="183"/>
      <c r="M44" s="177"/>
      <c r="N44" s="177"/>
      <c r="O44" s="177"/>
      <c r="P44" s="177"/>
      <c r="Q44" s="177"/>
      <c r="R44" s="177"/>
      <c r="S44" s="177"/>
    </row>
    <row r="45" spans="1:19" ht="14.1" customHeight="1" x14ac:dyDescent="0.2">
      <c r="A45" s="4">
        <v>30</v>
      </c>
      <c r="B45" s="169"/>
      <c r="C45" s="186"/>
      <c r="F45" s="177"/>
      <c r="G45" s="177"/>
      <c r="H45" s="177"/>
      <c r="I45" s="177"/>
      <c r="J45" s="183"/>
      <c r="K45" s="173"/>
      <c r="L45" s="183"/>
      <c r="M45" s="177"/>
      <c r="N45" s="177"/>
      <c r="O45" s="177"/>
      <c r="P45" s="177"/>
      <c r="Q45" s="177"/>
      <c r="R45" s="177"/>
      <c r="S45" s="177"/>
    </row>
    <row r="46" spans="1:19" ht="14.1" customHeight="1" x14ac:dyDescent="0.2">
      <c r="A46" s="21">
        <v>31</v>
      </c>
      <c r="B46" s="169"/>
      <c r="C46" s="186"/>
      <c r="F46" s="177"/>
      <c r="G46" s="177"/>
      <c r="H46" s="177"/>
      <c r="I46" s="177"/>
      <c r="J46" s="183"/>
      <c r="K46" s="173"/>
      <c r="L46" s="183"/>
      <c r="M46" s="177"/>
      <c r="N46" s="177"/>
      <c r="O46" s="177"/>
      <c r="P46" s="177"/>
      <c r="Q46" s="177"/>
      <c r="R46" s="177"/>
      <c r="S46" s="177"/>
    </row>
    <row r="47" spans="1:19" ht="14.1" customHeight="1" x14ac:dyDescent="0.2">
      <c r="A47" s="4">
        <v>32</v>
      </c>
      <c r="B47" s="170"/>
      <c r="C47" s="186"/>
      <c r="F47" s="177"/>
      <c r="G47" s="177"/>
      <c r="H47" s="177"/>
      <c r="I47" s="177"/>
      <c r="J47" s="183"/>
      <c r="K47" s="173"/>
      <c r="L47" s="183"/>
      <c r="M47" s="177"/>
      <c r="N47" s="177"/>
      <c r="O47" s="177"/>
      <c r="P47" s="177"/>
      <c r="Q47" s="177"/>
      <c r="R47" s="177"/>
      <c r="S47" s="177"/>
    </row>
    <row r="48" spans="1:19" ht="14.1" customHeight="1" x14ac:dyDescent="0.2">
      <c r="A48" s="21">
        <v>33</v>
      </c>
      <c r="B48" s="170"/>
      <c r="C48" s="186"/>
      <c r="F48" s="177"/>
      <c r="G48" s="177"/>
      <c r="H48" s="177"/>
      <c r="I48" s="177"/>
      <c r="J48" s="183"/>
      <c r="K48" s="173"/>
      <c r="L48" s="183"/>
      <c r="M48" s="177"/>
      <c r="N48" s="177"/>
      <c r="O48" s="177"/>
      <c r="P48" s="177"/>
      <c r="Q48" s="177"/>
      <c r="R48" s="177"/>
      <c r="S48" s="177"/>
    </row>
    <row r="49" spans="1:20" ht="14.1" customHeight="1" x14ac:dyDescent="0.2">
      <c r="A49" s="4">
        <v>34</v>
      </c>
      <c r="B49" s="170"/>
      <c r="C49" s="186"/>
      <c r="F49" s="177"/>
      <c r="G49" s="177"/>
      <c r="H49" s="177"/>
      <c r="I49" s="177"/>
      <c r="J49" s="183"/>
      <c r="K49" s="173"/>
      <c r="L49" s="183"/>
      <c r="M49" s="177"/>
      <c r="N49" s="177"/>
      <c r="O49" s="177"/>
      <c r="P49" s="177"/>
      <c r="Q49" s="177"/>
      <c r="R49" s="177"/>
      <c r="S49" s="177"/>
    </row>
    <row r="50" spans="1:20" ht="14.1" customHeight="1" x14ac:dyDescent="0.2">
      <c r="A50" s="21">
        <v>35</v>
      </c>
      <c r="B50" s="169"/>
      <c r="C50" s="186"/>
      <c r="F50" s="177"/>
      <c r="G50" s="177"/>
      <c r="H50" s="177"/>
      <c r="I50" s="177"/>
      <c r="J50" s="183"/>
      <c r="K50" s="173"/>
      <c r="L50" s="183"/>
      <c r="M50" s="177"/>
      <c r="N50" s="177"/>
      <c r="O50" s="177"/>
      <c r="P50" s="177"/>
      <c r="Q50" s="177"/>
      <c r="R50" s="177"/>
      <c r="S50" s="177"/>
    </row>
    <row r="51" spans="1:20" ht="14.1" customHeight="1" x14ac:dyDescent="0.2">
      <c r="A51" s="4">
        <v>36</v>
      </c>
      <c r="B51" s="169"/>
      <c r="C51" s="186"/>
      <c r="F51" s="177"/>
      <c r="G51" s="177"/>
      <c r="H51" s="177"/>
      <c r="I51" s="177"/>
      <c r="J51" s="183"/>
      <c r="K51" s="173"/>
      <c r="L51" s="183"/>
      <c r="M51" s="177"/>
      <c r="N51" s="177"/>
      <c r="O51" s="177"/>
      <c r="P51" s="177"/>
      <c r="Q51" s="177"/>
      <c r="R51" s="177"/>
      <c r="S51" s="177"/>
    </row>
    <row r="52" spans="1:20" ht="14.1" customHeight="1" x14ac:dyDescent="0.2">
      <c r="A52" s="21">
        <v>37</v>
      </c>
      <c r="B52" s="169"/>
      <c r="C52" s="186"/>
      <c r="F52" s="177"/>
      <c r="G52" s="177"/>
      <c r="H52" s="177"/>
      <c r="I52" s="177"/>
      <c r="J52" s="183"/>
      <c r="K52" s="173"/>
      <c r="L52" s="183"/>
      <c r="M52" s="177"/>
      <c r="N52" s="177"/>
      <c r="O52" s="177"/>
      <c r="P52" s="177"/>
      <c r="Q52" s="177"/>
      <c r="R52" s="177"/>
      <c r="S52" s="177"/>
    </row>
    <row r="53" spans="1:20" ht="14.1" customHeight="1" x14ac:dyDescent="0.2">
      <c r="A53" s="21">
        <v>38</v>
      </c>
      <c r="B53" s="169"/>
      <c r="C53" s="186"/>
      <c r="F53" s="177"/>
      <c r="G53" s="177"/>
      <c r="H53" s="177"/>
      <c r="I53" s="177"/>
      <c r="J53" s="183"/>
      <c r="K53" s="173"/>
      <c r="L53" s="183"/>
      <c r="M53" s="177"/>
      <c r="N53" s="177"/>
      <c r="O53" s="177"/>
      <c r="P53" s="177"/>
      <c r="Q53" s="177"/>
      <c r="R53" s="177"/>
      <c r="S53" s="177"/>
    </row>
    <row r="54" spans="1:20" ht="14.1" customHeight="1" thickBot="1" x14ac:dyDescent="0.25">
      <c r="A54" s="16">
        <v>39</v>
      </c>
      <c r="B54" s="16"/>
      <c r="C54" s="16"/>
      <c r="D54" s="16"/>
      <c r="E54" s="16"/>
      <c r="F54" s="16"/>
      <c r="G54" s="16"/>
      <c r="H54" s="16"/>
      <c r="I54" s="16"/>
      <c r="J54" s="16"/>
      <c r="K54" s="151"/>
      <c r="L54" s="16"/>
      <c r="M54" s="16"/>
      <c r="N54" s="16"/>
      <c r="O54" s="16"/>
      <c r="P54" s="16"/>
      <c r="Q54" s="16"/>
      <c r="R54" s="16"/>
      <c r="S54" s="16"/>
    </row>
    <row r="55" spans="1:20" ht="14.1" customHeight="1" x14ac:dyDescent="0.2">
      <c r="S55" s="4" t="s">
        <v>219</v>
      </c>
    </row>
    <row r="56" spans="1:20" ht="14.1" customHeight="1" x14ac:dyDescent="0.2">
      <c r="H56" s="292" t="s">
        <v>768</v>
      </c>
      <c r="I56" s="292"/>
      <c r="J56" s="292"/>
      <c r="K56" s="292"/>
      <c r="L56" s="292"/>
    </row>
    <row r="57" spans="1:20" ht="14.1" customHeight="1" thickBot="1" x14ac:dyDescent="0.25">
      <c r="A57" s="16" t="s">
        <v>7</v>
      </c>
      <c r="B57" s="16"/>
      <c r="C57" s="16"/>
      <c r="D57" s="16"/>
      <c r="E57" s="16"/>
      <c r="F57" s="16"/>
      <c r="G57" s="16"/>
      <c r="H57" s="301" t="s">
        <v>380</v>
      </c>
      <c r="I57" s="301"/>
      <c r="J57" s="301"/>
      <c r="K57" s="301"/>
      <c r="L57" s="301"/>
      <c r="M57" s="16"/>
      <c r="N57" s="16"/>
      <c r="O57" s="16"/>
      <c r="P57" s="16"/>
      <c r="Q57" s="16"/>
      <c r="R57" s="16"/>
      <c r="S57" s="16" t="str">
        <f>"Page " &amp; INT(ROW()/$R$1 +1)  &amp; "  of " &amp; S$1</f>
        <v>Page 2  of 19</v>
      </c>
      <c r="T57" s="9"/>
    </row>
    <row r="58" spans="1:20" ht="14.1" customHeight="1" x14ac:dyDescent="0.2">
      <c r="A58" s="4" t="s">
        <v>21</v>
      </c>
      <c r="E58" s="4" t="s">
        <v>761</v>
      </c>
      <c r="G58" s="4" t="s">
        <v>766</v>
      </c>
      <c r="K58" s="285"/>
      <c r="L58" s="56"/>
      <c r="N58" s="56"/>
      <c r="O58" s="56"/>
      <c r="P58" s="56" t="s">
        <v>663</v>
      </c>
      <c r="S58" s="22"/>
      <c r="T58" s="20"/>
    </row>
    <row r="59" spans="1:20" ht="14.1" customHeight="1" x14ac:dyDescent="0.2">
      <c r="G59" s="4" t="s">
        <v>767</v>
      </c>
      <c r="K59" s="284"/>
      <c r="L59" s="22"/>
      <c r="O59" s="21"/>
      <c r="P59" s="21"/>
      <c r="Q59" s="22" t="s">
        <v>764</v>
      </c>
      <c r="S59" s="21"/>
      <c r="T59" s="20"/>
    </row>
    <row r="60" spans="1:20" ht="14.1" customHeight="1" x14ac:dyDescent="0.2">
      <c r="A60" s="4" t="s">
        <v>29</v>
      </c>
      <c r="G60" s="4" t="s">
        <v>770</v>
      </c>
      <c r="K60" s="284"/>
      <c r="L60" s="22"/>
      <c r="M60" s="21"/>
      <c r="P60" s="21"/>
      <c r="Q60" s="22" t="s">
        <v>765</v>
      </c>
      <c r="S60" s="21"/>
      <c r="T60" s="20"/>
    </row>
    <row r="61" spans="1:20" ht="14.1" customHeight="1" x14ac:dyDescent="0.2">
      <c r="G61" s="4" t="s">
        <v>769</v>
      </c>
      <c r="K61" s="284"/>
      <c r="L61" s="22"/>
      <c r="M61" s="21"/>
      <c r="P61" s="21"/>
      <c r="Q61" s="22"/>
      <c r="S61" s="21"/>
      <c r="T61" s="20"/>
    </row>
    <row r="62" spans="1:20" ht="14.1" customHeight="1" x14ac:dyDescent="0.2">
      <c r="C62" s="21"/>
      <c r="H62" s="10"/>
      <c r="I62" s="10"/>
      <c r="J62" s="10"/>
      <c r="K62" s="284"/>
      <c r="Q62" s="4" t="s">
        <v>738</v>
      </c>
      <c r="T62" s="9"/>
    </row>
    <row r="63" spans="1:20" ht="14.1" customHeight="1" thickBot="1" x14ac:dyDescent="0.25">
      <c r="A63" s="16"/>
      <c r="B63" s="16"/>
      <c r="C63" s="150"/>
      <c r="D63" s="101"/>
      <c r="E63" s="101"/>
      <c r="F63" s="101"/>
      <c r="G63" s="102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</row>
    <row r="64" spans="1:20" ht="14.1" customHeight="1" x14ac:dyDescent="0.2">
      <c r="E64" s="10"/>
      <c r="G64" s="10"/>
      <c r="H64" s="103"/>
      <c r="I64" s="10"/>
      <c r="K64" s="10"/>
      <c r="M64" s="103"/>
    </row>
    <row r="65" spans="1:31" ht="14.1" customHeight="1" x14ac:dyDescent="0.2">
      <c r="A65" s="9"/>
      <c r="B65" s="92"/>
      <c r="C65" s="92"/>
      <c r="D65" s="1"/>
      <c r="E65" s="3"/>
      <c r="F65" s="1"/>
      <c r="G65" s="3"/>
      <c r="H65" s="39"/>
      <c r="I65" s="3"/>
      <c r="J65" s="1"/>
      <c r="K65" s="3"/>
      <c r="L65" s="1"/>
      <c r="M65" s="39"/>
      <c r="N65" s="1"/>
      <c r="O65" s="1"/>
      <c r="P65" s="1"/>
      <c r="Q65" s="1"/>
      <c r="R65" s="1"/>
      <c r="S65" s="1"/>
    </row>
    <row r="66" spans="1:31" ht="14.1" customHeight="1" x14ac:dyDescent="0.2">
      <c r="A66" s="9"/>
      <c r="B66" s="92"/>
      <c r="C66" s="1"/>
      <c r="D66" s="1"/>
      <c r="E66" s="1"/>
      <c r="F66" s="39"/>
      <c r="G66" s="39"/>
      <c r="H66" s="40"/>
      <c r="I66" s="40" t="s">
        <v>14</v>
      </c>
      <c r="J66" s="3"/>
      <c r="K66" s="41" t="s">
        <v>257</v>
      </c>
      <c r="L66" s="39"/>
      <c r="M66" s="1"/>
      <c r="N66" s="39"/>
      <c r="O66" s="39"/>
      <c r="P66" s="39"/>
      <c r="Q66" s="39"/>
      <c r="R66" s="39"/>
      <c r="S66" s="1"/>
    </row>
    <row r="67" spans="1:31" ht="14.1" customHeight="1" x14ac:dyDescent="0.2">
      <c r="A67" s="9"/>
      <c r="B67" s="92"/>
      <c r="C67" s="1"/>
      <c r="D67" s="1"/>
      <c r="E67" s="3"/>
      <c r="F67" s="39"/>
      <c r="G67" s="3"/>
      <c r="H67" s="39"/>
      <c r="I67" s="39"/>
      <c r="J67" s="39"/>
      <c r="K67" s="3"/>
      <c r="L67" s="39"/>
      <c r="M67" s="39"/>
      <c r="N67" s="39"/>
      <c r="O67" s="39"/>
      <c r="P67" s="39"/>
      <c r="Q67" s="39"/>
      <c r="R67" s="39"/>
      <c r="S67" s="39"/>
    </row>
    <row r="68" spans="1:31" ht="14.1" customHeight="1" x14ac:dyDescent="0.2">
      <c r="A68" s="149" t="s">
        <v>26</v>
      </c>
      <c r="B68" s="174" t="s">
        <v>5</v>
      </c>
      <c r="C68" s="216"/>
      <c r="D68" s="213"/>
      <c r="E68" s="192"/>
      <c r="F68" s="192"/>
      <c r="G68" s="267" t="s">
        <v>8</v>
      </c>
      <c r="H68" s="192"/>
      <c r="I68" s="192"/>
      <c r="J68" s="216"/>
      <c r="K68" s="187"/>
      <c r="L68" s="192"/>
      <c r="M68" s="267"/>
      <c r="N68" s="267" t="s">
        <v>9</v>
      </c>
      <c r="O68" s="192"/>
      <c r="P68" s="192"/>
      <c r="Q68" s="216"/>
      <c r="R68" s="290" t="s">
        <v>750</v>
      </c>
      <c r="S68" s="290" t="s">
        <v>752</v>
      </c>
    </row>
    <row r="69" spans="1:31" ht="14.1" customHeight="1" thickBot="1" x14ac:dyDescent="0.25">
      <c r="A69" s="16" t="s">
        <v>28</v>
      </c>
      <c r="B69" s="171" t="s">
        <v>10</v>
      </c>
      <c r="C69" s="215"/>
      <c r="D69" s="44"/>
      <c r="E69" s="151" t="s">
        <v>11</v>
      </c>
      <c r="F69" s="215"/>
      <c r="G69" s="215" t="s">
        <v>12</v>
      </c>
      <c r="H69" s="215"/>
      <c r="I69" s="194" t="s">
        <v>13</v>
      </c>
      <c r="J69" s="215"/>
      <c r="K69" s="194"/>
      <c r="L69" s="194" t="s">
        <v>11</v>
      </c>
      <c r="M69" s="215"/>
      <c r="N69" s="215" t="s">
        <v>12</v>
      </c>
      <c r="O69" s="215"/>
      <c r="P69" s="194" t="s">
        <v>13</v>
      </c>
      <c r="Q69" s="215"/>
      <c r="R69" s="291" t="s">
        <v>751</v>
      </c>
      <c r="S69" s="291" t="s">
        <v>4</v>
      </c>
    </row>
    <row r="70" spans="1:31" ht="14.1" customHeight="1" x14ac:dyDescent="0.2">
      <c r="A70" s="4">
        <v>1</v>
      </c>
      <c r="B70" s="169"/>
      <c r="C70" s="186"/>
      <c r="F70" s="177"/>
      <c r="G70" s="177"/>
      <c r="H70" s="177"/>
      <c r="I70" s="177"/>
      <c r="J70" s="183"/>
      <c r="K70" s="210"/>
      <c r="L70" s="183"/>
      <c r="M70" s="183"/>
      <c r="N70" s="183"/>
      <c r="O70" s="183"/>
      <c r="P70" s="183"/>
      <c r="Q70" s="183"/>
      <c r="R70" s="183"/>
      <c r="S70" s="183"/>
    </row>
    <row r="71" spans="1:31" ht="14.1" customHeight="1" x14ac:dyDescent="0.2">
      <c r="A71" s="4">
        <v>2</v>
      </c>
      <c r="B71" s="186" t="s">
        <v>393</v>
      </c>
      <c r="C71" s="186"/>
      <c r="F71" s="188"/>
      <c r="G71" s="188"/>
      <c r="H71" s="188"/>
      <c r="I71" s="188"/>
      <c r="J71" s="186"/>
      <c r="K71" s="217"/>
      <c r="L71" s="236"/>
      <c r="M71" s="188"/>
      <c r="N71" s="188"/>
      <c r="O71" s="188"/>
      <c r="P71" s="188"/>
      <c r="Q71" s="188"/>
      <c r="R71" s="188"/>
      <c r="S71" s="188"/>
      <c r="T71" s="9"/>
      <c r="W71" s="148"/>
      <c r="X71" s="148"/>
      <c r="AC71" s="148"/>
      <c r="AD71" s="148"/>
    </row>
    <row r="72" spans="1:31" ht="14.1" customHeight="1" x14ac:dyDescent="0.2">
      <c r="A72" s="4">
        <v>3</v>
      </c>
      <c r="B72" s="246" t="s">
        <v>55</v>
      </c>
      <c r="C72" s="186"/>
      <c r="E72" s="183">
        <f>+'ECCR Billing Determinants'!C3</f>
        <v>262800304.16666669</v>
      </c>
      <c r="F72" s="177" t="s">
        <v>611</v>
      </c>
      <c r="G72" s="179">
        <f>+Rates!D4</f>
        <v>0.7</v>
      </c>
      <c r="H72" s="177"/>
      <c r="I72" s="177">
        <f>+G72*E72</f>
        <v>183960212.91666666</v>
      </c>
      <c r="J72" s="183"/>
      <c r="K72" s="210"/>
      <c r="L72" s="183">
        <f>+E72</f>
        <v>262800304.16666669</v>
      </c>
      <c r="M72" s="177" t="s">
        <v>611</v>
      </c>
      <c r="N72" s="179">
        <f>+G72*(1+$V$5)</f>
        <v>0.70569914070750495</v>
      </c>
      <c r="O72" s="244"/>
      <c r="P72" s="177">
        <f>+N72*L72</f>
        <v>185457948.8280876</v>
      </c>
      <c r="Q72" s="177"/>
      <c r="R72" s="177">
        <f>+P72-I72</f>
        <v>1497735.9114209414</v>
      </c>
      <c r="S72" s="152">
        <f>IF(R72=0,0,(P72-I72)/I72)</f>
        <v>8.1416295821499767E-3</v>
      </c>
      <c r="T72" s="9"/>
      <c r="V72" s="276"/>
      <c r="W72" s="97"/>
      <c r="X72" s="97"/>
      <c r="Y72" s="46"/>
      <c r="AB72" s="276"/>
      <c r="AC72" s="46"/>
      <c r="AD72" s="46"/>
      <c r="AE72" s="46"/>
    </row>
    <row r="73" spans="1:31" ht="14.1" customHeight="1" x14ac:dyDescent="0.2">
      <c r="A73" s="4">
        <v>4</v>
      </c>
      <c r="B73" s="43" t="s">
        <v>214</v>
      </c>
      <c r="E73" s="181">
        <f>+'ECCR Billing Determinants'!C4</f>
        <v>1860891.6666666665</v>
      </c>
      <c r="F73" s="177" t="s">
        <v>611</v>
      </c>
      <c r="G73" s="179">
        <f>+Rates!D5</f>
        <v>0.7</v>
      </c>
      <c r="I73" s="177">
        <f>+G73*E73</f>
        <v>1302624.1666666665</v>
      </c>
      <c r="L73" s="181">
        <f t="shared" ref="L73" si="0">+E73</f>
        <v>1860891.6666666665</v>
      </c>
      <c r="M73" s="177" t="s">
        <v>611</v>
      </c>
      <c r="N73" s="179">
        <f>+G73*(1+$V$5)</f>
        <v>0.70569914070750495</v>
      </c>
      <c r="O73" s="244"/>
      <c r="P73" s="177">
        <f>+N73*L73</f>
        <v>1313229.6501164234</v>
      </c>
      <c r="R73" s="177">
        <f t="shared" ref="R73:R74" si="1">+P73-I73</f>
        <v>10605.483449756866</v>
      </c>
      <c r="S73" s="152">
        <f t="shared" ref="S73:S74" si="2">IF(R73=0,0,(P73-I73)/I73)</f>
        <v>8.1416295821500322E-3</v>
      </c>
      <c r="T73" s="9"/>
      <c r="V73" s="276"/>
      <c r="W73" s="97"/>
      <c r="X73" s="97"/>
      <c r="Y73" s="46"/>
    </row>
    <row r="74" spans="1:31" ht="14.1" customHeight="1" x14ac:dyDescent="0.2">
      <c r="A74" s="4">
        <v>5</v>
      </c>
      <c r="B74" s="216" t="s">
        <v>221</v>
      </c>
      <c r="C74" s="186"/>
      <c r="E74" s="183">
        <f>SUM(E72:E73)</f>
        <v>264661195.83333334</v>
      </c>
      <c r="F74" s="177" t="s">
        <v>613</v>
      </c>
      <c r="G74" s="177"/>
      <c r="H74" s="177"/>
      <c r="I74" s="185">
        <f>SUM(I72:I73)</f>
        <v>185262837.08333331</v>
      </c>
      <c r="J74" s="177"/>
      <c r="K74" s="173"/>
      <c r="L74" s="183">
        <f>SUM(L72:L73)</f>
        <v>264661195.83333334</v>
      </c>
      <c r="M74" s="177" t="s">
        <v>613</v>
      </c>
      <c r="N74" s="177"/>
      <c r="O74" s="177"/>
      <c r="P74" s="185">
        <f>SUM(P72:P73)</f>
        <v>186771178.47820401</v>
      </c>
      <c r="Q74" s="177"/>
      <c r="R74" s="177">
        <f t="shared" si="1"/>
        <v>1508341.3948706985</v>
      </c>
      <c r="S74" s="152">
        <f t="shared" si="2"/>
        <v>8.1416295821499785E-3</v>
      </c>
      <c r="T74" s="9"/>
    </row>
    <row r="75" spans="1:31" ht="14.1" customHeight="1" x14ac:dyDescent="0.2">
      <c r="A75" s="4">
        <v>6</v>
      </c>
      <c r="T75" s="9"/>
    </row>
    <row r="76" spans="1:31" ht="14.1" customHeight="1" x14ac:dyDescent="0.2">
      <c r="A76" s="4">
        <v>7</v>
      </c>
      <c r="T76" s="9"/>
    </row>
    <row r="77" spans="1:31" ht="14.1" customHeight="1" x14ac:dyDescent="0.2">
      <c r="A77" s="4">
        <v>8</v>
      </c>
      <c r="S77" s="9"/>
      <c r="T77" s="9"/>
    </row>
    <row r="78" spans="1:31" ht="14.1" customHeight="1" x14ac:dyDescent="0.2">
      <c r="A78" s="4">
        <v>9</v>
      </c>
      <c r="B78" s="45" t="s">
        <v>43</v>
      </c>
      <c r="C78" s="186"/>
      <c r="E78" s="183"/>
      <c r="F78" s="177"/>
      <c r="G78" s="177"/>
      <c r="H78" s="177"/>
      <c r="I78" s="177"/>
      <c r="J78" s="177"/>
      <c r="K78" s="173"/>
      <c r="L78" s="183"/>
      <c r="M78" s="177"/>
      <c r="N78" s="177"/>
      <c r="O78" s="177"/>
      <c r="P78" s="177"/>
      <c r="Q78" s="177"/>
      <c r="R78" s="177"/>
      <c r="S78" s="180"/>
      <c r="T78" s="9"/>
    </row>
    <row r="79" spans="1:31" ht="14.1" customHeight="1" x14ac:dyDescent="0.2">
      <c r="A79" s="4">
        <v>10</v>
      </c>
      <c r="B79" s="246" t="s">
        <v>55</v>
      </c>
      <c r="C79" s="186"/>
      <c r="E79" s="183"/>
      <c r="F79" s="177"/>
      <c r="G79" s="227"/>
      <c r="H79" s="177"/>
      <c r="I79" s="177"/>
      <c r="J79" s="177"/>
      <c r="K79" s="173"/>
      <c r="L79" s="211"/>
      <c r="M79" s="177"/>
      <c r="N79" s="179"/>
      <c r="O79" s="177"/>
      <c r="P79" s="177"/>
      <c r="Q79" s="177"/>
      <c r="R79" s="177"/>
      <c r="S79" s="270"/>
      <c r="T79" s="9"/>
    </row>
    <row r="80" spans="1:31" ht="14.1" customHeight="1" x14ac:dyDescent="0.2">
      <c r="A80" s="4">
        <v>11</v>
      </c>
      <c r="B80" s="273" t="s">
        <v>215</v>
      </c>
      <c r="E80" s="183">
        <f>+ROUND('ECCR Billing Determinants'!B6/1000,0)</f>
        <v>6628845</v>
      </c>
      <c r="F80" s="177" t="s">
        <v>379</v>
      </c>
      <c r="G80" s="212">
        <f>+Rates!D9</f>
        <v>57.69</v>
      </c>
      <c r="I80" s="177">
        <f>+G80*E80</f>
        <v>382418068.05000001</v>
      </c>
      <c r="L80" s="183">
        <f>+E80</f>
        <v>6628845</v>
      </c>
      <c r="M80" s="177" t="s">
        <v>379</v>
      </c>
      <c r="N80" s="212">
        <f>+G80*(1+$V$5)</f>
        <v>58.159690610594225</v>
      </c>
      <c r="P80" s="177">
        <f>+N80*L80</f>
        <v>385531574.30558449</v>
      </c>
      <c r="R80" s="177">
        <f t="shared" ref="R80:R83" si="3">+P80-I80</f>
        <v>3113506.2555844784</v>
      </c>
      <c r="S80" s="152">
        <f t="shared" ref="S80:S83" si="4">IF(R80=0,0,(P80-I80)/I80)</f>
        <v>8.1416295821498605E-3</v>
      </c>
      <c r="T80" s="9"/>
      <c r="V80" s="276"/>
      <c r="W80" s="97"/>
      <c r="X80" s="97"/>
      <c r="Y80" s="46"/>
    </row>
    <row r="81" spans="1:25" ht="14.1" customHeight="1" x14ac:dyDescent="0.2">
      <c r="A81" s="4">
        <v>12</v>
      </c>
      <c r="B81" s="273" t="s">
        <v>216</v>
      </c>
      <c r="E81" s="183">
        <f>+ROUND('ECCR Billing Determinants'!B7/1000,0)</f>
        <v>3000668</v>
      </c>
      <c r="F81" s="177" t="s">
        <v>379</v>
      </c>
      <c r="G81" s="212">
        <f>+Rates!D10</f>
        <v>67.69</v>
      </c>
      <c r="I81" s="177">
        <f>+G81*E81</f>
        <v>203115216.91999999</v>
      </c>
      <c r="L81" s="183">
        <f t="shared" ref="L81:L82" si="5">+E81</f>
        <v>3000668</v>
      </c>
      <c r="M81" s="177" t="s">
        <v>379</v>
      </c>
      <c r="N81" s="212">
        <f>+G81*(1+$V$5)</f>
        <v>68.241106906415723</v>
      </c>
      <c r="P81" s="177">
        <f>+N81*L81</f>
        <v>204768905.77866066</v>
      </c>
      <c r="R81" s="177">
        <f t="shared" si="3"/>
        <v>1653688.8586606681</v>
      </c>
      <c r="S81" s="152">
        <f t="shared" si="4"/>
        <v>8.1416295821499108E-3</v>
      </c>
      <c r="T81" s="9"/>
      <c r="V81" s="276"/>
      <c r="W81" s="97"/>
      <c r="X81" s="97"/>
      <c r="Y81" s="46"/>
    </row>
    <row r="82" spans="1:25" ht="14.1" customHeight="1" x14ac:dyDescent="0.2">
      <c r="A82" s="4">
        <v>13</v>
      </c>
      <c r="B82" s="43" t="s">
        <v>214</v>
      </c>
      <c r="E82" s="177">
        <f>+ROUND('ECCR Billing Determinants'!B8/1000,0)</f>
        <v>98651</v>
      </c>
      <c r="F82" s="177" t="s">
        <v>379</v>
      </c>
      <c r="G82" s="212">
        <f>+Rates!D11</f>
        <v>60.84</v>
      </c>
      <c r="I82" s="177">
        <f>+G82*E82</f>
        <v>6001926.8400000008</v>
      </c>
      <c r="L82" s="177">
        <f t="shared" si="5"/>
        <v>98651</v>
      </c>
      <c r="M82" s="177" t="s">
        <v>379</v>
      </c>
      <c r="N82" s="212">
        <f>+G82*(1+$V$5)</f>
        <v>61.335336743778008</v>
      </c>
      <c r="P82" s="177">
        <f>+N82*L82</f>
        <v>6050792.3051104443</v>
      </c>
      <c r="Q82" s="177"/>
      <c r="R82" s="177">
        <f t="shared" si="3"/>
        <v>48865.465110443532</v>
      </c>
      <c r="S82" s="152">
        <f t="shared" si="4"/>
        <v>8.1416295821499091E-3</v>
      </c>
      <c r="T82" s="9"/>
      <c r="V82" s="276"/>
      <c r="W82" s="97"/>
      <c r="X82" s="97"/>
      <c r="Y82" s="46"/>
    </row>
    <row r="83" spans="1:25" ht="14.1" customHeight="1" x14ac:dyDescent="0.2">
      <c r="A83" s="4">
        <v>14</v>
      </c>
      <c r="B83" s="216" t="s">
        <v>27</v>
      </c>
      <c r="C83" s="186"/>
      <c r="E83" s="183">
        <f>SUM(E80:E82)+E114</f>
        <v>9728164</v>
      </c>
      <c r="F83" s="177" t="s">
        <v>379</v>
      </c>
      <c r="G83" s="272"/>
      <c r="H83" s="177"/>
      <c r="I83" s="185">
        <f>SUM(I80:I82)</f>
        <v>591535211.81000006</v>
      </c>
      <c r="J83" s="177"/>
      <c r="K83" s="173"/>
      <c r="L83" s="183">
        <f>SUM(L80:L82)+L114</f>
        <v>9728164</v>
      </c>
      <c r="M83" s="177" t="s">
        <v>379</v>
      </c>
      <c r="N83" s="177"/>
      <c r="O83" s="177"/>
      <c r="P83" s="185">
        <f>SUM(P80:P82)</f>
        <v>596351272.38935566</v>
      </c>
      <c r="Q83" s="177"/>
      <c r="R83" s="177">
        <f t="shared" si="3"/>
        <v>4816060.5793555975</v>
      </c>
      <c r="S83" s="152">
        <f t="shared" si="4"/>
        <v>8.14162958214989E-3</v>
      </c>
      <c r="T83" s="9"/>
      <c r="V83" s="276"/>
      <c r="W83" s="97"/>
      <c r="X83" s="97"/>
      <c r="Y83" s="46"/>
    </row>
    <row r="84" spans="1:25" ht="14.1" customHeight="1" x14ac:dyDescent="0.2">
      <c r="A84" s="4">
        <v>15</v>
      </c>
      <c r="T84" s="9"/>
    </row>
    <row r="85" spans="1:25" ht="14.1" customHeight="1" x14ac:dyDescent="0.2">
      <c r="A85" s="4">
        <v>16</v>
      </c>
      <c r="I85" s="5"/>
      <c r="S85" s="180"/>
      <c r="T85" s="9"/>
    </row>
    <row r="86" spans="1:25" ht="14.1" customHeight="1" x14ac:dyDescent="0.2">
      <c r="A86" s="4">
        <v>17</v>
      </c>
      <c r="E86" s="5"/>
      <c r="Q86" s="177"/>
      <c r="R86" s="177"/>
      <c r="T86" s="9"/>
    </row>
    <row r="87" spans="1:25" ht="14.1" customHeight="1" thickBot="1" x14ac:dyDescent="0.25">
      <c r="A87" s="4">
        <v>18</v>
      </c>
      <c r="B87" s="45" t="s">
        <v>50</v>
      </c>
      <c r="E87" s="5"/>
      <c r="I87" s="247">
        <f>+I74+I83</f>
        <v>776798048.89333344</v>
      </c>
      <c r="P87" s="247">
        <f>+P74+P83</f>
        <v>783122450.86755967</v>
      </c>
      <c r="Q87" s="177"/>
      <c r="R87" s="177">
        <f>+P87-I87</f>
        <v>6324401.9742262363</v>
      </c>
      <c r="S87" s="152">
        <f>IF(R87=0,0,(P87-I87)/I87)</f>
        <v>8.1416295821498345E-3</v>
      </c>
      <c r="T87" s="9"/>
    </row>
    <row r="88" spans="1:25" ht="14.1" customHeight="1" thickTop="1" x14ac:dyDescent="0.2">
      <c r="A88" s="4">
        <v>19</v>
      </c>
      <c r="T88" s="9"/>
      <c r="V88" s="78"/>
    </row>
    <row r="89" spans="1:25" ht="14.1" customHeight="1" x14ac:dyDescent="0.2">
      <c r="A89" s="4">
        <v>20</v>
      </c>
      <c r="T89" s="9"/>
    </row>
    <row r="90" spans="1:25" ht="14.1" customHeight="1" x14ac:dyDescent="0.2">
      <c r="A90" s="4">
        <v>21</v>
      </c>
      <c r="T90" s="9"/>
    </row>
    <row r="91" spans="1:25" ht="14.1" customHeight="1" x14ac:dyDescent="0.2">
      <c r="A91" s="4">
        <v>22</v>
      </c>
      <c r="I91" s="5"/>
      <c r="T91" s="9"/>
    </row>
    <row r="92" spans="1:25" ht="14.1" customHeight="1" x14ac:dyDescent="0.2">
      <c r="A92" s="4">
        <v>23</v>
      </c>
      <c r="T92" s="9"/>
    </row>
    <row r="93" spans="1:25" ht="14.1" customHeight="1" x14ac:dyDescent="0.2">
      <c r="A93" s="4">
        <v>24</v>
      </c>
      <c r="T93" s="9"/>
    </row>
    <row r="94" spans="1:25" ht="14.1" customHeight="1" x14ac:dyDescent="0.2">
      <c r="A94" s="4">
        <v>25</v>
      </c>
      <c r="B94" s="186"/>
      <c r="C94" s="186"/>
      <c r="F94" s="177"/>
      <c r="G94" s="177"/>
      <c r="H94" s="177"/>
      <c r="I94" s="177"/>
      <c r="J94" s="177"/>
      <c r="K94" s="173"/>
      <c r="L94" s="177"/>
      <c r="M94" s="177"/>
      <c r="N94" s="177"/>
      <c r="O94" s="177"/>
      <c r="P94" s="177"/>
      <c r="Q94" s="177"/>
      <c r="R94" s="177"/>
      <c r="S94" s="180"/>
      <c r="T94" s="9"/>
    </row>
    <row r="95" spans="1:25" ht="14.1" customHeight="1" x14ac:dyDescent="0.2">
      <c r="A95" s="4">
        <v>26</v>
      </c>
      <c r="T95" s="9"/>
    </row>
    <row r="96" spans="1:25" ht="14.1" customHeight="1" x14ac:dyDescent="0.2">
      <c r="A96" s="4">
        <v>27</v>
      </c>
      <c r="F96" s="177"/>
      <c r="G96" s="177"/>
      <c r="H96" s="177"/>
      <c r="I96" s="177"/>
      <c r="J96" s="183"/>
      <c r="K96" s="173"/>
      <c r="L96" s="183"/>
      <c r="M96" s="177"/>
      <c r="N96" s="177"/>
      <c r="O96" s="177"/>
      <c r="P96" s="177"/>
      <c r="Q96" s="177"/>
      <c r="R96" s="177"/>
      <c r="S96" s="177"/>
      <c r="T96" s="9"/>
    </row>
    <row r="97" spans="1:20" ht="14.1" customHeight="1" x14ac:dyDescent="0.2">
      <c r="A97" s="4">
        <v>28</v>
      </c>
      <c r="B97" s="169"/>
      <c r="C97" s="186"/>
      <c r="F97" s="177"/>
      <c r="G97" s="177"/>
      <c r="H97" s="177"/>
      <c r="I97" s="177"/>
      <c r="J97" s="183"/>
      <c r="K97" s="173"/>
      <c r="L97" s="183"/>
      <c r="M97" s="177"/>
      <c r="N97" s="177"/>
      <c r="O97" s="177"/>
      <c r="P97" s="177"/>
      <c r="Q97" s="177"/>
      <c r="R97" s="177"/>
      <c r="S97" s="177"/>
      <c r="T97" s="9"/>
    </row>
    <row r="98" spans="1:20" ht="14.1" customHeight="1" x14ac:dyDescent="0.2">
      <c r="A98" s="4">
        <v>29</v>
      </c>
      <c r="B98" s="169"/>
      <c r="C98" s="186"/>
      <c r="F98" s="177"/>
      <c r="G98" s="177"/>
      <c r="H98" s="177"/>
      <c r="I98" s="177"/>
      <c r="J98" s="183"/>
      <c r="K98" s="173"/>
      <c r="L98" s="183"/>
      <c r="M98" s="177"/>
      <c r="N98" s="177"/>
      <c r="O98" s="177"/>
      <c r="P98" s="177"/>
      <c r="Q98" s="177"/>
      <c r="R98" s="177"/>
      <c r="S98" s="177"/>
      <c r="T98" s="9"/>
    </row>
    <row r="99" spans="1:20" ht="14.1" customHeight="1" x14ac:dyDescent="0.2">
      <c r="A99" s="4">
        <v>30</v>
      </c>
      <c r="B99" s="169"/>
      <c r="C99" s="186"/>
      <c r="F99" s="177"/>
      <c r="G99" s="177"/>
      <c r="H99" s="177"/>
      <c r="I99" s="177"/>
      <c r="J99" s="183"/>
      <c r="K99" s="173"/>
      <c r="L99" s="183"/>
      <c r="M99" s="177"/>
      <c r="N99" s="177"/>
      <c r="O99" s="177"/>
      <c r="P99" s="177"/>
      <c r="Q99" s="177"/>
      <c r="R99" s="177"/>
      <c r="S99" s="177"/>
      <c r="T99" s="9"/>
    </row>
    <row r="100" spans="1:20" ht="14.1" customHeight="1" x14ac:dyDescent="0.2">
      <c r="A100" s="4">
        <v>31</v>
      </c>
      <c r="B100" s="169"/>
      <c r="C100" s="186"/>
      <c r="F100" s="177"/>
      <c r="G100" s="177"/>
      <c r="H100" s="177"/>
      <c r="I100" s="177"/>
      <c r="J100" s="183"/>
      <c r="K100" s="173"/>
      <c r="L100" s="183"/>
      <c r="M100" s="177"/>
      <c r="N100" s="177"/>
      <c r="O100" s="177"/>
      <c r="P100" s="177"/>
      <c r="Q100" s="177"/>
      <c r="R100" s="177"/>
      <c r="S100" s="177"/>
      <c r="T100" s="9"/>
    </row>
    <row r="101" spans="1:20" ht="14.1" customHeight="1" x14ac:dyDescent="0.2">
      <c r="A101" s="4">
        <v>32</v>
      </c>
      <c r="B101" s="169"/>
      <c r="C101" s="186"/>
      <c r="F101" s="177"/>
      <c r="G101" s="177"/>
      <c r="H101" s="177"/>
      <c r="I101" s="177"/>
      <c r="J101" s="183"/>
      <c r="K101" s="173"/>
      <c r="L101" s="183"/>
      <c r="M101" s="177"/>
      <c r="N101" s="177"/>
      <c r="O101" s="177"/>
      <c r="P101" s="177"/>
      <c r="Q101" s="177"/>
      <c r="R101" s="177"/>
      <c r="S101" s="177"/>
      <c r="T101" s="9"/>
    </row>
    <row r="102" spans="1:20" ht="14.1" customHeight="1" x14ac:dyDescent="0.2">
      <c r="A102" s="4">
        <v>33</v>
      </c>
      <c r="B102" s="169"/>
      <c r="C102" s="186"/>
      <c r="F102" s="177"/>
      <c r="G102" s="177"/>
      <c r="H102" s="177"/>
      <c r="I102" s="177"/>
      <c r="J102" s="183"/>
      <c r="K102" s="173"/>
      <c r="L102" s="183"/>
      <c r="M102" s="177"/>
      <c r="N102" s="177"/>
      <c r="O102" s="177"/>
      <c r="P102" s="177"/>
      <c r="Q102" s="177"/>
      <c r="R102" s="177"/>
      <c r="S102" s="177"/>
      <c r="T102" s="9"/>
    </row>
    <row r="103" spans="1:20" ht="14.1" customHeight="1" x14ac:dyDescent="0.2">
      <c r="A103" s="4">
        <v>34</v>
      </c>
      <c r="B103" s="170"/>
      <c r="C103" s="186"/>
      <c r="F103" s="177"/>
      <c r="G103" s="177"/>
      <c r="H103" s="177"/>
      <c r="I103" s="177"/>
      <c r="J103" s="183"/>
      <c r="K103" s="173"/>
      <c r="L103" s="183"/>
      <c r="M103" s="177"/>
      <c r="N103" s="177"/>
      <c r="O103" s="177"/>
      <c r="P103" s="177"/>
      <c r="Q103" s="177"/>
      <c r="R103" s="177"/>
      <c r="S103" s="177"/>
      <c r="T103" s="9"/>
    </row>
    <row r="104" spans="1:20" ht="14.1" customHeight="1" x14ac:dyDescent="0.2">
      <c r="A104" s="4">
        <v>35</v>
      </c>
      <c r="B104" s="169"/>
      <c r="C104" s="186"/>
      <c r="F104" s="177"/>
      <c r="G104" s="177"/>
      <c r="H104" s="177"/>
      <c r="I104" s="177"/>
      <c r="J104" s="183"/>
      <c r="K104" s="173"/>
      <c r="L104" s="183"/>
      <c r="M104" s="177"/>
      <c r="N104" s="177"/>
      <c r="O104" s="177"/>
      <c r="P104" s="177"/>
      <c r="Q104" s="177"/>
      <c r="R104" s="177"/>
      <c r="S104" s="177"/>
      <c r="T104" s="9"/>
    </row>
    <row r="105" spans="1:20" ht="14.1" customHeight="1" x14ac:dyDescent="0.2">
      <c r="A105" s="4">
        <v>36</v>
      </c>
      <c r="B105" s="169"/>
      <c r="C105" s="186"/>
      <c r="F105" s="177"/>
      <c r="G105" s="177"/>
      <c r="H105" s="177"/>
      <c r="I105" s="177"/>
      <c r="J105" s="183"/>
      <c r="K105" s="173"/>
      <c r="L105" s="183"/>
      <c r="M105" s="177"/>
      <c r="N105" s="177"/>
      <c r="O105" s="177"/>
      <c r="P105" s="177"/>
      <c r="Q105" s="177"/>
      <c r="R105" s="177"/>
      <c r="S105" s="177"/>
      <c r="T105" s="9"/>
    </row>
    <row r="106" spans="1:20" ht="14.1" customHeight="1" x14ac:dyDescent="0.2">
      <c r="A106" s="4">
        <v>37</v>
      </c>
      <c r="B106" s="169"/>
      <c r="C106" s="186"/>
      <c r="F106" s="177"/>
      <c r="G106" s="177"/>
      <c r="H106" s="177"/>
      <c r="I106" s="177"/>
      <c r="J106" s="183"/>
      <c r="K106" s="173"/>
      <c r="L106" s="183"/>
      <c r="M106" s="177"/>
      <c r="N106" s="177"/>
      <c r="O106" s="177"/>
      <c r="P106" s="177"/>
      <c r="Q106" s="177"/>
      <c r="R106" s="177"/>
      <c r="S106" s="177"/>
      <c r="T106" s="9"/>
    </row>
    <row r="107" spans="1:20" ht="14.1" customHeight="1" x14ac:dyDescent="0.2">
      <c r="A107" s="4">
        <v>38</v>
      </c>
      <c r="B107" s="169"/>
      <c r="C107" s="186"/>
      <c r="F107" s="177"/>
      <c r="G107" s="177"/>
      <c r="H107" s="177"/>
      <c r="I107" s="177"/>
      <c r="J107" s="183"/>
      <c r="K107" s="173"/>
      <c r="L107" s="183"/>
      <c r="M107" s="177"/>
      <c r="N107" s="177"/>
      <c r="O107" s="177"/>
      <c r="P107" s="177"/>
      <c r="Q107" s="177"/>
      <c r="R107" s="177"/>
      <c r="S107" s="177"/>
      <c r="T107" s="9"/>
    </row>
    <row r="108" spans="1:20" ht="14.1" customHeight="1" thickBot="1" x14ac:dyDescent="0.25">
      <c r="A108" s="16">
        <v>39</v>
      </c>
      <c r="B108" s="16"/>
      <c r="C108" s="16"/>
      <c r="D108" s="16"/>
      <c r="E108" s="16"/>
      <c r="F108" s="16"/>
      <c r="G108" s="16"/>
      <c r="H108" s="16"/>
      <c r="I108" s="16"/>
      <c r="J108" s="16"/>
      <c r="K108" s="151"/>
      <c r="L108" s="16"/>
      <c r="M108" s="16"/>
      <c r="N108" s="16"/>
      <c r="O108" s="16"/>
      <c r="P108" s="16"/>
      <c r="Q108" s="16"/>
      <c r="R108" s="16"/>
      <c r="S108" s="16"/>
    </row>
    <row r="109" spans="1:20" ht="14.1" customHeight="1" x14ac:dyDescent="0.2">
      <c r="S109" s="4" t="s">
        <v>219</v>
      </c>
    </row>
    <row r="110" spans="1:20" ht="14.1" customHeight="1" x14ac:dyDescent="0.2">
      <c r="H110" s="292" t="s">
        <v>768</v>
      </c>
      <c r="I110" s="292"/>
      <c r="J110" s="292"/>
      <c r="K110" s="292"/>
      <c r="L110" s="292"/>
    </row>
    <row r="111" spans="1:20" ht="14.1" customHeight="1" thickBot="1" x14ac:dyDescent="0.25">
      <c r="A111" s="16" t="s">
        <v>7</v>
      </c>
      <c r="B111" s="16"/>
      <c r="C111" s="16"/>
      <c r="D111" s="16"/>
      <c r="E111" s="16"/>
      <c r="F111" s="16"/>
      <c r="G111" s="16"/>
      <c r="H111" s="301" t="s">
        <v>380</v>
      </c>
      <c r="I111" s="301"/>
      <c r="J111" s="301"/>
      <c r="K111" s="301"/>
      <c r="L111" s="301"/>
      <c r="M111" s="16"/>
      <c r="N111" s="16"/>
      <c r="O111" s="16"/>
      <c r="P111" s="16"/>
      <c r="Q111" s="16"/>
      <c r="R111" s="16"/>
      <c r="S111" s="16" t="str">
        <f>"Page " &amp; INT(ROW()/$R$1 +1)  &amp; "  of " &amp; S$1</f>
        <v>Page 3  of 19</v>
      </c>
    </row>
    <row r="112" spans="1:20" ht="14.1" customHeight="1" x14ac:dyDescent="0.2">
      <c r="A112" s="4" t="s">
        <v>21</v>
      </c>
      <c r="E112" s="4" t="s">
        <v>761</v>
      </c>
      <c r="G112" s="4" t="s">
        <v>766</v>
      </c>
      <c r="K112" s="285"/>
      <c r="L112" s="56"/>
      <c r="N112" s="56"/>
      <c r="O112" s="56"/>
      <c r="P112" s="56" t="s">
        <v>663</v>
      </c>
      <c r="S112" s="22"/>
    </row>
    <row r="113" spans="1:25" ht="14.1" customHeight="1" x14ac:dyDescent="0.2">
      <c r="G113" s="4" t="s">
        <v>767</v>
      </c>
      <c r="K113" s="284"/>
      <c r="L113" s="22"/>
      <c r="O113" s="21"/>
      <c r="P113" s="21"/>
      <c r="Q113" s="22" t="s">
        <v>764</v>
      </c>
      <c r="S113" s="21"/>
    </row>
    <row r="114" spans="1:25" ht="14.1" customHeight="1" x14ac:dyDescent="0.2">
      <c r="A114" s="4" t="s">
        <v>29</v>
      </c>
      <c r="G114" s="4" t="s">
        <v>770</v>
      </c>
      <c r="K114" s="284"/>
      <c r="L114" s="22"/>
      <c r="M114" s="21"/>
      <c r="P114" s="21"/>
      <c r="Q114" s="22" t="s">
        <v>765</v>
      </c>
      <c r="S114" s="21"/>
    </row>
    <row r="115" spans="1:25" ht="14.1" customHeight="1" x14ac:dyDescent="0.2">
      <c r="G115" s="4" t="s">
        <v>769</v>
      </c>
      <c r="K115" s="284"/>
      <c r="L115" s="22"/>
      <c r="M115" s="21"/>
      <c r="P115" s="21"/>
      <c r="Q115" s="22"/>
      <c r="S115" s="21"/>
    </row>
    <row r="116" spans="1:25" ht="14.1" customHeight="1" x14ac:dyDescent="0.2">
      <c r="C116" s="21"/>
      <c r="H116" s="10"/>
      <c r="I116" s="10"/>
      <c r="J116" s="10"/>
      <c r="K116" s="284"/>
      <c r="Q116" s="4" t="s">
        <v>738</v>
      </c>
    </row>
    <row r="117" spans="1:25" ht="14.1" customHeight="1" thickBot="1" x14ac:dyDescent="0.25">
      <c r="A117" s="16"/>
      <c r="B117" s="16"/>
      <c r="C117" s="150"/>
      <c r="D117" s="101"/>
      <c r="E117" s="101"/>
      <c r="F117" s="101"/>
      <c r="G117" s="102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</row>
    <row r="118" spans="1:25" ht="14.1" customHeight="1" x14ac:dyDescent="0.2">
      <c r="E118" s="10"/>
      <c r="G118" s="10"/>
      <c r="H118" s="103"/>
      <c r="I118" s="10"/>
      <c r="K118" s="10"/>
      <c r="M118" s="103"/>
    </row>
    <row r="119" spans="1:25" ht="14.1" customHeight="1" x14ac:dyDescent="0.2">
      <c r="A119" s="9"/>
      <c r="B119" s="92"/>
      <c r="C119" s="92"/>
      <c r="D119" s="1"/>
      <c r="E119" s="39"/>
      <c r="F119" s="1"/>
      <c r="G119" s="1"/>
      <c r="H119" s="39"/>
      <c r="I119" s="1"/>
      <c r="J119" s="1"/>
      <c r="K119" s="3"/>
      <c r="L119" s="1"/>
      <c r="M119" s="39"/>
      <c r="N119" s="1"/>
      <c r="O119" s="1"/>
      <c r="P119" s="1"/>
      <c r="Q119" s="1"/>
      <c r="R119" s="1"/>
      <c r="S119" s="1"/>
    </row>
    <row r="120" spans="1:25" ht="14.1" customHeight="1" x14ac:dyDescent="0.2">
      <c r="A120" s="9"/>
      <c r="B120" s="92"/>
      <c r="C120" s="1"/>
      <c r="D120" s="1"/>
      <c r="E120" s="1"/>
      <c r="F120" s="39"/>
      <c r="G120" s="39"/>
      <c r="H120" s="40"/>
      <c r="I120" s="40" t="s">
        <v>14</v>
      </c>
      <c r="J120" s="3"/>
      <c r="K120" s="41" t="s">
        <v>258</v>
      </c>
      <c r="L120" s="39"/>
      <c r="M120" s="1"/>
      <c r="N120" s="39"/>
      <c r="O120" s="39"/>
      <c r="P120" s="39"/>
      <c r="Q120" s="39"/>
      <c r="R120" s="39"/>
      <c r="S120" s="1"/>
    </row>
    <row r="121" spans="1:25" ht="14.1" customHeight="1" x14ac:dyDescent="0.2">
      <c r="A121" s="9"/>
      <c r="B121" s="92"/>
      <c r="C121" s="1"/>
      <c r="D121" s="1"/>
      <c r="E121" s="1"/>
      <c r="F121" s="39"/>
      <c r="G121" s="39"/>
      <c r="H121" s="39"/>
      <c r="I121" s="39"/>
      <c r="J121" s="39"/>
      <c r="K121" s="3"/>
      <c r="L121" s="39"/>
      <c r="M121" s="39"/>
      <c r="N121" s="39"/>
      <c r="O121" s="39"/>
      <c r="P121" s="39"/>
      <c r="Q121" s="39"/>
      <c r="R121" s="39"/>
      <c r="S121" s="39"/>
    </row>
    <row r="122" spans="1:25" ht="14.1" customHeight="1" x14ac:dyDescent="0.2">
      <c r="A122" s="149" t="s">
        <v>26</v>
      </c>
      <c r="B122" s="174" t="s">
        <v>5</v>
      </c>
      <c r="C122" s="213"/>
      <c r="D122" s="213"/>
      <c r="E122" s="192"/>
      <c r="F122" s="192"/>
      <c r="G122" s="267" t="s">
        <v>8</v>
      </c>
      <c r="H122" s="192"/>
      <c r="I122" s="192"/>
      <c r="J122" s="216"/>
      <c r="K122" s="187"/>
      <c r="L122" s="192"/>
      <c r="M122" s="267"/>
      <c r="N122" s="267" t="s">
        <v>9</v>
      </c>
      <c r="O122" s="192"/>
      <c r="P122" s="192"/>
      <c r="Q122" s="216"/>
      <c r="R122" s="290" t="s">
        <v>750</v>
      </c>
      <c r="S122" s="290" t="s">
        <v>752</v>
      </c>
    </row>
    <row r="123" spans="1:25" ht="14.1" customHeight="1" thickBot="1" x14ac:dyDescent="0.25">
      <c r="A123" s="151" t="s">
        <v>28</v>
      </c>
      <c r="B123" s="175" t="s">
        <v>10</v>
      </c>
      <c r="C123" s="215"/>
      <c r="D123" s="44"/>
      <c r="E123" s="151" t="s">
        <v>11</v>
      </c>
      <c r="F123" s="194"/>
      <c r="G123" s="194" t="s">
        <v>12</v>
      </c>
      <c r="H123" s="194"/>
      <c r="I123" s="194" t="s">
        <v>13</v>
      </c>
      <c r="J123" s="194"/>
      <c r="K123" s="194"/>
      <c r="L123" s="194" t="s">
        <v>11</v>
      </c>
      <c r="M123" s="194"/>
      <c r="N123" s="194" t="s">
        <v>12</v>
      </c>
      <c r="O123" s="194"/>
      <c r="P123" s="194" t="s">
        <v>13</v>
      </c>
      <c r="Q123" s="215"/>
      <c r="R123" s="291" t="s">
        <v>751</v>
      </c>
      <c r="S123" s="291" t="s">
        <v>4</v>
      </c>
      <c r="W123" s="148"/>
      <c r="X123" s="148"/>
    </row>
    <row r="124" spans="1:25" ht="14.1" customHeight="1" x14ac:dyDescent="0.2">
      <c r="A124" s="4">
        <v>1</v>
      </c>
      <c r="B124" s="169"/>
      <c r="C124" s="186"/>
      <c r="F124" s="188"/>
      <c r="G124" s="188"/>
      <c r="H124" s="188"/>
      <c r="I124" s="188"/>
      <c r="J124" s="186"/>
      <c r="K124" s="187"/>
      <c r="L124" s="186"/>
      <c r="M124" s="188"/>
      <c r="N124" s="188"/>
      <c r="O124" s="188"/>
      <c r="P124" s="188"/>
      <c r="Q124" s="188"/>
      <c r="R124" s="188"/>
      <c r="S124" s="188"/>
      <c r="V124" s="276"/>
      <c r="W124" s="97"/>
      <c r="X124" s="97"/>
      <c r="Y124" s="46"/>
    </row>
    <row r="125" spans="1:25" ht="14.1" customHeight="1" x14ac:dyDescent="0.2">
      <c r="A125" s="4">
        <v>2</v>
      </c>
      <c r="B125" s="186" t="s">
        <v>393</v>
      </c>
      <c r="C125" s="186"/>
      <c r="F125" s="177"/>
      <c r="G125" s="177"/>
      <c r="H125" s="177"/>
      <c r="I125" s="177"/>
      <c r="J125" s="183"/>
      <c r="K125" s="173"/>
      <c r="L125" s="183"/>
      <c r="M125" s="177"/>
      <c r="N125" s="177"/>
      <c r="O125" s="177"/>
      <c r="P125" s="177"/>
      <c r="Q125" s="177"/>
      <c r="R125" s="177"/>
      <c r="S125" s="177"/>
    </row>
    <row r="126" spans="1:25" ht="14.1" customHeight="1" x14ac:dyDescent="0.2">
      <c r="A126" s="4">
        <v>3</v>
      </c>
      <c r="B126" s="43" t="s">
        <v>378</v>
      </c>
      <c r="C126" s="186"/>
      <c r="E126" s="183">
        <f>+'ECCR Billing Determinants'!C17</f>
        <v>23893386.666666668</v>
      </c>
      <c r="F126" s="177" t="s">
        <v>611</v>
      </c>
      <c r="G126" s="179">
        <f>+Rates!D15</f>
        <v>0.74</v>
      </c>
      <c r="H126" s="177"/>
      <c r="I126" s="177">
        <f>+G126*E126</f>
        <v>17681106.133333333</v>
      </c>
      <c r="J126" s="183"/>
      <c r="K126" s="173"/>
      <c r="L126" s="183">
        <f>+E126</f>
        <v>23893386.666666668</v>
      </c>
      <c r="M126" s="177" t="s">
        <v>611</v>
      </c>
      <c r="N126" s="179">
        <f>+G126*(1+$V$5)</f>
        <v>0.7460248058907909</v>
      </c>
      <c r="O126" s="177"/>
      <c r="P126" s="177">
        <f>+N126*L126</f>
        <v>17825059.150073614</v>
      </c>
      <c r="Q126" s="177"/>
      <c r="R126" s="177">
        <f t="shared" ref="R126:R129" si="6">+P126-I126</f>
        <v>143953.01674028113</v>
      </c>
      <c r="S126" s="152">
        <f t="shared" ref="S126:S129" si="7">IF(R126=0,0,(P126-I126)/I126)</f>
        <v>8.1416295821500374E-3</v>
      </c>
      <c r="V126" s="276"/>
      <c r="W126" s="97"/>
      <c r="X126" s="46"/>
      <c r="Y126" s="46"/>
    </row>
    <row r="127" spans="1:25" ht="14.1" customHeight="1" x14ac:dyDescent="0.2">
      <c r="A127" s="4">
        <v>4</v>
      </c>
      <c r="B127" s="43" t="s">
        <v>367</v>
      </c>
      <c r="C127" s="186"/>
      <c r="E127" s="183">
        <f>+'ECCR Billing Determinants'!C18</f>
        <v>35830.833333333336</v>
      </c>
      <c r="F127" s="177" t="s">
        <v>611</v>
      </c>
      <c r="G127" s="179">
        <f>+Rates!D16</f>
        <v>0.62267203664233062</v>
      </c>
      <c r="H127" s="177"/>
      <c r="I127" s="177">
        <f>+G127*E127</f>
        <v>22310.857966258576</v>
      </c>
      <c r="J127" s="183"/>
      <c r="K127" s="173"/>
      <c r="L127" s="183">
        <f t="shared" ref="L127:L128" si="8">+E127</f>
        <v>35830.833333333336</v>
      </c>
      <c r="M127" s="177" t="s">
        <v>611</v>
      </c>
      <c r="N127" s="179">
        <f>+G127*(1+$V$5)</f>
        <v>0.62774160171583537</v>
      </c>
      <c r="O127" s="177"/>
      <c r="P127" s="177">
        <f>+N127*L127</f>
        <v>22492.504707479813</v>
      </c>
      <c r="Q127" s="177"/>
      <c r="R127" s="177">
        <f t="shared" si="6"/>
        <v>181.64674122123688</v>
      </c>
      <c r="S127" s="152">
        <f t="shared" si="7"/>
        <v>8.1416295821499576E-3</v>
      </c>
      <c r="V127" s="276"/>
      <c r="W127" s="97"/>
      <c r="X127" s="46"/>
      <c r="Y127" s="46"/>
    </row>
    <row r="128" spans="1:25" ht="14.1" customHeight="1" x14ac:dyDescent="0.35">
      <c r="A128" s="4">
        <v>5</v>
      </c>
      <c r="B128" s="43" t="s">
        <v>374</v>
      </c>
      <c r="C128" s="186"/>
      <c r="E128" s="238">
        <f>+'ECCR Billing Determinants'!C19</f>
        <v>852548.75</v>
      </c>
      <c r="F128" s="177" t="s">
        <v>611</v>
      </c>
      <c r="G128" s="179">
        <f>+Rates!D17</f>
        <v>0.74</v>
      </c>
      <c r="H128" s="177"/>
      <c r="I128" s="177">
        <f>+G128*E128</f>
        <v>630886.07499999995</v>
      </c>
      <c r="J128" s="177"/>
      <c r="K128" s="173"/>
      <c r="L128" s="238">
        <f t="shared" si="8"/>
        <v>852548.75</v>
      </c>
      <c r="M128" s="177" t="s">
        <v>611</v>
      </c>
      <c r="N128" s="179">
        <f>+G128*(1+$V$5)</f>
        <v>0.7460248058907909</v>
      </c>
      <c r="O128" s="177"/>
      <c r="P128" s="177">
        <f>+N128*L128</f>
        <v>636022.51573118637</v>
      </c>
      <c r="Q128" s="177"/>
      <c r="R128" s="177">
        <f t="shared" si="6"/>
        <v>5136.4407311864197</v>
      </c>
      <c r="S128" s="152">
        <f t="shared" si="7"/>
        <v>8.1416295821498674E-3</v>
      </c>
      <c r="V128" s="276"/>
      <c r="W128" s="97"/>
      <c r="X128" s="46"/>
      <c r="Y128" s="46"/>
    </row>
    <row r="129" spans="1:25" ht="14.1" customHeight="1" x14ac:dyDescent="0.2">
      <c r="A129" s="4">
        <v>6</v>
      </c>
      <c r="B129" s="216" t="s">
        <v>221</v>
      </c>
      <c r="C129" s="186"/>
      <c r="E129" s="183">
        <f>SUM(E126:E128)</f>
        <v>24781766.25</v>
      </c>
      <c r="F129" s="177" t="s">
        <v>612</v>
      </c>
      <c r="G129" s="177"/>
      <c r="H129" s="177"/>
      <c r="I129" s="185">
        <f>SUM(I126:I128)</f>
        <v>18334303.066299591</v>
      </c>
      <c r="J129" s="177"/>
      <c r="K129" s="173"/>
      <c r="L129" s="183">
        <f>SUM(L126:L128)</f>
        <v>24781766.25</v>
      </c>
      <c r="M129" s="177" t="s">
        <v>612</v>
      </c>
      <c r="N129" s="177"/>
      <c r="O129" s="177"/>
      <c r="P129" s="185">
        <f>SUM(P126:P128)</f>
        <v>18483574.170512278</v>
      </c>
      <c r="Q129" s="177"/>
      <c r="R129" s="177">
        <f t="shared" si="6"/>
        <v>149271.10421268642</v>
      </c>
      <c r="S129" s="152">
        <f t="shared" si="7"/>
        <v>8.1416295821499021E-3</v>
      </c>
    </row>
    <row r="130" spans="1:25" ht="14.1" customHeight="1" x14ac:dyDescent="0.2">
      <c r="A130" s="4">
        <v>7</v>
      </c>
      <c r="B130" s="186"/>
      <c r="C130" s="186"/>
      <c r="E130" s="183"/>
      <c r="F130" s="177"/>
      <c r="G130" s="177"/>
      <c r="H130" s="177"/>
      <c r="I130" s="177"/>
      <c r="J130" s="177"/>
      <c r="K130" s="173"/>
      <c r="L130" s="177"/>
      <c r="M130" s="177"/>
      <c r="N130" s="177"/>
      <c r="O130" s="177"/>
      <c r="P130" s="177"/>
      <c r="Q130" s="177"/>
      <c r="R130" s="177"/>
      <c r="S130" s="180"/>
    </row>
    <row r="131" spans="1:25" ht="14.1" customHeight="1" x14ac:dyDescent="0.2">
      <c r="A131" s="4">
        <v>8</v>
      </c>
      <c r="B131" s="186" t="s">
        <v>45</v>
      </c>
      <c r="C131" s="188"/>
      <c r="D131" s="9"/>
      <c r="E131" s="177"/>
      <c r="F131" s="177"/>
      <c r="G131" s="177"/>
      <c r="H131" s="177"/>
      <c r="I131" s="177"/>
      <c r="J131" s="177"/>
      <c r="K131" s="173"/>
      <c r="L131" s="177"/>
      <c r="M131" s="177"/>
      <c r="N131" s="177"/>
      <c r="O131" s="177"/>
      <c r="P131" s="177"/>
      <c r="Q131" s="177"/>
      <c r="R131" s="177"/>
      <c r="S131" s="180"/>
    </row>
    <row r="132" spans="1:25" ht="14.1" customHeight="1" x14ac:dyDescent="0.2">
      <c r="A132" s="4">
        <v>9</v>
      </c>
      <c r="B132" s="43" t="s">
        <v>55</v>
      </c>
      <c r="C132" s="188"/>
      <c r="D132" s="9"/>
      <c r="E132" s="177">
        <f>+ROUND('ECCR Billing Determinants'!B21/1000,0)</f>
        <v>901686</v>
      </c>
      <c r="F132" s="177" t="s">
        <v>379</v>
      </c>
      <c r="G132" s="179">
        <f>+Rates!D19</f>
        <v>66.34</v>
      </c>
      <c r="H132" s="177"/>
      <c r="I132" s="177">
        <f>+G132*E132</f>
        <v>59817849.240000002</v>
      </c>
      <c r="J132" s="177"/>
      <c r="K132" s="173"/>
      <c r="L132" s="177">
        <f>+E132</f>
        <v>901686</v>
      </c>
      <c r="M132" s="177" t="s">
        <v>379</v>
      </c>
      <c r="N132" s="179">
        <f>+G132*(1+$V$5)</f>
        <v>66.880115706479828</v>
      </c>
      <c r="O132" s="177"/>
      <c r="P132" s="177">
        <f>+N132*L132</f>
        <v>60304864.01091297</v>
      </c>
      <c r="Q132" s="177"/>
      <c r="R132" s="177">
        <f t="shared" ref="R132:R136" si="9">+P132-I132</f>
        <v>487014.77091296762</v>
      </c>
      <c r="S132" s="152">
        <f t="shared" ref="S132:S136" si="10">IF(R132=0,0,(P132-I132)/I132)</f>
        <v>8.1416295821499108E-3</v>
      </c>
      <c r="V132" s="276"/>
      <c r="W132" s="97"/>
      <c r="X132" s="46"/>
      <c r="Y132" s="46"/>
    </row>
    <row r="133" spans="1:25" ht="14.1" customHeight="1" x14ac:dyDescent="0.2">
      <c r="A133" s="4">
        <v>10</v>
      </c>
      <c r="B133" s="43" t="s">
        <v>367</v>
      </c>
      <c r="C133" s="188"/>
      <c r="D133" s="9"/>
      <c r="E133" s="177">
        <f>+ROUND('ECCR Billing Determinants'!B22/1000,0)</f>
        <v>1147</v>
      </c>
      <c r="F133" s="177" t="s">
        <v>379</v>
      </c>
      <c r="G133" s="179">
        <f>+Rates!D20</f>
        <v>66.34</v>
      </c>
      <c r="H133" s="177"/>
      <c r="I133" s="177">
        <f>+G133*E133</f>
        <v>76091.98000000001</v>
      </c>
      <c r="J133" s="177"/>
      <c r="K133" s="173"/>
      <c r="L133" s="177">
        <f t="shared" ref="L133:L135" si="11">+E133</f>
        <v>1147</v>
      </c>
      <c r="M133" s="177" t="s">
        <v>379</v>
      </c>
      <c r="N133" s="179">
        <f>+G133*(1+$V$5)</f>
        <v>66.880115706479828</v>
      </c>
      <c r="O133" s="177"/>
      <c r="P133" s="177">
        <f>+N133*L133</f>
        <v>76711.492715332366</v>
      </c>
      <c r="Q133" s="177"/>
      <c r="R133" s="177">
        <f t="shared" si="9"/>
        <v>619.51271533235558</v>
      </c>
      <c r="S133" s="152">
        <f t="shared" si="10"/>
        <v>8.1416295821498605E-3</v>
      </c>
      <c r="V133" s="276"/>
      <c r="W133" s="97"/>
      <c r="X133" s="46"/>
      <c r="Y133" s="46"/>
    </row>
    <row r="134" spans="1:25" ht="14.1" customHeight="1" x14ac:dyDescent="0.2">
      <c r="A134" s="4">
        <v>11</v>
      </c>
      <c r="B134" s="43" t="s">
        <v>375</v>
      </c>
      <c r="C134" s="188"/>
      <c r="D134" s="9"/>
      <c r="E134" s="177">
        <f>+ROUND('ECCR Billing Determinants'!B24/1000,0)</f>
        <v>7783</v>
      </c>
      <c r="F134" s="177" t="s">
        <v>379</v>
      </c>
      <c r="G134" s="179">
        <f>+Rates!D21</f>
        <v>103.93</v>
      </c>
      <c r="H134" s="177"/>
      <c r="I134" s="177">
        <f>+G134*E134</f>
        <v>808887.19000000006</v>
      </c>
      <c r="J134" s="177"/>
      <c r="K134" s="173"/>
      <c r="L134" s="177">
        <f t="shared" si="11"/>
        <v>7783</v>
      </c>
      <c r="M134" s="177" t="s">
        <v>379</v>
      </c>
      <c r="N134" s="179">
        <f>+G134*(1+$V$5)</f>
        <v>104.77615956247284</v>
      </c>
      <c r="O134" s="177"/>
      <c r="P134" s="177">
        <f>+N134*L134</f>
        <v>815472.84987472615</v>
      </c>
      <c r="Q134" s="177"/>
      <c r="R134" s="177">
        <f t="shared" si="9"/>
        <v>6585.6598747260869</v>
      </c>
      <c r="S134" s="152">
        <f t="shared" si="10"/>
        <v>8.1416295821498744E-3</v>
      </c>
      <c r="V134" s="276"/>
      <c r="W134" s="97"/>
      <c r="X134" s="46"/>
      <c r="Y134" s="46"/>
    </row>
    <row r="135" spans="1:25" ht="14.1" customHeight="1" x14ac:dyDescent="0.2">
      <c r="A135" s="4">
        <v>12</v>
      </c>
      <c r="B135" s="43" t="s">
        <v>376</v>
      </c>
      <c r="C135" s="188"/>
      <c r="D135" s="9"/>
      <c r="E135" s="177">
        <f>+ROUND('ECCR Billing Determinants'!B25/1000,0)</f>
        <v>22657</v>
      </c>
      <c r="F135" s="177" t="s">
        <v>379</v>
      </c>
      <c r="G135" s="179">
        <f>+Rates!D22</f>
        <v>53.427500000000002</v>
      </c>
      <c r="H135" s="177"/>
      <c r="I135" s="177">
        <f>+G135*E135</f>
        <v>1210506.8674999999</v>
      </c>
      <c r="J135" s="177"/>
      <c r="K135" s="173"/>
      <c r="L135" s="177">
        <f t="shared" si="11"/>
        <v>22657</v>
      </c>
      <c r="M135" s="177" t="s">
        <v>379</v>
      </c>
      <c r="N135" s="179">
        <f>+G135*(1+$V$5)</f>
        <v>53.862486914500316</v>
      </c>
      <c r="O135" s="177"/>
      <c r="P135" s="177">
        <f>+N135*L135</f>
        <v>1220362.3660218336</v>
      </c>
      <c r="Q135" s="177"/>
      <c r="R135" s="177">
        <f t="shared" si="9"/>
        <v>9855.4985218336806</v>
      </c>
      <c r="S135" s="152">
        <f t="shared" si="10"/>
        <v>8.1416295821499594E-3</v>
      </c>
      <c r="V135" s="276"/>
      <c r="W135" s="97"/>
      <c r="X135" s="46"/>
      <c r="Y135" s="46"/>
    </row>
    <row r="136" spans="1:25" ht="14.1" customHeight="1" x14ac:dyDescent="0.2">
      <c r="A136" s="4">
        <v>13</v>
      </c>
      <c r="B136" s="216" t="s">
        <v>221</v>
      </c>
      <c r="C136" s="188"/>
      <c r="D136" s="9"/>
      <c r="E136" s="183">
        <f>SUM(E132:E135)</f>
        <v>933273</v>
      </c>
      <c r="F136" s="177" t="s">
        <v>379</v>
      </c>
      <c r="G136" s="228"/>
      <c r="H136" s="177"/>
      <c r="I136" s="185">
        <f>SUM(I132:I135)</f>
        <v>61913335.277499996</v>
      </c>
      <c r="J136" s="177"/>
      <c r="K136" s="173"/>
      <c r="L136" s="183">
        <f>SUM(L132:L135)</f>
        <v>933273</v>
      </c>
      <c r="M136" s="177" t="s">
        <v>379</v>
      </c>
      <c r="N136" s="179"/>
      <c r="O136" s="177"/>
      <c r="P136" s="185">
        <f>SUM(P132:P135)</f>
        <v>62417410.71952486</v>
      </c>
      <c r="Q136" s="177"/>
      <c r="R136" s="177">
        <f t="shared" si="9"/>
        <v>504075.44202486426</v>
      </c>
      <c r="S136" s="152">
        <f t="shared" si="10"/>
        <v>8.1416295821499854E-3</v>
      </c>
      <c r="V136" s="276"/>
      <c r="W136" s="97"/>
      <c r="X136" s="46"/>
      <c r="Y136" s="46"/>
    </row>
    <row r="137" spans="1:25" ht="14.1" customHeight="1" x14ac:dyDescent="0.2">
      <c r="A137" s="4">
        <v>14</v>
      </c>
      <c r="V137" s="46"/>
    </row>
    <row r="138" spans="1:25" ht="14.1" customHeight="1" x14ac:dyDescent="0.2">
      <c r="A138" s="4">
        <v>15</v>
      </c>
      <c r="B138" s="186"/>
      <c r="C138" s="188"/>
      <c r="D138" s="9"/>
      <c r="E138" s="177"/>
      <c r="F138" s="177"/>
      <c r="G138" s="228"/>
      <c r="H138" s="177"/>
      <c r="I138" s="177"/>
      <c r="J138" s="177"/>
      <c r="K138" s="173"/>
      <c r="L138" s="177"/>
      <c r="M138" s="177"/>
      <c r="N138" s="228"/>
      <c r="O138" s="177"/>
      <c r="P138" s="177"/>
      <c r="Q138" s="177"/>
      <c r="R138" s="177"/>
      <c r="S138" s="180"/>
      <c r="V138" s="5"/>
    </row>
    <row r="139" spans="1:25" ht="14.1" customHeight="1" x14ac:dyDescent="0.2">
      <c r="A139" s="4">
        <v>16</v>
      </c>
      <c r="B139" s="45" t="s">
        <v>41</v>
      </c>
      <c r="C139" s="188"/>
      <c r="D139" s="9"/>
      <c r="E139" s="177"/>
      <c r="F139" s="177"/>
      <c r="G139" s="227"/>
      <c r="H139" s="177"/>
      <c r="I139" s="177"/>
      <c r="J139" s="177"/>
      <c r="K139" s="173"/>
      <c r="L139" s="177"/>
      <c r="M139" s="172"/>
      <c r="N139" s="227"/>
      <c r="O139" s="177"/>
      <c r="P139" s="177"/>
      <c r="Q139" s="177"/>
      <c r="R139" s="177"/>
      <c r="S139" s="180"/>
    </row>
    <row r="140" spans="1:25" ht="14.1" customHeight="1" x14ac:dyDescent="0.2">
      <c r="A140" s="4">
        <v>17</v>
      </c>
      <c r="B140" s="43" t="s">
        <v>55</v>
      </c>
      <c r="E140" s="177">
        <f>+ROUND('ECCR Billing Determinants'!B26/1000,0)</f>
        <v>357</v>
      </c>
      <c r="F140" s="177" t="s">
        <v>379</v>
      </c>
      <c r="G140" s="179">
        <f>+Rates!D24</f>
        <v>1.7</v>
      </c>
      <c r="H140" s="177"/>
      <c r="I140" s="177">
        <f>+G140*E140</f>
        <v>606.9</v>
      </c>
      <c r="J140" s="177"/>
      <c r="K140" s="173"/>
      <c r="L140" s="177">
        <f>+E140</f>
        <v>357</v>
      </c>
      <c r="M140" s="177" t="s">
        <v>379</v>
      </c>
      <c r="N140" s="179">
        <f>+G140*(1+$V$5)</f>
        <v>1.7138407702896548</v>
      </c>
      <c r="O140" s="177"/>
      <c r="P140" s="177">
        <f>+N140*L140</f>
        <v>611.8411549934068</v>
      </c>
      <c r="Q140" s="177"/>
      <c r="R140" s="177">
        <f t="shared" ref="R140:R142" si="12">+P140-I140</f>
        <v>4.9411549934068262</v>
      </c>
      <c r="S140" s="152">
        <f t="shared" ref="S140:S142" si="13">IF(R140=0,0,(P140-I140)/I140)</f>
        <v>8.1416295821499854E-3</v>
      </c>
      <c r="V140" s="276"/>
      <c r="W140" s="97"/>
      <c r="X140" s="46"/>
      <c r="Y140" s="46"/>
    </row>
    <row r="141" spans="1:25" ht="14.1" customHeight="1" x14ac:dyDescent="0.2">
      <c r="A141" s="4">
        <v>18</v>
      </c>
      <c r="B141" s="43" t="s">
        <v>374</v>
      </c>
      <c r="E141" s="181">
        <f>+ROUND('ECCR Billing Determinants'!B27/1000,0)</f>
        <v>0</v>
      </c>
      <c r="F141" s="177" t="s">
        <v>379</v>
      </c>
      <c r="G141" s="179">
        <f>+Rates!D25</f>
        <v>1.7</v>
      </c>
      <c r="H141" s="177"/>
      <c r="I141" s="181">
        <f>+G141*E141</f>
        <v>0</v>
      </c>
      <c r="J141" s="177"/>
      <c r="K141" s="173"/>
      <c r="L141" s="181">
        <f t="shared" ref="L141" si="14">+E141</f>
        <v>0</v>
      </c>
      <c r="M141" s="177" t="s">
        <v>379</v>
      </c>
      <c r="N141" s="179">
        <f>+G141*(1+$V$5)</f>
        <v>1.7138407702896548</v>
      </c>
      <c r="O141" s="177"/>
      <c r="P141" s="181">
        <f>+N141*L141</f>
        <v>0</v>
      </c>
      <c r="Q141" s="177"/>
      <c r="R141" s="177">
        <f t="shared" si="12"/>
        <v>0</v>
      </c>
      <c r="S141" s="152">
        <f t="shared" si="13"/>
        <v>0</v>
      </c>
      <c r="V141" s="276"/>
      <c r="W141" s="97"/>
      <c r="X141" s="46"/>
      <c r="Y141" s="46"/>
    </row>
    <row r="142" spans="1:25" ht="14.1" customHeight="1" x14ac:dyDescent="0.2">
      <c r="A142" s="4">
        <v>19</v>
      </c>
      <c r="B142" s="216" t="s">
        <v>221</v>
      </c>
      <c r="E142" s="183">
        <f>SUM(E140:E141)</f>
        <v>357</v>
      </c>
      <c r="F142" s="177" t="s">
        <v>379</v>
      </c>
      <c r="I142" s="181">
        <f>+I140+I141</f>
        <v>606.9</v>
      </c>
      <c r="L142" s="183">
        <f>SUM(L140:L141)</f>
        <v>357</v>
      </c>
      <c r="M142" s="177" t="s">
        <v>379</v>
      </c>
      <c r="P142" s="181">
        <f>+P140+P141</f>
        <v>611.8411549934068</v>
      </c>
      <c r="Q142" s="177"/>
      <c r="R142" s="177">
        <f t="shared" si="12"/>
        <v>4.9411549934068262</v>
      </c>
      <c r="S142" s="152">
        <f t="shared" si="13"/>
        <v>8.1416295821499854E-3</v>
      </c>
    </row>
    <row r="143" spans="1:25" ht="14.1" customHeight="1" x14ac:dyDescent="0.2">
      <c r="A143" s="4">
        <v>20</v>
      </c>
      <c r="I143" s="183"/>
      <c r="P143" s="183"/>
      <c r="S143" s="180"/>
      <c r="T143" s="9"/>
    </row>
    <row r="144" spans="1:25" ht="14.1" customHeight="1" x14ac:dyDescent="0.2">
      <c r="A144" s="4">
        <v>21</v>
      </c>
      <c r="T144" s="9"/>
    </row>
    <row r="145" spans="1:22" ht="14.1" customHeight="1" x14ac:dyDescent="0.2">
      <c r="A145" s="4">
        <v>22</v>
      </c>
      <c r="B145" s="48"/>
      <c r="C145" s="188"/>
      <c r="D145" s="9"/>
      <c r="E145" s="9"/>
      <c r="F145" s="177"/>
      <c r="G145" s="177"/>
      <c r="H145" s="177"/>
      <c r="I145" s="201"/>
      <c r="J145" s="177"/>
      <c r="K145" s="173"/>
      <c r="L145" s="177"/>
      <c r="M145" s="177"/>
      <c r="N145" s="177"/>
      <c r="O145" s="177"/>
      <c r="P145" s="201"/>
      <c r="Q145" s="177"/>
      <c r="R145" s="177"/>
      <c r="S145" s="240"/>
      <c r="T145" s="9"/>
    </row>
    <row r="146" spans="1:22" ht="14.1" customHeight="1" thickBot="1" x14ac:dyDescent="0.25">
      <c r="A146" s="4">
        <v>23</v>
      </c>
      <c r="B146" s="45" t="s">
        <v>50</v>
      </c>
      <c r="I146" s="247">
        <f>+I142+I136+I129</f>
        <v>80248245.243799582</v>
      </c>
      <c r="P146" s="247">
        <f>+P142+P136+P129</f>
        <v>80901596.731192127</v>
      </c>
      <c r="Q146" s="177"/>
      <c r="R146" s="177">
        <f>+P146-I146</f>
        <v>653351.48739254475</v>
      </c>
      <c r="S146" s="152">
        <f>IF(R146=0,0,(P146-I146)/I146)</f>
        <v>8.141629582149975E-3</v>
      </c>
      <c r="T146" s="9"/>
      <c r="V146" s="78"/>
    </row>
    <row r="147" spans="1:22" ht="14.1" customHeight="1" thickTop="1" x14ac:dyDescent="0.2">
      <c r="A147" s="4">
        <v>24</v>
      </c>
      <c r="B147" s="169"/>
      <c r="C147" s="188"/>
      <c r="D147" s="9"/>
      <c r="E147" s="9"/>
      <c r="F147" s="177"/>
      <c r="G147" s="177"/>
      <c r="H147" s="177"/>
      <c r="I147" s="177"/>
      <c r="J147" s="177"/>
      <c r="K147" s="173"/>
      <c r="L147" s="177"/>
      <c r="M147" s="177"/>
      <c r="N147" s="177"/>
      <c r="O147" s="177"/>
      <c r="P147" s="177"/>
      <c r="Q147" s="177"/>
      <c r="R147" s="177"/>
      <c r="S147" s="177"/>
    </row>
    <row r="148" spans="1:22" ht="14.1" customHeight="1" x14ac:dyDescent="0.2">
      <c r="A148" s="4">
        <v>25</v>
      </c>
      <c r="B148" s="169"/>
      <c r="C148" s="188"/>
      <c r="D148" s="9"/>
      <c r="E148" s="9"/>
      <c r="F148" s="177"/>
      <c r="G148" s="177"/>
      <c r="H148" s="177"/>
      <c r="I148" s="177"/>
      <c r="J148" s="177"/>
      <c r="K148" s="173"/>
      <c r="L148" s="177"/>
      <c r="M148" s="177"/>
      <c r="N148" s="177"/>
      <c r="O148" s="177"/>
      <c r="P148" s="177"/>
      <c r="Q148" s="177"/>
      <c r="R148" s="177"/>
      <c r="S148" s="177"/>
    </row>
    <row r="149" spans="1:22" ht="14.1" customHeight="1" x14ac:dyDescent="0.2">
      <c r="A149" s="4">
        <v>26</v>
      </c>
      <c r="B149" s="169"/>
      <c r="C149" s="188"/>
      <c r="D149" s="9"/>
      <c r="E149" s="9"/>
      <c r="F149" s="177"/>
      <c r="G149" s="177"/>
      <c r="H149" s="177"/>
      <c r="I149" s="177"/>
      <c r="J149" s="177"/>
      <c r="K149" s="173"/>
      <c r="L149" s="177"/>
      <c r="M149" s="177"/>
      <c r="N149" s="177"/>
      <c r="O149" s="177"/>
      <c r="P149" s="177"/>
      <c r="Q149" s="177"/>
      <c r="R149" s="177"/>
      <c r="S149" s="177"/>
    </row>
    <row r="150" spans="1:22" ht="14.1" customHeight="1" x14ac:dyDescent="0.2">
      <c r="A150" s="4">
        <v>27</v>
      </c>
      <c r="B150" s="169"/>
      <c r="C150" s="188"/>
      <c r="D150" s="9"/>
      <c r="E150" s="9"/>
      <c r="F150" s="177"/>
      <c r="G150" s="177"/>
      <c r="H150" s="177"/>
      <c r="I150" s="177"/>
      <c r="J150" s="177"/>
      <c r="K150" s="173"/>
      <c r="L150" s="177"/>
      <c r="M150" s="177"/>
      <c r="N150" s="177"/>
      <c r="O150" s="177"/>
      <c r="P150" s="177"/>
      <c r="Q150" s="177"/>
      <c r="R150" s="177"/>
      <c r="S150" s="177"/>
    </row>
    <row r="151" spans="1:22" ht="14.1" customHeight="1" x14ac:dyDescent="0.2">
      <c r="A151" s="4">
        <v>28</v>
      </c>
      <c r="B151" s="169"/>
      <c r="C151" s="188"/>
      <c r="D151" s="9"/>
      <c r="E151" s="9"/>
      <c r="F151" s="177"/>
      <c r="G151" s="177"/>
      <c r="H151" s="177"/>
      <c r="I151" s="177"/>
      <c r="J151" s="177"/>
      <c r="K151" s="173"/>
      <c r="L151" s="177"/>
      <c r="M151" s="177"/>
      <c r="N151" s="177"/>
      <c r="O151" s="177"/>
      <c r="P151" s="177"/>
      <c r="Q151" s="177"/>
      <c r="R151" s="177"/>
      <c r="S151" s="177"/>
    </row>
    <row r="152" spans="1:22" ht="14.1" customHeight="1" x14ac:dyDescent="0.2">
      <c r="A152" s="4">
        <v>29</v>
      </c>
      <c r="B152" s="169"/>
      <c r="C152" s="188"/>
      <c r="D152" s="9"/>
      <c r="E152" s="9"/>
      <c r="F152" s="177"/>
      <c r="G152" s="177"/>
      <c r="H152" s="177"/>
      <c r="I152" s="177"/>
      <c r="J152" s="177"/>
      <c r="K152" s="173"/>
      <c r="L152" s="177"/>
      <c r="M152" s="177"/>
      <c r="N152" s="177"/>
      <c r="O152" s="177"/>
      <c r="P152" s="177"/>
      <c r="Q152" s="177"/>
      <c r="R152" s="177"/>
      <c r="S152" s="177"/>
    </row>
    <row r="153" spans="1:22" ht="14.1" customHeight="1" x14ac:dyDescent="0.2">
      <c r="A153" s="4">
        <v>30</v>
      </c>
      <c r="C153" s="188"/>
      <c r="D153" s="9"/>
      <c r="E153" s="9"/>
      <c r="F153" s="177"/>
      <c r="G153" s="177"/>
      <c r="H153" s="177"/>
      <c r="I153" s="177"/>
      <c r="J153" s="177"/>
      <c r="K153" s="173"/>
      <c r="L153" s="177"/>
      <c r="M153" s="177"/>
      <c r="N153" s="177"/>
      <c r="O153" s="177"/>
      <c r="P153" s="177"/>
      <c r="Q153" s="177"/>
      <c r="R153" s="177"/>
      <c r="S153" s="177"/>
    </row>
    <row r="154" spans="1:22" ht="14.1" customHeight="1" x14ac:dyDescent="0.2">
      <c r="A154" s="4">
        <v>31</v>
      </c>
      <c r="B154" s="169"/>
      <c r="C154" s="188"/>
      <c r="D154" s="9"/>
      <c r="E154" s="9"/>
      <c r="F154" s="177"/>
      <c r="G154" s="177"/>
      <c r="H154" s="177"/>
      <c r="I154" s="177"/>
      <c r="J154" s="177"/>
      <c r="K154" s="173"/>
      <c r="L154" s="177"/>
      <c r="M154" s="177"/>
      <c r="N154" s="177"/>
      <c r="O154" s="177"/>
      <c r="P154" s="177"/>
      <c r="Q154" s="177"/>
      <c r="R154" s="177"/>
      <c r="S154" s="177"/>
    </row>
    <row r="155" spans="1:22" ht="14.1" customHeight="1" x14ac:dyDescent="0.2">
      <c r="A155" s="4">
        <v>32</v>
      </c>
      <c r="B155" s="104"/>
      <c r="C155" s="188"/>
      <c r="D155" s="9"/>
      <c r="E155" s="9"/>
      <c r="F155" s="177"/>
      <c r="G155" s="177"/>
      <c r="H155" s="177"/>
      <c r="I155" s="177"/>
      <c r="J155" s="177"/>
      <c r="K155" s="173"/>
      <c r="L155" s="177"/>
      <c r="M155" s="177"/>
      <c r="N155" s="177"/>
      <c r="O155" s="177"/>
      <c r="P155" s="177"/>
      <c r="Q155" s="177"/>
      <c r="R155" s="177"/>
      <c r="S155" s="177"/>
    </row>
    <row r="156" spans="1:22" ht="14.1" customHeight="1" x14ac:dyDescent="0.2">
      <c r="A156" s="4">
        <v>33</v>
      </c>
      <c r="B156" s="169"/>
      <c r="C156" s="188"/>
      <c r="D156" s="9"/>
      <c r="E156" s="9"/>
      <c r="F156" s="177"/>
      <c r="G156" s="177"/>
      <c r="H156" s="177"/>
      <c r="I156" s="177"/>
      <c r="J156" s="177"/>
      <c r="K156" s="173"/>
      <c r="L156" s="177"/>
      <c r="M156" s="177"/>
      <c r="N156" s="177"/>
      <c r="O156" s="177"/>
      <c r="P156" s="177"/>
      <c r="Q156" s="177"/>
      <c r="R156" s="177"/>
      <c r="S156" s="177"/>
    </row>
    <row r="157" spans="1:22" ht="14.1" customHeight="1" x14ac:dyDescent="0.2">
      <c r="A157" s="4">
        <v>34</v>
      </c>
      <c r="B157" s="169"/>
      <c r="C157" s="188"/>
      <c r="D157" s="9"/>
      <c r="E157" s="9"/>
      <c r="F157" s="177"/>
      <c r="G157" s="177"/>
      <c r="H157" s="177"/>
      <c r="I157" s="177"/>
      <c r="J157" s="177"/>
      <c r="K157" s="173"/>
      <c r="L157" s="177"/>
      <c r="M157" s="177"/>
      <c r="N157" s="177"/>
      <c r="O157" s="177"/>
      <c r="P157" s="177"/>
      <c r="Q157" s="177"/>
      <c r="R157" s="177"/>
      <c r="S157" s="177"/>
    </row>
    <row r="158" spans="1:22" ht="14.1" customHeight="1" x14ac:dyDescent="0.2">
      <c r="A158" s="4">
        <v>35</v>
      </c>
      <c r="B158" s="169"/>
      <c r="C158" s="188"/>
      <c r="D158" s="9"/>
      <c r="E158" s="9"/>
      <c r="F158" s="177"/>
      <c r="G158" s="177"/>
      <c r="H158" s="177"/>
      <c r="I158" s="177"/>
      <c r="J158" s="177"/>
      <c r="K158" s="173"/>
      <c r="L158" s="177"/>
      <c r="M158" s="177"/>
      <c r="N158" s="177"/>
      <c r="O158" s="177"/>
      <c r="P158" s="177"/>
      <c r="Q158" s="177"/>
      <c r="R158" s="177"/>
      <c r="S158" s="177"/>
    </row>
    <row r="159" spans="1:22" ht="14.1" customHeight="1" x14ac:dyDescent="0.2">
      <c r="A159" s="4">
        <v>36</v>
      </c>
      <c r="B159" s="169"/>
      <c r="C159" s="188"/>
      <c r="D159" s="9"/>
      <c r="E159" s="9"/>
      <c r="F159" s="177"/>
      <c r="G159" s="177"/>
      <c r="H159" s="177"/>
      <c r="I159" s="177"/>
      <c r="J159" s="177"/>
      <c r="K159" s="173"/>
      <c r="L159" s="177"/>
      <c r="M159" s="177"/>
      <c r="N159" s="177"/>
      <c r="O159" s="177"/>
      <c r="P159" s="177"/>
      <c r="Q159" s="177"/>
      <c r="R159" s="177"/>
      <c r="S159" s="177"/>
    </row>
    <row r="160" spans="1:22" ht="14.1" customHeight="1" x14ac:dyDescent="0.2">
      <c r="A160" s="4">
        <v>37</v>
      </c>
      <c r="B160" s="169"/>
      <c r="C160" s="188"/>
      <c r="D160" s="9"/>
      <c r="E160" s="9"/>
      <c r="F160" s="177"/>
      <c r="G160" s="177"/>
      <c r="H160" s="177"/>
      <c r="I160" s="177"/>
      <c r="J160" s="177"/>
      <c r="K160" s="173"/>
      <c r="L160" s="177"/>
      <c r="M160" s="177"/>
      <c r="N160" s="177"/>
      <c r="O160" s="177"/>
      <c r="P160" s="177"/>
      <c r="Q160" s="177"/>
      <c r="R160" s="177"/>
      <c r="S160" s="177"/>
    </row>
    <row r="161" spans="1:19" ht="14.1" customHeight="1" x14ac:dyDescent="0.2">
      <c r="A161" s="4">
        <v>38</v>
      </c>
      <c r="B161" s="169"/>
      <c r="C161" s="188"/>
      <c r="D161" s="9"/>
      <c r="E161" s="9"/>
      <c r="F161" s="177"/>
      <c r="G161" s="177"/>
      <c r="H161" s="177"/>
      <c r="I161" s="177"/>
      <c r="J161" s="177"/>
      <c r="K161" s="173"/>
      <c r="L161" s="177"/>
      <c r="M161" s="177"/>
      <c r="N161" s="177"/>
      <c r="O161" s="177"/>
      <c r="P161" s="177"/>
      <c r="Q161" s="177"/>
      <c r="R161" s="177"/>
      <c r="S161" s="177"/>
    </row>
    <row r="162" spans="1:19" ht="14.1" customHeight="1" thickBot="1" x14ac:dyDescent="0.25">
      <c r="A162" s="16">
        <v>39</v>
      </c>
      <c r="B162" s="16"/>
      <c r="C162" s="16"/>
      <c r="D162" s="16"/>
      <c r="E162" s="16"/>
      <c r="F162" s="16"/>
      <c r="G162" s="16"/>
      <c r="H162" s="16"/>
      <c r="I162" s="16"/>
      <c r="J162" s="16"/>
      <c r="K162" s="151"/>
      <c r="L162" s="16"/>
      <c r="M162" s="16"/>
      <c r="N162" s="16"/>
      <c r="O162" s="16"/>
      <c r="P162" s="16"/>
      <c r="Q162" s="16"/>
      <c r="R162" s="16"/>
      <c r="S162" s="16"/>
    </row>
    <row r="163" spans="1:19" ht="14.1" customHeight="1" x14ac:dyDescent="0.2">
      <c r="S163" s="4" t="str">
        <f>+$S$109</f>
        <v>Recap Schedules:  E-13a</v>
      </c>
    </row>
    <row r="164" spans="1:19" ht="14.1" customHeight="1" x14ac:dyDescent="0.2">
      <c r="H164" s="292" t="s">
        <v>768</v>
      </c>
      <c r="I164" s="292"/>
      <c r="J164" s="292"/>
      <c r="K164" s="292"/>
      <c r="L164" s="292"/>
    </row>
    <row r="165" spans="1:19" ht="14.1" customHeight="1" thickBot="1" x14ac:dyDescent="0.25">
      <c r="A165" s="16" t="s">
        <v>7</v>
      </c>
      <c r="B165" s="16"/>
      <c r="C165" s="16"/>
      <c r="D165" s="16"/>
      <c r="E165" s="16"/>
      <c r="F165" s="16"/>
      <c r="G165" s="16"/>
      <c r="H165" s="301" t="s">
        <v>380</v>
      </c>
      <c r="I165" s="301"/>
      <c r="J165" s="301"/>
      <c r="K165" s="301"/>
      <c r="L165" s="301"/>
      <c r="M165" s="16"/>
      <c r="N165" s="16"/>
      <c r="O165" s="16"/>
      <c r="P165" s="16"/>
      <c r="Q165" s="16"/>
      <c r="R165" s="16"/>
      <c r="S165" s="16" t="str">
        <f>"Page " &amp; INT(ROW()/$R$1 +1)  &amp; "  of " &amp; S$1</f>
        <v>Page 4  of 19</v>
      </c>
    </row>
    <row r="166" spans="1:19" ht="14.1" customHeight="1" x14ac:dyDescent="0.2">
      <c r="A166" s="4" t="s">
        <v>21</v>
      </c>
      <c r="E166" s="4" t="s">
        <v>761</v>
      </c>
      <c r="G166" s="4" t="s">
        <v>766</v>
      </c>
      <c r="K166" s="285"/>
      <c r="L166" s="56"/>
      <c r="N166" s="56"/>
      <c r="O166" s="56"/>
      <c r="P166" s="56" t="s">
        <v>663</v>
      </c>
      <c r="S166" s="22"/>
    </row>
    <row r="167" spans="1:19" ht="14.1" customHeight="1" x14ac:dyDescent="0.2">
      <c r="G167" s="4" t="s">
        <v>767</v>
      </c>
      <c r="K167" s="284"/>
      <c r="L167" s="22"/>
      <c r="O167" s="21"/>
      <c r="P167" s="21"/>
      <c r="Q167" s="22" t="s">
        <v>764</v>
      </c>
      <c r="S167" s="21"/>
    </row>
    <row r="168" spans="1:19" ht="14.1" customHeight="1" x14ac:dyDescent="0.2">
      <c r="A168" s="4" t="s">
        <v>29</v>
      </c>
      <c r="G168" s="4" t="s">
        <v>770</v>
      </c>
      <c r="K168" s="284"/>
      <c r="L168" s="22"/>
      <c r="M168" s="21"/>
      <c r="P168" s="21"/>
      <c r="Q168" s="22" t="s">
        <v>765</v>
      </c>
      <c r="S168" s="21"/>
    </row>
    <row r="169" spans="1:19" ht="14.1" customHeight="1" x14ac:dyDescent="0.2">
      <c r="G169" s="4" t="s">
        <v>769</v>
      </c>
      <c r="K169" s="284"/>
      <c r="L169" s="22"/>
      <c r="M169" s="21"/>
      <c r="P169" s="21"/>
      <c r="Q169" s="22"/>
      <c r="S169" s="21"/>
    </row>
    <row r="170" spans="1:19" ht="14.1" customHeight="1" x14ac:dyDescent="0.2">
      <c r="C170" s="21"/>
      <c r="H170" s="10"/>
      <c r="I170" s="10"/>
      <c r="J170" s="10"/>
      <c r="K170" s="284"/>
      <c r="Q170" s="4" t="s">
        <v>738</v>
      </c>
    </row>
    <row r="171" spans="1:19" ht="14.1" customHeight="1" thickBot="1" x14ac:dyDescent="0.25">
      <c r="A171" s="16"/>
      <c r="B171" s="16"/>
      <c r="C171" s="150"/>
      <c r="D171" s="101"/>
      <c r="E171" s="101"/>
      <c r="F171" s="101"/>
      <c r="G171" s="102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</row>
    <row r="172" spans="1:19" ht="14.1" customHeight="1" x14ac:dyDescent="0.2">
      <c r="E172" s="10"/>
      <c r="G172" s="10"/>
      <c r="H172" s="103"/>
      <c r="I172" s="10"/>
      <c r="K172" s="10"/>
      <c r="M172" s="103"/>
    </row>
    <row r="173" spans="1:19" ht="14.1" customHeight="1" x14ac:dyDescent="0.2">
      <c r="A173" s="9"/>
      <c r="B173" s="92"/>
      <c r="C173" s="92"/>
      <c r="D173" s="1"/>
      <c r="E173" s="39"/>
      <c r="F173" s="1"/>
      <c r="G173" s="1"/>
      <c r="H173" s="39"/>
      <c r="I173" s="1"/>
      <c r="J173" s="1"/>
      <c r="K173" s="3"/>
      <c r="L173" s="1"/>
      <c r="M173" s="39"/>
      <c r="N173" s="1"/>
      <c r="O173" s="1"/>
      <c r="P173" s="1"/>
      <c r="Q173" s="1"/>
      <c r="R173" s="1"/>
      <c r="S173" s="1"/>
    </row>
    <row r="174" spans="1:19" ht="14.1" customHeight="1" x14ac:dyDescent="0.2">
      <c r="A174" s="9"/>
      <c r="B174" s="92"/>
      <c r="C174" s="1"/>
      <c r="D174" s="1"/>
      <c r="E174" s="1"/>
      <c r="F174" s="39"/>
      <c r="G174" s="39"/>
      <c r="H174" s="40"/>
      <c r="I174" s="40" t="s">
        <v>14</v>
      </c>
      <c r="J174" s="3"/>
      <c r="K174" s="146" t="s">
        <v>582</v>
      </c>
      <c r="L174" s="39"/>
      <c r="M174" s="1"/>
      <c r="N174" s="39"/>
      <c r="O174" s="39"/>
      <c r="P174" s="39"/>
      <c r="Q174" s="39"/>
      <c r="R174" s="39"/>
      <c r="S174" s="1"/>
    </row>
    <row r="175" spans="1:19" ht="14.1" customHeight="1" x14ac:dyDescent="0.2">
      <c r="A175" s="9"/>
      <c r="B175" s="92"/>
      <c r="C175" s="1"/>
      <c r="D175" s="1"/>
      <c r="E175" s="1"/>
      <c r="F175" s="39"/>
      <c r="G175" s="39"/>
      <c r="H175" s="39"/>
      <c r="I175" s="39"/>
      <c r="J175" s="39"/>
      <c r="K175" s="3"/>
      <c r="L175" s="39"/>
      <c r="M175" s="39"/>
      <c r="N175" s="39"/>
      <c r="O175" s="39"/>
      <c r="P175" s="39"/>
      <c r="Q175" s="39"/>
      <c r="R175" s="39"/>
      <c r="S175" s="39"/>
    </row>
    <row r="176" spans="1:19" ht="14.1" customHeight="1" x14ac:dyDescent="0.2">
      <c r="A176" s="149" t="s">
        <v>26</v>
      </c>
      <c r="B176" s="176" t="s">
        <v>5</v>
      </c>
      <c r="C176" s="216"/>
      <c r="D176" s="213"/>
      <c r="E176" s="192"/>
      <c r="F176" s="192"/>
      <c r="G176" s="267" t="s">
        <v>8</v>
      </c>
      <c r="H176" s="192"/>
      <c r="I176" s="192"/>
      <c r="J176" s="216"/>
      <c r="K176" s="187"/>
      <c r="L176" s="192"/>
      <c r="M176" s="267"/>
      <c r="N176" s="267" t="s">
        <v>9</v>
      </c>
      <c r="O176" s="192"/>
      <c r="P176" s="192"/>
      <c r="Q176" s="216"/>
      <c r="R176" s="290" t="s">
        <v>750</v>
      </c>
      <c r="S176" s="290" t="s">
        <v>752</v>
      </c>
    </row>
    <row r="177" spans="1:25" ht="14.1" customHeight="1" thickBot="1" x14ac:dyDescent="0.25">
      <c r="A177" s="151" t="s">
        <v>28</v>
      </c>
      <c r="B177" s="175" t="s">
        <v>10</v>
      </c>
      <c r="C177" s="215"/>
      <c r="D177" s="44"/>
      <c r="E177" s="151" t="s">
        <v>11</v>
      </c>
      <c r="F177" s="194"/>
      <c r="G177" s="194" t="s">
        <v>12</v>
      </c>
      <c r="H177" s="194"/>
      <c r="I177" s="194" t="s">
        <v>13</v>
      </c>
      <c r="J177" s="194"/>
      <c r="K177" s="194"/>
      <c r="L177" s="194" t="s">
        <v>11</v>
      </c>
      <c r="M177" s="194"/>
      <c r="N177" s="194" t="s">
        <v>12</v>
      </c>
      <c r="O177" s="194"/>
      <c r="P177" s="194" t="s">
        <v>13</v>
      </c>
      <c r="Q177" s="215"/>
      <c r="R177" s="291" t="s">
        <v>751</v>
      </c>
      <c r="S177" s="291" t="s">
        <v>4</v>
      </c>
      <c r="W177" s="148"/>
      <c r="X177" s="148"/>
    </row>
    <row r="178" spans="1:25" ht="14.1" customHeight="1" x14ac:dyDescent="0.2">
      <c r="A178" s="4">
        <v>1</v>
      </c>
      <c r="B178" s="169"/>
      <c r="C178" s="186"/>
      <c r="F178" s="188"/>
      <c r="G178" s="188"/>
      <c r="H178" s="188"/>
      <c r="I178" s="188"/>
      <c r="J178" s="186"/>
      <c r="K178" s="187"/>
      <c r="L178" s="186"/>
      <c r="M178" s="188"/>
      <c r="N178" s="188"/>
      <c r="O178" s="188"/>
      <c r="P178" s="188"/>
      <c r="Q178" s="188"/>
      <c r="R178" s="188"/>
      <c r="S178" s="188"/>
    </row>
    <row r="179" spans="1:25" ht="14.1" customHeight="1" x14ac:dyDescent="0.2">
      <c r="A179" s="4">
        <v>2</v>
      </c>
      <c r="B179" s="186" t="s">
        <v>393</v>
      </c>
      <c r="I179" s="218"/>
      <c r="Q179" s="177"/>
      <c r="R179" s="177"/>
      <c r="S179" s="177"/>
    </row>
    <row r="180" spans="1:25" ht="14.1" customHeight="1" x14ac:dyDescent="0.2">
      <c r="A180" s="4">
        <v>3</v>
      </c>
      <c r="E180" s="181">
        <f>+'ECCR Billing Determinants'!C14</f>
        <v>1652750.4166666665</v>
      </c>
      <c r="F180" s="4" t="s">
        <v>611</v>
      </c>
      <c r="G180" s="179">
        <f>+Rates!D28</f>
        <v>0.74</v>
      </c>
      <c r="H180" s="177"/>
      <c r="I180" s="177">
        <f>+G180*E180</f>
        <v>1223035.3083333331</v>
      </c>
      <c r="J180" s="183"/>
      <c r="K180" s="173"/>
      <c r="L180" s="181">
        <f>+E180</f>
        <v>1652750.4166666665</v>
      </c>
      <c r="M180" s="4" t="s">
        <v>611</v>
      </c>
      <c r="N180" s="179">
        <f>+G180*(1+$V$5)</f>
        <v>0.7460248058907909</v>
      </c>
      <c r="P180" s="177">
        <f>+N180*L180</f>
        <v>1232992.8087796737</v>
      </c>
      <c r="Q180" s="177"/>
      <c r="R180" s="177">
        <f t="shared" ref="R180:R181" si="15">+P180-I180</f>
        <v>9957.5004463405348</v>
      </c>
      <c r="S180" s="152">
        <f t="shared" ref="S180:S181" si="16">IF(R180=0,0,(P180-I180)/I180)</f>
        <v>8.1416295821499368E-3</v>
      </c>
      <c r="V180" s="276"/>
      <c r="W180" s="97"/>
      <c r="X180" s="46"/>
      <c r="Y180" s="46"/>
    </row>
    <row r="181" spans="1:25" ht="14.1" customHeight="1" x14ac:dyDescent="0.2">
      <c r="A181" s="4">
        <v>4</v>
      </c>
      <c r="B181" s="4" t="s">
        <v>27</v>
      </c>
      <c r="E181" s="183">
        <f>+E180</f>
        <v>1652750.4166666665</v>
      </c>
      <c r="F181" s="4" t="s">
        <v>612</v>
      </c>
      <c r="I181" s="185">
        <f>+I180</f>
        <v>1223035.3083333331</v>
      </c>
      <c r="L181" s="183">
        <f>+L180</f>
        <v>1652750.4166666665</v>
      </c>
      <c r="M181" s="4" t="s">
        <v>612</v>
      </c>
      <c r="P181" s="185">
        <f>+P180</f>
        <v>1232992.8087796737</v>
      </c>
      <c r="Q181" s="177"/>
      <c r="R181" s="177">
        <f t="shared" si="15"/>
        <v>9957.5004463405348</v>
      </c>
      <c r="S181" s="152">
        <f t="shared" si="16"/>
        <v>8.1416295821499368E-3</v>
      </c>
    </row>
    <row r="182" spans="1:25" ht="14.1" customHeight="1" x14ac:dyDescent="0.2">
      <c r="A182" s="4">
        <v>5</v>
      </c>
      <c r="E182" s="183"/>
      <c r="I182" s="183"/>
      <c r="L182" s="183"/>
      <c r="P182" s="183"/>
      <c r="Q182" s="177"/>
      <c r="R182" s="177"/>
      <c r="S182" s="177"/>
    </row>
    <row r="183" spans="1:25" ht="14.1" customHeight="1" x14ac:dyDescent="0.2">
      <c r="A183" s="4">
        <v>6</v>
      </c>
      <c r="B183" s="186" t="s">
        <v>45</v>
      </c>
      <c r="C183" s="186"/>
      <c r="E183" s="183"/>
      <c r="F183" s="177"/>
      <c r="I183" s="183"/>
      <c r="L183" s="183"/>
      <c r="M183" s="177"/>
      <c r="P183" s="183"/>
      <c r="Q183" s="177"/>
      <c r="R183" s="177"/>
      <c r="S183" s="180"/>
    </row>
    <row r="184" spans="1:25" ht="14.1" customHeight="1" x14ac:dyDescent="0.2">
      <c r="A184" s="4">
        <v>7</v>
      </c>
      <c r="C184" s="186"/>
      <c r="E184" s="181">
        <f>+ROUND('ECCR Billing Determinants'!B15/1000,0)</f>
        <v>20119</v>
      </c>
      <c r="F184" s="177" t="s">
        <v>379</v>
      </c>
      <c r="G184" s="179">
        <f>+Rates!D30</f>
        <v>66.34</v>
      </c>
      <c r="H184" s="177"/>
      <c r="I184" s="177">
        <f>+G184*E184</f>
        <v>1334694.46</v>
      </c>
      <c r="J184" s="183"/>
      <c r="K184" s="173"/>
      <c r="L184" s="181">
        <f>+E184</f>
        <v>20119</v>
      </c>
      <c r="M184" s="177" t="s">
        <v>379</v>
      </c>
      <c r="N184" s="179">
        <f>+G184*(1+$V$5)</f>
        <v>66.880115706479828</v>
      </c>
      <c r="O184" s="177"/>
      <c r="P184" s="177">
        <f>+N184*L184</f>
        <v>1345561.0478986676</v>
      </c>
      <c r="Q184" s="177"/>
      <c r="R184" s="177">
        <f t="shared" ref="R184:R185" si="17">+P184-I184</f>
        <v>10866.587898667669</v>
      </c>
      <c r="S184" s="152">
        <f t="shared" ref="S184:S185" si="18">IF(R184=0,0,(P184-I184)/I184)</f>
        <v>8.1416295821499628E-3</v>
      </c>
      <c r="V184" s="276"/>
      <c r="W184" s="97"/>
      <c r="X184" s="46"/>
      <c r="Y184" s="46"/>
    </row>
    <row r="185" spans="1:25" ht="14.1" customHeight="1" x14ac:dyDescent="0.2">
      <c r="A185" s="4">
        <v>8</v>
      </c>
      <c r="B185" s="4" t="s">
        <v>27</v>
      </c>
      <c r="E185" s="183">
        <f>+E184</f>
        <v>20119</v>
      </c>
      <c r="F185" s="177" t="s">
        <v>379</v>
      </c>
      <c r="I185" s="185">
        <f>+I184</f>
        <v>1334694.46</v>
      </c>
      <c r="L185" s="183">
        <f>+L184</f>
        <v>20119</v>
      </c>
      <c r="M185" s="177" t="s">
        <v>379</v>
      </c>
      <c r="P185" s="185">
        <f>+P184</f>
        <v>1345561.0478986676</v>
      </c>
      <c r="Q185" s="177"/>
      <c r="R185" s="177">
        <f t="shared" si="17"/>
        <v>10866.587898667669</v>
      </c>
      <c r="S185" s="152">
        <f t="shared" si="18"/>
        <v>8.1416295821499628E-3</v>
      </c>
    </row>
    <row r="186" spans="1:25" ht="14.1" customHeight="1" x14ac:dyDescent="0.2">
      <c r="A186" s="4">
        <v>9</v>
      </c>
      <c r="I186" s="183"/>
      <c r="P186" s="183"/>
      <c r="S186" s="49"/>
    </row>
    <row r="187" spans="1:25" ht="14.1" customHeight="1" x14ac:dyDescent="0.2">
      <c r="A187" s="4">
        <v>10</v>
      </c>
      <c r="I187" s="183"/>
      <c r="P187" s="183"/>
      <c r="S187" s="49"/>
    </row>
    <row r="188" spans="1:25" ht="14.1" customHeight="1" x14ac:dyDescent="0.2">
      <c r="A188" s="4">
        <v>11</v>
      </c>
    </row>
    <row r="189" spans="1:25" ht="14.1" customHeight="1" thickBot="1" x14ac:dyDescent="0.25">
      <c r="A189" s="4">
        <v>12</v>
      </c>
      <c r="B189" s="45" t="s">
        <v>50</v>
      </c>
      <c r="C189" s="186"/>
      <c r="F189" s="177"/>
      <c r="G189" s="177"/>
      <c r="H189" s="177"/>
      <c r="I189" s="247">
        <f>+I181+I185</f>
        <v>2557729.7683333331</v>
      </c>
      <c r="J189" s="177"/>
      <c r="K189" s="173"/>
      <c r="L189" s="177"/>
      <c r="M189" s="177"/>
      <c r="N189" s="177"/>
      <c r="O189" s="177"/>
      <c r="P189" s="247">
        <f>+P181+P185</f>
        <v>2578553.8566783415</v>
      </c>
      <c r="Q189" s="177"/>
      <c r="R189" s="177">
        <f>+P189-I189</f>
        <v>20824.088345008437</v>
      </c>
      <c r="S189" s="152">
        <f>IF(R189=0,0,(P189-I189)/I189)</f>
        <v>8.1416295821500409E-3</v>
      </c>
      <c r="V189" s="78"/>
    </row>
    <row r="190" spans="1:25" ht="14.1" customHeight="1" thickTop="1" x14ac:dyDescent="0.2">
      <c r="A190" s="4">
        <v>13</v>
      </c>
      <c r="B190" s="48"/>
      <c r="C190" s="188"/>
      <c r="D190" s="9"/>
      <c r="E190" s="9"/>
      <c r="F190" s="177"/>
      <c r="G190" s="177"/>
      <c r="H190" s="177"/>
      <c r="I190" s="201"/>
      <c r="J190" s="177"/>
      <c r="K190" s="173"/>
      <c r="L190" s="177"/>
      <c r="M190" s="177"/>
      <c r="N190" s="177"/>
      <c r="O190" s="177"/>
      <c r="P190" s="201"/>
      <c r="Q190" s="177"/>
      <c r="R190" s="177"/>
      <c r="S190" s="240"/>
    </row>
    <row r="191" spans="1:25" ht="14.1" customHeight="1" x14ac:dyDescent="0.2">
      <c r="A191" s="4">
        <v>14</v>
      </c>
      <c r="B191" s="9"/>
      <c r="C191" s="9"/>
      <c r="D191" s="9"/>
      <c r="E191" s="9"/>
      <c r="F191" s="9"/>
      <c r="G191" s="9"/>
      <c r="H191" s="9"/>
      <c r="I191" s="9"/>
      <c r="J191" s="9"/>
      <c r="K191" s="149"/>
      <c r="L191" s="9"/>
      <c r="M191" s="9"/>
      <c r="N191" s="9"/>
      <c r="O191" s="9"/>
      <c r="P191" s="76"/>
      <c r="Q191" s="177"/>
      <c r="R191" s="177"/>
      <c r="S191" s="177"/>
    </row>
    <row r="192" spans="1:25" ht="14.1" customHeight="1" x14ac:dyDescent="0.2">
      <c r="A192" s="4">
        <v>15</v>
      </c>
      <c r="B192" s="9"/>
      <c r="C192" s="188"/>
      <c r="D192" s="9"/>
      <c r="E192" s="9"/>
      <c r="F192" s="177"/>
      <c r="G192" s="177"/>
      <c r="H192" s="177"/>
      <c r="I192" s="177"/>
      <c r="J192" s="177"/>
      <c r="K192" s="173"/>
      <c r="L192" s="177"/>
      <c r="M192" s="177"/>
      <c r="N192" s="177"/>
      <c r="O192" s="177"/>
      <c r="P192" s="177"/>
      <c r="Q192" s="177"/>
      <c r="R192" s="177"/>
      <c r="S192" s="177"/>
    </row>
    <row r="193" spans="1:19" ht="14.1" customHeight="1" x14ac:dyDescent="0.2">
      <c r="A193" s="4">
        <v>16</v>
      </c>
      <c r="C193" s="188"/>
      <c r="D193" s="9"/>
      <c r="E193" s="9"/>
      <c r="F193" s="177"/>
      <c r="G193" s="177"/>
      <c r="H193" s="177"/>
      <c r="I193" s="177"/>
      <c r="J193" s="177"/>
      <c r="K193" s="173"/>
      <c r="L193" s="177"/>
      <c r="M193" s="177"/>
      <c r="N193" s="177"/>
      <c r="O193" s="177"/>
      <c r="P193" s="177"/>
      <c r="Q193" s="177"/>
      <c r="R193" s="177"/>
      <c r="S193" s="177"/>
    </row>
    <row r="194" spans="1:19" ht="14.1" customHeight="1" x14ac:dyDescent="0.2">
      <c r="A194" s="4">
        <v>17</v>
      </c>
      <c r="C194" s="188"/>
      <c r="D194" s="9"/>
      <c r="E194" s="9"/>
      <c r="F194" s="177"/>
      <c r="G194" s="177"/>
      <c r="H194" s="177"/>
      <c r="I194" s="177"/>
      <c r="J194" s="177"/>
      <c r="K194" s="173"/>
      <c r="L194" s="177"/>
      <c r="M194" s="177"/>
      <c r="N194" s="177"/>
      <c r="O194" s="177"/>
      <c r="P194" s="177"/>
      <c r="Q194" s="177"/>
      <c r="R194" s="177"/>
      <c r="S194" s="177"/>
    </row>
    <row r="195" spans="1:19" ht="14.1" customHeight="1" x14ac:dyDescent="0.2">
      <c r="A195" s="4">
        <v>18</v>
      </c>
      <c r="C195" s="188"/>
      <c r="D195" s="9"/>
      <c r="E195" s="9"/>
      <c r="F195" s="177"/>
      <c r="G195" s="177"/>
      <c r="H195" s="177"/>
      <c r="I195" s="177"/>
      <c r="J195" s="177"/>
      <c r="K195" s="173"/>
      <c r="L195" s="177"/>
      <c r="M195" s="177"/>
      <c r="N195" s="177"/>
      <c r="O195" s="177"/>
      <c r="P195" s="177"/>
      <c r="Q195" s="177"/>
      <c r="R195" s="177"/>
      <c r="S195" s="177"/>
    </row>
    <row r="196" spans="1:19" ht="14.1" customHeight="1" x14ac:dyDescent="0.2">
      <c r="A196" s="4">
        <v>19</v>
      </c>
      <c r="C196" s="188"/>
      <c r="D196" s="9"/>
      <c r="E196" s="9"/>
      <c r="F196" s="177"/>
      <c r="G196" s="177"/>
      <c r="H196" s="177"/>
      <c r="I196" s="177"/>
      <c r="J196" s="177"/>
      <c r="K196" s="173"/>
      <c r="L196" s="177"/>
      <c r="M196" s="177"/>
      <c r="N196" s="177"/>
      <c r="O196" s="177"/>
      <c r="P196" s="177"/>
      <c r="Q196" s="177"/>
      <c r="R196" s="177"/>
      <c r="S196" s="177"/>
    </row>
    <row r="197" spans="1:19" ht="14.1" customHeight="1" x14ac:dyDescent="0.2">
      <c r="A197" s="4">
        <v>20</v>
      </c>
      <c r="B197" s="169"/>
      <c r="C197" s="188"/>
      <c r="D197" s="9"/>
      <c r="E197" s="9"/>
      <c r="F197" s="177"/>
      <c r="G197" s="177"/>
      <c r="H197" s="177"/>
      <c r="I197" s="177"/>
      <c r="J197" s="177"/>
      <c r="K197" s="173"/>
      <c r="L197" s="177"/>
      <c r="M197" s="177"/>
      <c r="N197" s="177"/>
      <c r="O197" s="177"/>
      <c r="P197" s="177"/>
      <c r="Q197" s="177"/>
      <c r="R197" s="177"/>
      <c r="S197" s="177"/>
    </row>
    <row r="198" spans="1:19" ht="14.1" customHeight="1" x14ac:dyDescent="0.2">
      <c r="A198" s="4">
        <v>21</v>
      </c>
      <c r="B198" s="169"/>
      <c r="C198" s="188"/>
      <c r="D198" s="9"/>
      <c r="E198" s="9"/>
      <c r="F198" s="177"/>
      <c r="G198" s="177"/>
      <c r="H198" s="177"/>
      <c r="I198" s="177"/>
      <c r="J198" s="177"/>
      <c r="K198" s="173"/>
      <c r="L198" s="177"/>
      <c r="M198" s="177"/>
      <c r="N198" s="177"/>
      <c r="O198" s="177"/>
      <c r="P198" s="177"/>
      <c r="Q198" s="177"/>
      <c r="R198" s="177"/>
      <c r="S198" s="177"/>
    </row>
    <row r="199" spans="1:19" ht="14.1" customHeight="1" x14ac:dyDescent="0.2">
      <c r="A199" s="4">
        <v>22</v>
      </c>
      <c r="B199" s="169"/>
      <c r="C199" s="188"/>
      <c r="D199" s="9"/>
      <c r="E199" s="9"/>
      <c r="F199" s="177"/>
      <c r="G199" s="177"/>
      <c r="H199" s="177"/>
      <c r="I199" s="177"/>
      <c r="J199" s="177"/>
      <c r="K199" s="173"/>
      <c r="L199" s="177"/>
      <c r="M199" s="177"/>
      <c r="N199" s="177"/>
      <c r="O199" s="177"/>
      <c r="P199" s="177"/>
      <c r="Q199" s="177"/>
      <c r="R199" s="177"/>
      <c r="S199" s="177"/>
    </row>
    <row r="200" spans="1:19" ht="14.1" customHeight="1" x14ac:dyDescent="0.2">
      <c r="A200" s="4">
        <v>23</v>
      </c>
      <c r="B200" s="169"/>
      <c r="C200" s="188"/>
      <c r="D200" s="9"/>
      <c r="E200" s="9"/>
      <c r="F200" s="177"/>
      <c r="G200" s="177"/>
      <c r="H200" s="177"/>
      <c r="I200" s="177"/>
      <c r="J200" s="177"/>
      <c r="K200" s="173"/>
      <c r="L200" s="177"/>
      <c r="M200" s="177"/>
      <c r="N200" s="177"/>
      <c r="O200" s="177"/>
      <c r="P200" s="177"/>
      <c r="Q200" s="177"/>
      <c r="R200" s="177"/>
      <c r="S200" s="177"/>
    </row>
    <row r="201" spans="1:19" ht="14.1" customHeight="1" x14ac:dyDescent="0.2">
      <c r="A201" s="4">
        <v>24</v>
      </c>
      <c r="B201" s="169"/>
      <c r="C201" s="188"/>
      <c r="D201" s="9"/>
      <c r="E201" s="9"/>
      <c r="F201" s="177"/>
      <c r="G201" s="177"/>
      <c r="H201" s="177"/>
      <c r="I201" s="177"/>
      <c r="J201" s="177"/>
      <c r="K201" s="173"/>
      <c r="L201" s="177"/>
      <c r="M201" s="177"/>
      <c r="N201" s="177"/>
      <c r="O201" s="177"/>
      <c r="P201" s="177"/>
      <c r="Q201" s="177"/>
      <c r="R201" s="177"/>
      <c r="S201" s="177"/>
    </row>
    <row r="202" spans="1:19" ht="14.1" customHeight="1" x14ac:dyDescent="0.2">
      <c r="A202" s="4">
        <v>25</v>
      </c>
      <c r="B202" s="169"/>
      <c r="C202" s="188"/>
      <c r="D202" s="9"/>
      <c r="E202" s="9"/>
      <c r="F202" s="177"/>
      <c r="G202" s="177"/>
      <c r="H202" s="177"/>
      <c r="I202" s="177"/>
      <c r="J202" s="177"/>
      <c r="K202" s="173"/>
      <c r="L202" s="177"/>
      <c r="M202" s="177"/>
      <c r="N202" s="177"/>
      <c r="O202" s="177"/>
      <c r="P202" s="177"/>
      <c r="Q202" s="177"/>
      <c r="R202" s="177"/>
      <c r="S202" s="177"/>
    </row>
    <row r="203" spans="1:19" ht="14.1" customHeight="1" x14ac:dyDescent="0.2">
      <c r="A203" s="4">
        <v>26</v>
      </c>
      <c r="B203" s="169"/>
      <c r="C203" s="188"/>
      <c r="D203" s="9"/>
      <c r="E203" s="9"/>
      <c r="F203" s="177"/>
      <c r="G203" s="177"/>
      <c r="H203" s="177"/>
      <c r="I203" s="177"/>
      <c r="J203" s="177"/>
      <c r="K203" s="173"/>
      <c r="L203" s="177"/>
      <c r="M203" s="177"/>
      <c r="N203" s="177"/>
      <c r="O203" s="177"/>
      <c r="P203" s="177"/>
      <c r="Q203" s="177"/>
      <c r="R203" s="177"/>
      <c r="S203" s="177"/>
    </row>
    <row r="204" spans="1:19" ht="14.1" customHeight="1" x14ac:dyDescent="0.2">
      <c r="A204" s="4">
        <v>27</v>
      </c>
      <c r="B204" s="169"/>
      <c r="C204" s="188"/>
      <c r="D204" s="9"/>
      <c r="E204" s="9"/>
      <c r="F204" s="177"/>
      <c r="G204" s="177"/>
      <c r="H204" s="177"/>
      <c r="I204" s="177"/>
      <c r="J204" s="177"/>
      <c r="K204" s="173"/>
      <c r="L204" s="177"/>
      <c r="M204" s="177"/>
      <c r="N204" s="177"/>
      <c r="O204" s="177"/>
      <c r="P204" s="177"/>
      <c r="Q204" s="177"/>
      <c r="R204" s="177"/>
      <c r="S204" s="177"/>
    </row>
    <row r="205" spans="1:19" ht="14.1" customHeight="1" x14ac:dyDescent="0.2">
      <c r="A205" s="4">
        <v>28</v>
      </c>
      <c r="B205" s="169"/>
      <c r="C205" s="188"/>
      <c r="D205" s="9"/>
      <c r="E205" s="9"/>
      <c r="F205" s="177"/>
      <c r="G205" s="177"/>
      <c r="H205" s="177"/>
      <c r="I205" s="177"/>
      <c r="J205" s="177"/>
      <c r="K205" s="173"/>
      <c r="L205" s="177"/>
      <c r="M205" s="177"/>
      <c r="N205" s="177"/>
      <c r="O205" s="177"/>
      <c r="P205" s="177"/>
      <c r="Q205" s="177"/>
      <c r="R205" s="177"/>
      <c r="S205" s="177"/>
    </row>
    <row r="206" spans="1:19" ht="14.1" customHeight="1" x14ac:dyDescent="0.2">
      <c r="A206" s="4">
        <v>29</v>
      </c>
      <c r="B206" s="169"/>
      <c r="C206" s="188"/>
      <c r="D206" s="9"/>
      <c r="E206" s="9"/>
      <c r="F206" s="177"/>
      <c r="G206" s="177"/>
      <c r="H206" s="177"/>
      <c r="I206" s="177"/>
      <c r="J206" s="177"/>
      <c r="K206" s="173"/>
      <c r="L206" s="177"/>
      <c r="M206" s="177"/>
      <c r="N206" s="177"/>
      <c r="O206" s="177"/>
      <c r="P206" s="177"/>
      <c r="Q206" s="177"/>
      <c r="R206" s="177"/>
      <c r="S206" s="177"/>
    </row>
    <row r="207" spans="1:19" ht="14.1" customHeight="1" x14ac:dyDescent="0.2">
      <c r="A207" s="4">
        <v>30</v>
      </c>
      <c r="B207" s="169"/>
      <c r="C207" s="188"/>
      <c r="D207" s="9"/>
      <c r="E207" s="9"/>
      <c r="F207" s="177"/>
      <c r="G207" s="177"/>
      <c r="H207" s="177"/>
      <c r="I207" s="177"/>
      <c r="J207" s="177"/>
      <c r="K207" s="173"/>
      <c r="L207" s="177"/>
      <c r="M207" s="177"/>
      <c r="N207" s="177"/>
      <c r="O207" s="177"/>
      <c r="P207" s="177"/>
      <c r="Q207" s="177"/>
      <c r="R207" s="177"/>
      <c r="S207" s="177"/>
    </row>
    <row r="208" spans="1:19" ht="14.1" customHeight="1" x14ac:dyDescent="0.2">
      <c r="A208" s="4">
        <v>31</v>
      </c>
      <c r="B208" s="169"/>
      <c r="C208" s="188"/>
      <c r="D208" s="9"/>
      <c r="E208" s="9"/>
      <c r="F208" s="177"/>
      <c r="G208" s="177"/>
      <c r="H208" s="177"/>
      <c r="I208" s="177"/>
      <c r="J208" s="177"/>
      <c r="K208" s="173"/>
      <c r="L208" s="177"/>
      <c r="M208" s="177"/>
      <c r="N208" s="177"/>
      <c r="O208" s="177"/>
      <c r="P208" s="177"/>
      <c r="Q208" s="177"/>
      <c r="R208" s="177"/>
      <c r="S208" s="177"/>
    </row>
    <row r="209" spans="1:19" ht="14.1" customHeight="1" x14ac:dyDescent="0.2">
      <c r="A209" s="4">
        <v>32</v>
      </c>
      <c r="B209" s="169"/>
      <c r="C209" s="104"/>
      <c r="D209" s="9"/>
      <c r="E209" s="9"/>
      <c r="F209" s="177"/>
      <c r="G209" s="177"/>
      <c r="H209" s="177"/>
      <c r="I209" s="177"/>
      <c r="J209" s="177"/>
      <c r="K209" s="173"/>
      <c r="L209" s="177"/>
      <c r="M209" s="177"/>
      <c r="N209" s="177"/>
      <c r="O209" s="177"/>
      <c r="P209" s="177"/>
      <c r="Q209" s="177"/>
      <c r="R209" s="177"/>
      <c r="S209" s="177"/>
    </row>
    <row r="210" spans="1:19" ht="14.1" customHeight="1" x14ac:dyDescent="0.2">
      <c r="A210" s="4">
        <v>33</v>
      </c>
      <c r="B210" s="169"/>
      <c r="C210" s="188"/>
      <c r="D210" s="9"/>
      <c r="E210" s="9"/>
      <c r="F210" s="177"/>
      <c r="G210" s="177"/>
      <c r="H210" s="177"/>
      <c r="I210" s="177"/>
      <c r="J210" s="177"/>
      <c r="K210" s="173"/>
      <c r="L210" s="177"/>
      <c r="M210" s="177"/>
      <c r="N210" s="177"/>
      <c r="O210" s="177"/>
      <c r="P210" s="177"/>
      <c r="Q210" s="177"/>
      <c r="R210" s="177"/>
      <c r="S210" s="177"/>
    </row>
    <row r="211" spans="1:19" ht="14.1" customHeight="1" x14ac:dyDescent="0.2">
      <c r="A211" s="4">
        <v>34</v>
      </c>
      <c r="B211" s="169"/>
      <c r="C211" s="188"/>
      <c r="D211" s="9"/>
      <c r="E211" s="9"/>
      <c r="F211" s="177"/>
      <c r="G211" s="177"/>
      <c r="H211" s="177"/>
      <c r="I211" s="177"/>
      <c r="J211" s="177"/>
      <c r="K211" s="173"/>
      <c r="L211" s="177"/>
      <c r="M211" s="177"/>
      <c r="N211" s="177"/>
      <c r="O211" s="177"/>
      <c r="P211" s="177"/>
      <c r="Q211" s="177"/>
      <c r="R211" s="177"/>
      <c r="S211" s="177"/>
    </row>
    <row r="212" spans="1:19" ht="14.1" customHeight="1" x14ac:dyDescent="0.2">
      <c r="A212" s="4">
        <v>35</v>
      </c>
      <c r="B212" s="169"/>
      <c r="C212" s="188"/>
      <c r="D212" s="9"/>
      <c r="E212" s="9"/>
      <c r="F212" s="177"/>
      <c r="G212" s="177"/>
      <c r="H212" s="177"/>
      <c r="I212" s="177"/>
      <c r="J212" s="177"/>
      <c r="K212" s="173"/>
      <c r="L212" s="177"/>
      <c r="M212" s="177"/>
      <c r="N212" s="177"/>
      <c r="O212" s="177"/>
      <c r="P212" s="177"/>
      <c r="Q212" s="177"/>
      <c r="R212" s="177"/>
      <c r="S212" s="177"/>
    </row>
    <row r="213" spans="1:19" ht="14.1" customHeight="1" x14ac:dyDescent="0.2">
      <c r="A213" s="4">
        <v>36</v>
      </c>
      <c r="B213" s="169"/>
      <c r="C213" s="188"/>
      <c r="D213" s="9"/>
      <c r="E213" s="9"/>
      <c r="F213" s="177"/>
      <c r="G213" s="177"/>
      <c r="H213" s="177"/>
      <c r="I213" s="177"/>
      <c r="J213" s="177"/>
      <c r="K213" s="173"/>
      <c r="L213" s="177"/>
      <c r="M213" s="177"/>
      <c r="N213" s="177"/>
      <c r="O213" s="177"/>
      <c r="P213" s="177"/>
      <c r="Q213" s="177"/>
      <c r="R213" s="177"/>
      <c r="S213" s="177"/>
    </row>
    <row r="214" spans="1:19" ht="14.1" customHeight="1" x14ac:dyDescent="0.2">
      <c r="A214" s="4">
        <v>37</v>
      </c>
      <c r="B214" s="169"/>
      <c r="C214" s="188"/>
      <c r="D214" s="9"/>
      <c r="E214" s="9"/>
      <c r="F214" s="177"/>
      <c r="G214" s="177"/>
      <c r="H214" s="177"/>
      <c r="I214" s="177"/>
      <c r="J214" s="177"/>
      <c r="K214" s="173"/>
      <c r="L214" s="177"/>
      <c r="M214" s="177"/>
      <c r="N214" s="177"/>
      <c r="O214" s="177"/>
      <c r="P214" s="177"/>
      <c r="Q214" s="177"/>
      <c r="R214" s="177"/>
      <c r="S214" s="177"/>
    </row>
    <row r="215" spans="1:19" ht="14.1" customHeight="1" x14ac:dyDescent="0.2">
      <c r="A215" s="4">
        <v>38</v>
      </c>
      <c r="B215" s="169"/>
      <c r="C215" s="188"/>
      <c r="D215" s="9"/>
      <c r="E215" s="9"/>
      <c r="F215" s="177"/>
      <c r="G215" s="177"/>
      <c r="H215" s="177"/>
      <c r="I215" s="177"/>
      <c r="J215" s="177"/>
      <c r="K215" s="173"/>
      <c r="L215" s="177"/>
      <c r="M215" s="177"/>
      <c r="N215" s="177"/>
      <c r="O215" s="177"/>
      <c r="P215" s="177"/>
      <c r="Q215" s="177"/>
      <c r="R215" s="177"/>
      <c r="S215" s="177"/>
    </row>
    <row r="216" spans="1:19" ht="14.1" customHeight="1" thickBot="1" x14ac:dyDescent="0.25">
      <c r="A216" s="16">
        <v>39</v>
      </c>
      <c r="B216" s="16"/>
      <c r="C216" s="16"/>
      <c r="D216" s="16"/>
      <c r="E216" s="16"/>
      <c r="F216" s="16"/>
      <c r="G216" s="16"/>
      <c r="H216" s="16"/>
      <c r="I216" s="16"/>
      <c r="J216" s="16"/>
      <c r="K216" s="151"/>
      <c r="L216" s="16"/>
      <c r="M216" s="16"/>
      <c r="N216" s="16"/>
      <c r="O216" s="16"/>
      <c r="P216" s="16"/>
      <c r="Q216" s="16"/>
      <c r="R216" s="16"/>
      <c r="S216" s="16"/>
    </row>
    <row r="217" spans="1:19" ht="14.1" customHeight="1" x14ac:dyDescent="0.2">
      <c r="S217" s="4" t="str">
        <f>+$S$109</f>
        <v>Recap Schedules:  E-13a</v>
      </c>
    </row>
    <row r="218" spans="1:19" ht="14.1" customHeight="1" x14ac:dyDescent="0.2">
      <c r="H218" s="292" t="s">
        <v>768</v>
      </c>
      <c r="I218" s="292"/>
      <c r="J218" s="292"/>
      <c r="K218" s="292"/>
      <c r="L218" s="292"/>
    </row>
    <row r="219" spans="1:19" ht="14.1" customHeight="1" thickBot="1" x14ac:dyDescent="0.25">
      <c r="A219" s="16" t="s">
        <v>7</v>
      </c>
      <c r="B219" s="16"/>
      <c r="C219" s="16"/>
      <c r="D219" s="16"/>
      <c r="E219" s="16"/>
      <c r="F219" s="16"/>
      <c r="G219" s="16"/>
      <c r="H219" s="301" t="s">
        <v>380</v>
      </c>
      <c r="I219" s="301"/>
      <c r="J219" s="301"/>
      <c r="K219" s="301"/>
      <c r="L219" s="301"/>
      <c r="M219" s="16"/>
      <c r="N219" s="16"/>
      <c r="O219" s="16"/>
      <c r="P219" s="16"/>
      <c r="Q219" s="16"/>
      <c r="R219" s="16"/>
      <c r="S219" s="16" t="str">
        <f>"Page " &amp; INT(ROW()/$R$1 +1)  &amp; "  of " &amp; S$1</f>
        <v>Page 5  of 19</v>
      </c>
    </row>
    <row r="220" spans="1:19" ht="14.1" customHeight="1" x14ac:dyDescent="0.2">
      <c r="A220" s="4" t="s">
        <v>21</v>
      </c>
      <c r="E220" s="4" t="s">
        <v>761</v>
      </c>
      <c r="G220" s="4" t="s">
        <v>766</v>
      </c>
      <c r="K220" s="285"/>
      <c r="L220" s="56"/>
      <c r="N220" s="56"/>
      <c r="O220" s="56"/>
      <c r="P220" s="56" t="s">
        <v>663</v>
      </c>
      <c r="S220" s="22"/>
    </row>
    <row r="221" spans="1:19" ht="14.1" customHeight="1" x14ac:dyDescent="0.2">
      <c r="G221" s="4" t="s">
        <v>767</v>
      </c>
      <c r="K221" s="284"/>
      <c r="L221" s="22"/>
      <c r="O221" s="21"/>
      <c r="P221" s="21"/>
      <c r="Q221" s="22" t="s">
        <v>764</v>
      </c>
      <c r="S221" s="21"/>
    </row>
    <row r="222" spans="1:19" ht="14.1" customHeight="1" x14ac:dyDescent="0.2">
      <c r="A222" s="4" t="s">
        <v>29</v>
      </c>
      <c r="G222" s="4" t="s">
        <v>770</v>
      </c>
      <c r="K222" s="284"/>
      <c r="L222" s="22"/>
      <c r="M222" s="21"/>
      <c r="P222" s="21"/>
      <c r="Q222" s="22" t="s">
        <v>765</v>
      </c>
      <c r="S222" s="21"/>
    </row>
    <row r="223" spans="1:19" ht="14.1" customHeight="1" x14ac:dyDescent="0.2">
      <c r="G223" s="4" t="s">
        <v>769</v>
      </c>
      <c r="K223" s="284"/>
      <c r="L223" s="22"/>
      <c r="M223" s="21"/>
      <c r="P223" s="21"/>
      <c r="Q223" s="22"/>
      <c r="S223" s="21"/>
    </row>
    <row r="224" spans="1:19" ht="14.1" customHeight="1" x14ac:dyDescent="0.2">
      <c r="C224" s="21"/>
      <c r="H224" s="10"/>
      <c r="I224" s="10"/>
      <c r="J224" s="10"/>
      <c r="K224" s="284"/>
      <c r="Q224" s="4" t="s">
        <v>738</v>
      </c>
    </row>
    <row r="225" spans="1:22" ht="14.1" customHeight="1" thickBot="1" x14ac:dyDescent="0.25">
      <c r="A225" s="16"/>
      <c r="B225" s="16"/>
      <c r="C225" s="150"/>
      <c r="D225" s="101"/>
      <c r="E225" s="101"/>
      <c r="F225" s="101"/>
      <c r="G225" s="102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</row>
    <row r="226" spans="1:22" ht="14.1" customHeight="1" x14ac:dyDescent="0.2">
      <c r="E226" s="10"/>
      <c r="G226" s="10"/>
      <c r="H226" s="103"/>
      <c r="I226" s="10"/>
      <c r="K226" s="10"/>
      <c r="M226" s="103"/>
    </row>
    <row r="227" spans="1:22" ht="14.1" customHeight="1" x14ac:dyDescent="0.2">
      <c r="A227" s="9"/>
      <c r="B227" s="92"/>
      <c r="C227" s="92"/>
      <c r="D227" s="1"/>
      <c r="E227" s="39"/>
      <c r="F227" s="1"/>
      <c r="G227" s="1"/>
      <c r="H227" s="39"/>
      <c r="I227" s="1"/>
      <c r="J227" s="1"/>
      <c r="K227" s="3"/>
      <c r="L227" s="1"/>
      <c r="M227" s="39"/>
      <c r="N227" s="1"/>
      <c r="O227" s="1"/>
      <c r="P227" s="1"/>
      <c r="Q227" s="1"/>
      <c r="R227" s="1"/>
      <c r="S227" s="1"/>
    </row>
    <row r="228" spans="1:22" ht="14.1" customHeight="1" x14ac:dyDescent="0.2">
      <c r="A228" s="9"/>
      <c r="B228" s="92"/>
      <c r="C228" s="1"/>
      <c r="D228" s="1"/>
      <c r="E228" s="1"/>
      <c r="F228" s="39"/>
      <c r="G228" s="39"/>
      <c r="H228" s="40"/>
      <c r="I228" s="40" t="s">
        <v>14</v>
      </c>
      <c r="J228" s="3"/>
      <c r="K228" s="41" t="s">
        <v>604</v>
      </c>
      <c r="L228" s="39"/>
      <c r="M228" s="1"/>
      <c r="N228" s="39"/>
      <c r="O228" s="39"/>
      <c r="P228" s="39"/>
      <c r="Q228" s="39"/>
      <c r="R228" s="39"/>
      <c r="S228" s="1"/>
    </row>
    <row r="229" spans="1:22" ht="14.1" customHeight="1" x14ac:dyDescent="0.2">
      <c r="A229" s="9"/>
      <c r="B229" s="92"/>
      <c r="C229" s="1"/>
      <c r="D229" s="1"/>
      <c r="E229" s="1"/>
      <c r="F229" s="39"/>
      <c r="G229" s="39"/>
      <c r="H229" s="39"/>
      <c r="I229" s="39"/>
      <c r="J229" s="39"/>
      <c r="K229" s="3"/>
      <c r="L229" s="39"/>
      <c r="M229" s="39"/>
      <c r="N229" s="39"/>
      <c r="O229" s="39"/>
      <c r="P229" s="39"/>
      <c r="Q229" s="39"/>
      <c r="R229" s="39"/>
      <c r="S229" s="39"/>
    </row>
    <row r="230" spans="1:22" ht="14.1" customHeight="1" x14ac:dyDescent="0.2">
      <c r="A230" s="149" t="s">
        <v>26</v>
      </c>
      <c r="B230" s="176" t="s">
        <v>5</v>
      </c>
      <c r="C230" s="216"/>
      <c r="D230" s="213"/>
      <c r="E230" s="192"/>
      <c r="F230" s="192"/>
      <c r="G230" s="267" t="s">
        <v>8</v>
      </c>
      <c r="H230" s="192"/>
      <c r="I230" s="192"/>
      <c r="J230" s="216"/>
      <c r="K230" s="187"/>
      <c r="L230" s="192"/>
      <c r="M230" s="267"/>
      <c r="N230" s="267" t="s">
        <v>9</v>
      </c>
      <c r="O230" s="192"/>
      <c r="P230" s="192"/>
      <c r="Q230" s="216"/>
      <c r="R230" s="290" t="s">
        <v>750</v>
      </c>
      <c r="S230" s="290" t="s">
        <v>752</v>
      </c>
    </row>
    <row r="231" spans="1:22" ht="14.1" customHeight="1" thickBot="1" x14ac:dyDescent="0.25">
      <c r="A231" s="151" t="s">
        <v>28</v>
      </c>
      <c r="B231" s="175" t="s">
        <v>10</v>
      </c>
      <c r="C231" s="215"/>
      <c r="D231" s="44"/>
      <c r="E231" s="151" t="s">
        <v>11</v>
      </c>
      <c r="F231" s="194"/>
      <c r="G231" s="194" t="s">
        <v>12</v>
      </c>
      <c r="H231" s="194"/>
      <c r="I231" s="194" t="s">
        <v>13</v>
      </c>
      <c r="J231" s="194"/>
      <c r="K231" s="194"/>
      <c r="L231" s="194" t="s">
        <v>11</v>
      </c>
      <c r="M231" s="194"/>
      <c r="N231" s="194" t="s">
        <v>12</v>
      </c>
      <c r="O231" s="194"/>
      <c r="P231" s="194" t="s">
        <v>13</v>
      </c>
      <c r="Q231" s="215"/>
      <c r="R231" s="291" t="s">
        <v>751</v>
      </c>
      <c r="S231" s="291" t="s">
        <v>4</v>
      </c>
    </row>
    <row r="232" spans="1:22" ht="14.1" customHeight="1" x14ac:dyDescent="0.2">
      <c r="A232" s="4">
        <v>1</v>
      </c>
      <c r="B232" s="186" t="s">
        <v>393</v>
      </c>
      <c r="C232" s="186"/>
      <c r="F232" s="177"/>
      <c r="G232" s="177"/>
      <c r="H232" s="177"/>
      <c r="I232" s="177"/>
      <c r="J232" s="183"/>
      <c r="K232" s="173"/>
      <c r="L232" s="183"/>
      <c r="M232" s="177"/>
      <c r="N232" s="177"/>
      <c r="O232" s="177"/>
      <c r="P232" s="177"/>
      <c r="Q232" s="177"/>
      <c r="R232" s="177"/>
      <c r="S232" s="177"/>
    </row>
    <row r="233" spans="1:22" ht="14.1" customHeight="1" x14ac:dyDescent="0.2">
      <c r="A233" s="4">
        <v>2</v>
      </c>
      <c r="B233" s="186" t="s">
        <v>71</v>
      </c>
      <c r="C233" s="186"/>
      <c r="E233" s="177">
        <f>+'ECCR Billing Determinants'!C30+'ECCR Billing Determinants'!C10</f>
        <v>5149170.8874999993</v>
      </c>
      <c r="F233" s="177" t="s">
        <v>611</v>
      </c>
      <c r="G233" s="179">
        <f>+Rates!D33</f>
        <v>1.0727450387290098</v>
      </c>
      <c r="H233" s="177"/>
      <c r="I233" s="177">
        <f t="shared" ref="I233:I238" si="19">+G233*E233</f>
        <v>5523747.5231334763</v>
      </c>
      <c r="J233" s="183"/>
      <c r="K233" s="173"/>
      <c r="L233" s="177">
        <f>+E233</f>
        <v>5149170.8874999993</v>
      </c>
      <c r="M233" s="177" t="s">
        <v>611</v>
      </c>
      <c r="N233" s="179">
        <f t="shared" ref="N233:N238" si="20">+G233*(1+$V$5)</f>
        <v>1.0814789314704305</v>
      </c>
      <c r="O233" s="177"/>
      <c r="P233" s="177">
        <f t="shared" ref="P233:P238" si="21">+N233*L233</f>
        <v>5568719.8293721471</v>
      </c>
      <c r="Q233" s="177"/>
      <c r="R233" s="177">
        <f t="shared" ref="R233:R239" si="22">+P233-I233</f>
        <v>44972.306238670833</v>
      </c>
      <c r="S233" s="152">
        <f t="shared" ref="S233:S239" si="23">IF(R233=0,0,(P233-I233)/I233)</f>
        <v>8.141629582149916E-3</v>
      </c>
    </row>
    <row r="234" spans="1:22" ht="14.1" customHeight="1" x14ac:dyDescent="0.2">
      <c r="A234" s="4">
        <v>3</v>
      </c>
      <c r="B234" s="186" t="s">
        <v>70</v>
      </c>
      <c r="E234" s="177">
        <f>+'ECCR Billing Determinants'!C31</f>
        <v>17986.591666666667</v>
      </c>
      <c r="F234" s="177" t="s">
        <v>611</v>
      </c>
      <c r="G234" s="179">
        <f>+Rates!D34</f>
        <v>5.9275742948907526</v>
      </c>
      <c r="H234" s="177"/>
      <c r="I234" s="177">
        <f t="shared" si="19"/>
        <v>106616.85841602956</v>
      </c>
      <c r="K234" s="149"/>
      <c r="L234" s="177">
        <f t="shared" ref="L234:L238" si="24">+E234</f>
        <v>17986.591666666667</v>
      </c>
      <c r="M234" s="177" t="s">
        <v>611</v>
      </c>
      <c r="N234" s="179">
        <f t="shared" si="20"/>
        <v>5.9758344091204263</v>
      </c>
      <c r="O234" s="177"/>
      <c r="P234" s="177">
        <f>+N234*L234</f>
        <v>107484.89338446538</v>
      </c>
      <c r="Q234" s="177"/>
      <c r="R234" s="177">
        <f t="shared" si="22"/>
        <v>868.03496843582252</v>
      </c>
      <c r="S234" s="152">
        <f t="shared" si="23"/>
        <v>8.1416295821497946E-3</v>
      </c>
    </row>
    <row r="235" spans="1:22" ht="14.1" customHeight="1" x14ac:dyDescent="0.2">
      <c r="A235" s="4">
        <v>4</v>
      </c>
      <c r="B235" s="43" t="s">
        <v>199</v>
      </c>
      <c r="E235" s="177">
        <f>+'ECCR Billing Determinants'!C32</f>
        <v>0</v>
      </c>
      <c r="F235" s="177" t="s">
        <v>611</v>
      </c>
      <c r="G235" s="179">
        <f>+Rates!D35</f>
        <v>17.335869203546569</v>
      </c>
      <c r="I235" s="177">
        <f t="shared" si="19"/>
        <v>0</v>
      </c>
      <c r="L235" s="177">
        <f t="shared" si="24"/>
        <v>0</v>
      </c>
      <c r="M235" s="177" t="s">
        <v>611</v>
      </c>
      <c r="N235" s="179">
        <f t="shared" si="20"/>
        <v>17.477011429086446</v>
      </c>
      <c r="P235" s="177">
        <f t="shared" si="21"/>
        <v>0</v>
      </c>
      <c r="R235" s="177">
        <f t="shared" si="22"/>
        <v>0</v>
      </c>
      <c r="S235" s="152">
        <f t="shared" si="23"/>
        <v>0</v>
      </c>
    </row>
    <row r="236" spans="1:22" ht="14.1" customHeight="1" x14ac:dyDescent="0.2">
      <c r="A236" s="4">
        <v>5</v>
      </c>
      <c r="B236" s="4" t="s">
        <v>222</v>
      </c>
      <c r="E236" s="177">
        <f>+'ECCR Billing Determinants'!C52</f>
        <v>502184.64166666666</v>
      </c>
      <c r="F236" s="177" t="s">
        <v>611</v>
      </c>
      <c r="G236" s="179">
        <f>+Rates!D39</f>
        <v>1.0727450387290098</v>
      </c>
      <c r="I236" s="177">
        <f t="shared" si="19"/>
        <v>538716.08287382231</v>
      </c>
      <c r="L236" s="177">
        <f t="shared" si="24"/>
        <v>502184.64166666666</v>
      </c>
      <c r="M236" s="177" t="s">
        <v>611</v>
      </c>
      <c r="N236" s="179">
        <f t="shared" si="20"/>
        <v>1.0814789314704305</v>
      </c>
      <c r="P236" s="177">
        <f>+N236*L236</f>
        <v>543102.10967052775</v>
      </c>
      <c r="Q236" s="177"/>
      <c r="R236" s="177">
        <f t="shared" si="22"/>
        <v>4386.0267967054388</v>
      </c>
      <c r="S236" s="152">
        <f t="shared" si="23"/>
        <v>8.1416295821499177E-3</v>
      </c>
    </row>
    <row r="237" spans="1:22" ht="14.1" customHeight="1" x14ac:dyDescent="0.2">
      <c r="A237" s="4">
        <v>6</v>
      </c>
      <c r="B237" s="4" t="s">
        <v>223</v>
      </c>
      <c r="E237" s="177">
        <f>+'ECCR Billing Determinants'!C53</f>
        <v>14820.216666666665</v>
      </c>
      <c r="F237" s="177" t="s">
        <v>611</v>
      </c>
      <c r="G237" s="179">
        <f>+Rates!D40</f>
        <v>5.9275742948907526</v>
      </c>
      <c r="I237" s="177">
        <f t="shared" si="19"/>
        <v>87847.935358044837</v>
      </c>
      <c r="L237" s="177">
        <f t="shared" si="24"/>
        <v>14820.216666666665</v>
      </c>
      <c r="M237" s="177" t="s">
        <v>611</v>
      </c>
      <c r="N237" s="179">
        <f t="shared" si="20"/>
        <v>5.9758344091204263</v>
      </c>
      <c r="P237" s="177">
        <f t="shared" si="21"/>
        <v>88563.16070728669</v>
      </c>
      <c r="Q237" s="177"/>
      <c r="R237" s="177">
        <f t="shared" si="22"/>
        <v>715.22534924185311</v>
      </c>
      <c r="S237" s="152">
        <f t="shared" si="23"/>
        <v>8.1416295821499351E-3</v>
      </c>
    </row>
    <row r="238" spans="1:22" ht="14.1" customHeight="1" x14ac:dyDescent="0.35">
      <c r="A238" s="4">
        <v>7</v>
      </c>
      <c r="B238" s="43" t="s">
        <v>224</v>
      </c>
      <c r="E238" s="237">
        <f>+'ECCR Billing Determinants'!C54</f>
        <v>370.47499999999997</v>
      </c>
      <c r="F238" s="177" t="s">
        <v>611</v>
      </c>
      <c r="G238" s="179">
        <f>+Rates!D41</f>
        <v>17.335869203546569</v>
      </c>
      <c r="I238" s="181">
        <f t="shared" si="19"/>
        <v>6422.506143183914</v>
      </c>
      <c r="L238" s="237">
        <f t="shared" si="24"/>
        <v>370.47499999999997</v>
      </c>
      <c r="M238" s="177" t="s">
        <v>611</v>
      </c>
      <c r="N238" s="179">
        <f t="shared" si="20"/>
        <v>17.477011429086446</v>
      </c>
      <c r="P238" s="181">
        <f t="shared" si="21"/>
        <v>6474.7958091908004</v>
      </c>
      <c r="R238" s="177">
        <f t="shared" si="22"/>
        <v>52.289666006886364</v>
      </c>
      <c r="S238" s="152">
        <f t="shared" si="23"/>
        <v>8.1416295821500166E-3</v>
      </c>
    </row>
    <row r="239" spans="1:22" ht="14.1" customHeight="1" x14ac:dyDescent="0.2">
      <c r="A239" s="4">
        <v>8</v>
      </c>
      <c r="B239" s="219" t="s">
        <v>27</v>
      </c>
      <c r="E239" s="183">
        <f>SUM(E233:E238)</f>
        <v>5684532.8124999991</v>
      </c>
      <c r="F239" s="177" t="s">
        <v>612</v>
      </c>
      <c r="G239" s="179"/>
      <c r="H239" s="177"/>
      <c r="I239" s="185">
        <f>SUM(I233:I238)</f>
        <v>6263350.9059245568</v>
      </c>
      <c r="J239" s="177"/>
      <c r="K239" s="173"/>
      <c r="L239" s="183">
        <f>SUM(L233:L238)</f>
        <v>5684532.8124999991</v>
      </c>
      <c r="M239" s="177" t="s">
        <v>612</v>
      </c>
      <c r="N239" s="179"/>
      <c r="O239" s="177"/>
      <c r="P239" s="185">
        <f>SUM(P233:P238)</f>
        <v>6314344.7889436176</v>
      </c>
      <c r="Q239" s="177"/>
      <c r="R239" s="177">
        <f t="shared" si="22"/>
        <v>50993.883019060828</v>
      </c>
      <c r="S239" s="152">
        <f t="shared" si="23"/>
        <v>8.1416295821499125E-3</v>
      </c>
      <c r="V239" s="78"/>
    </row>
    <row r="240" spans="1:22" ht="14.1" customHeight="1" x14ac:dyDescent="0.2">
      <c r="A240" s="4">
        <v>9</v>
      </c>
      <c r="F240" s="177"/>
      <c r="G240" s="179"/>
      <c r="H240" s="177"/>
      <c r="I240" s="177"/>
      <c r="J240" s="183"/>
      <c r="K240" s="173"/>
      <c r="L240" s="183"/>
      <c r="M240" s="177"/>
      <c r="N240" s="179"/>
      <c r="O240" s="177"/>
      <c r="P240" s="177"/>
      <c r="Q240" s="177"/>
      <c r="R240" s="177"/>
      <c r="S240" s="180"/>
    </row>
    <row r="241" spans="1:22" ht="14.1" customHeight="1" x14ac:dyDescent="0.2">
      <c r="A241" s="4">
        <v>10</v>
      </c>
      <c r="B241" s="186" t="s">
        <v>45</v>
      </c>
      <c r="C241" s="186"/>
      <c r="F241" s="177"/>
      <c r="G241" s="177"/>
      <c r="H241" s="177"/>
      <c r="I241" s="177"/>
      <c r="J241" s="177"/>
      <c r="K241" s="173"/>
      <c r="L241" s="177"/>
      <c r="M241" s="177"/>
      <c r="N241" s="177"/>
      <c r="O241" s="177"/>
      <c r="P241" s="177"/>
      <c r="Q241" s="177"/>
      <c r="R241" s="177"/>
      <c r="S241" s="177"/>
    </row>
    <row r="242" spans="1:22" ht="14.1" customHeight="1" x14ac:dyDescent="0.2">
      <c r="A242" s="4">
        <v>11</v>
      </c>
      <c r="B242" s="186" t="s">
        <v>71</v>
      </c>
      <c r="D242" s="9"/>
      <c r="E242" s="183">
        <f>+ROUND('ECCR Billing Determinants'!B34/1000,0)+ROUND('ECCR Billing Determinants'!B11/1000,0)</f>
        <v>4468679</v>
      </c>
      <c r="F242" s="177" t="s">
        <v>379</v>
      </c>
      <c r="G242" s="179">
        <f>+Rates!D46</f>
        <v>7.3</v>
      </c>
      <c r="H242" s="177"/>
      <c r="I242" s="177">
        <f>+G242*E242</f>
        <v>32621356.699999999</v>
      </c>
      <c r="J242" s="183"/>
      <c r="K242" s="173"/>
      <c r="L242" s="183">
        <f>+E242</f>
        <v>4468679</v>
      </c>
      <c r="M242" s="177" t="s">
        <v>379</v>
      </c>
      <c r="N242" s="179">
        <f t="shared" ref="N242:N250" si="25">+G242*(1+$V$5)</f>
        <v>7.3594338959496941</v>
      </c>
      <c r="O242" s="177"/>
      <c r="P242" s="177">
        <f>+N242*L242</f>
        <v>32886947.702718582</v>
      </c>
      <c r="Q242" s="177"/>
      <c r="R242" s="177">
        <f t="shared" ref="R242:R251" si="26">+P242-I242</f>
        <v>265591.00271858275</v>
      </c>
      <c r="S242" s="152">
        <f t="shared" ref="S242:S251" si="27">IF(R242=0,0,(P242-I242)/I242)</f>
        <v>8.1416295821498674E-3</v>
      </c>
      <c r="T242" s="9"/>
    </row>
    <row r="243" spans="1:22" ht="14.1" customHeight="1" x14ac:dyDescent="0.2">
      <c r="A243" s="4">
        <v>12</v>
      </c>
      <c r="B243" s="186" t="s">
        <v>70</v>
      </c>
      <c r="E243" s="183">
        <f>+ROUND('ECCR Billing Determinants'!B35/1000,0)</f>
        <v>73847</v>
      </c>
      <c r="F243" s="177" t="s">
        <v>379</v>
      </c>
      <c r="G243" s="179">
        <f>+Rates!D47</f>
        <v>7.3</v>
      </c>
      <c r="H243" s="177"/>
      <c r="I243" s="177">
        <f>+G243*E243</f>
        <v>539083.1</v>
      </c>
      <c r="J243" s="183"/>
      <c r="K243" s="173"/>
      <c r="L243" s="183">
        <f t="shared" ref="L243:L250" si="28">+E243</f>
        <v>73847</v>
      </c>
      <c r="M243" s="177" t="s">
        <v>379</v>
      </c>
      <c r="N243" s="179">
        <f t="shared" si="25"/>
        <v>7.3594338959496941</v>
      </c>
      <c r="O243" s="177"/>
      <c r="P243" s="177">
        <f>+N243*L243</f>
        <v>543472.11491419701</v>
      </c>
      <c r="Q243" s="177"/>
      <c r="R243" s="177">
        <f t="shared" si="26"/>
        <v>4389.0149141970323</v>
      </c>
      <c r="S243" s="152">
        <f t="shared" si="27"/>
        <v>8.1416295821498258E-3</v>
      </c>
      <c r="T243" s="9"/>
    </row>
    <row r="244" spans="1:22" ht="14.1" customHeight="1" x14ac:dyDescent="0.2">
      <c r="A244" s="4">
        <v>13</v>
      </c>
      <c r="B244" s="43" t="s">
        <v>199</v>
      </c>
      <c r="E244" s="183">
        <f>+ROUND('ECCR Billing Determinants'!B36/1000,0)</f>
        <v>0</v>
      </c>
      <c r="F244" s="177" t="s">
        <v>379</v>
      </c>
      <c r="G244" s="179">
        <f>+Rates!D48</f>
        <v>7.3</v>
      </c>
      <c r="I244" s="177">
        <f>+G244*E244</f>
        <v>0</v>
      </c>
      <c r="L244" s="183">
        <f t="shared" si="28"/>
        <v>0</v>
      </c>
      <c r="M244" s="177" t="s">
        <v>379</v>
      </c>
      <c r="N244" s="179">
        <f t="shared" si="25"/>
        <v>7.3594338959496941</v>
      </c>
      <c r="P244" s="177">
        <f>+N244*L244</f>
        <v>0</v>
      </c>
      <c r="Q244" s="177"/>
      <c r="R244" s="177">
        <f t="shared" si="26"/>
        <v>0</v>
      </c>
      <c r="S244" s="152">
        <f t="shared" si="27"/>
        <v>0</v>
      </c>
      <c r="T244" s="9"/>
    </row>
    <row r="245" spans="1:22" ht="14.1" customHeight="1" x14ac:dyDescent="0.2">
      <c r="A245" s="4">
        <v>14</v>
      </c>
      <c r="B245" s="186" t="s">
        <v>76</v>
      </c>
      <c r="E245" s="183">
        <f>+ROUND('ECCR Billing Determinants'!B63/1000,0)</f>
        <v>486142</v>
      </c>
      <c r="F245" s="177" t="s">
        <v>379</v>
      </c>
      <c r="G245" s="179">
        <f>+Rates!D52</f>
        <v>11.83</v>
      </c>
      <c r="I245" s="177">
        <f t="shared" ref="I245:I250" si="29">+G245*E245</f>
        <v>5751059.8600000003</v>
      </c>
      <c r="L245" s="183">
        <f t="shared" si="28"/>
        <v>486142</v>
      </c>
      <c r="M245" s="177" t="s">
        <v>379</v>
      </c>
      <c r="N245" s="179">
        <f t="shared" si="25"/>
        <v>11.926315477956834</v>
      </c>
      <c r="P245" s="177">
        <f t="shared" ref="P245:P250" si="30">+N245*L245</f>
        <v>5797882.8590848912</v>
      </c>
      <c r="Q245" s="177"/>
      <c r="R245" s="177">
        <f t="shared" si="26"/>
        <v>46822.99908489082</v>
      </c>
      <c r="S245" s="152">
        <f t="shared" si="27"/>
        <v>8.1416295821498917E-3</v>
      </c>
      <c r="T245" s="9"/>
    </row>
    <row r="246" spans="1:22" ht="14.1" customHeight="1" x14ac:dyDescent="0.2">
      <c r="A246" s="4">
        <v>15</v>
      </c>
      <c r="B246" s="186" t="s">
        <v>77</v>
      </c>
      <c r="E246" s="183">
        <f>+ROUND('ECCR Billing Determinants'!B64/1000,0)</f>
        <v>78565</v>
      </c>
      <c r="F246" s="177" t="s">
        <v>379</v>
      </c>
      <c r="G246" s="179">
        <f>+Rates!D53</f>
        <v>11.83</v>
      </c>
      <c r="I246" s="177">
        <f t="shared" si="29"/>
        <v>929423.95</v>
      </c>
      <c r="L246" s="183">
        <f t="shared" si="28"/>
        <v>78565</v>
      </c>
      <c r="M246" s="177" t="s">
        <v>379</v>
      </c>
      <c r="N246" s="179">
        <f t="shared" si="25"/>
        <v>11.926315477956834</v>
      </c>
      <c r="P246" s="177">
        <f t="shared" si="30"/>
        <v>936990.9755256786</v>
      </c>
      <c r="Q246" s="177"/>
      <c r="R246" s="177">
        <f t="shared" si="26"/>
        <v>7567.0255256786477</v>
      </c>
      <c r="S246" s="152">
        <f t="shared" si="27"/>
        <v>8.141629582149942E-3</v>
      </c>
      <c r="T246" s="9"/>
    </row>
    <row r="247" spans="1:22" ht="14.1" customHeight="1" x14ac:dyDescent="0.2">
      <c r="A247" s="4">
        <v>16</v>
      </c>
      <c r="B247" s="186" t="s">
        <v>200</v>
      </c>
      <c r="E247" s="183">
        <f>+ROUND('ECCR Billing Determinants'!B65/1000,0)</f>
        <v>217</v>
      </c>
      <c r="F247" s="177" t="s">
        <v>379</v>
      </c>
      <c r="G247" s="179">
        <f>+Rates!D54</f>
        <v>11.83</v>
      </c>
      <c r="I247" s="177">
        <f t="shared" si="29"/>
        <v>2567.11</v>
      </c>
      <c r="L247" s="183">
        <f t="shared" si="28"/>
        <v>217</v>
      </c>
      <c r="M247" s="177" t="s">
        <v>379</v>
      </c>
      <c r="N247" s="179">
        <f t="shared" si="25"/>
        <v>11.926315477956834</v>
      </c>
      <c r="P247" s="177">
        <f t="shared" si="30"/>
        <v>2588.0104587166329</v>
      </c>
      <c r="R247" s="177">
        <f t="shared" si="26"/>
        <v>20.900458716632784</v>
      </c>
      <c r="S247" s="152">
        <f t="shared" si="27"/>
        <v>8.1416295821498813E-3</v>
      </c>
    </row>
    <row r="248" spans="1:22" ht="14.1" customHeight="1" x14ac:dyDescent="0.2">
      <c r="A248" s="4">
        <v>17</v>
      </c>
      <c r="B248" s="186" t="s">
        <v>78</v>
      </c>
      <c r="D248" s="9"/>
      <c r="E248" s="183">
        <f>+ROUND('ECCR Billing Determinants'!B67/1000,0)</f>
        <v>1352497</v>
      </c>
      <c r="F248" s="177" t="s">
        <v>379</v>
      </c>
      <c r="G248" s="179">
        <f>+Rates!D55</f>
        <v>5.6646000000000001</v>
      </c>
      <c r="I248" s="177">
        <f t="shared" si="29"/>
        <v>7661354.5061999997</v>
      </c>
      <c r="L248" s="183">
        <f t="shared" si="28"/>
        <v>1352497</v>
      </c>
      <c r="M248" s="177" t="s">
        <v>379</v>
      </c>
      <c r="N248" s="179">
        <f t="shared" si="25"/>
        <v>5.7107190749310464</v>
      </c>
      <c r="P248" s="177">
        <f t="shared" si="30"/>
        <v>7723730.4166870154</v>
      </c>
      <c r="Q248" s="177"/>
      <c r="R248" s="177">
        <f t="shared" si="26"/>
        <v>62375.910487015732</v>
      </c>
      <c r="S248" s="152">
        <f t="shared" si="27"/>
        <v>8.141629582149949E-3</v>
      </c>
    </row>
    <row r="249" spans="1:22" ht="14.1" customHeight="1" x14ac:dyDescent="0.2">
      <c r="A249" s="4">
        <v>18</v>
      </c>
      <c r="B249" s="186" t="s">
        <v>79</v>
      </c>
      <c r="C249" s="188"/>
      <c r="D249" s="186"/>
      <c r="E249" s="183">
        <f>+ROUND('ECCR Billing Determinants'!B68/1000,0)</f>
        <v>215072</v>
      </c>
      <c r="F249" s="177" t="s">
        <v>379</v>
      </c>
      <c r="G249" s="179">
        <f>+Rates!D56</f>
        <v>5.6646000000000001</v>
      </c>
      <c r="H249" s="177"/>
      <c r="I249" s="177">
        <f t="shared" si="29"/>
        <v>1218296.8511999999</v>
      </c>
      <c r="J249" s="177"/>
      <c r="K249" s="173"/>
      <c r="L249" s="183">
        <f t="shared" si="28"/>
        <v>215072</v>
      </c>
      <c r="M249" s="177" t="s">
        <v>379</v>
      </c>
      <c r="N249" s="179">
        <f t="shared" si="25"/>
        <v>5.7107190749310464</v>
      </c>
      <c r="O249" s="177"/>
      <c r="P249" s="177">
        <f t="shared" si="30"/>
        <v>1228215.7728835701</v>
      </c>
      <c r="R249" s="177">
        <f t="shared" si="26"/>
        <v>9918.9216835701372</v>
      </c>
      <c r="S249" s="152">
        <f t="shared" si="27"/>
        <v>8.1416295821500166E-3</v>
      </c>
    </row>
    <row r="250" spans="1:22" ht="14.1" customHeight="1" x14ac:dyDescent="0.2">
      <c r="A250" s="4">
        <v>19</v>
      </c>
      <c r="B250" s="186" t="s">
        <v>201</v>
      </c>
      <c r="E250" s="177">
        <f>+ROUND('ECCR Billing Determinants'!B69/1000,0)</f>
        <v>573</v>
      </c>
      <c r="F250" s="177" t="s">
        <v>379</v>
      </c>
      <c r="G250" s="179">
        <f>+Rates!D57</f>
        <v>5.6646000000000001</v>
      </c>
      <c r="I250" s="177">
        <f t="shared" si="29"/>
        <v>3245.8157999999999</v>
      </c>
      <c r="L250" s="177">
        <f t="shared" si="28"/>
        <v>573</v>
      </c>
      <c r="M250" s="177" t="s">
        <v>379</v>
      </c>
      <c r="N250" s="179">
        <f t="shared" si="25"/>
        <v>5.7107190749310464</v>
      </c>
      <c r="P250" s="177">
        <f t="shared" si="30"/>
        <v>3272.2420299354894</v>
      </c>
      <c r="R250" s="177">
        <f t="shared" si="26"/>
        <v>26.426229935489573</v>
      </c>
      <c r="S250" s="152">
        <f t="shared" si="27"/>
        <v>8.1416295821499091E-3</v>
      </c>
    </row>
    <row r="251" spans="1:22" ht="14.1" customHeight="1" x14ac:dyDescent="0.2">
      <c r="A251" s="4">
        <v>20</v>
      </c>
      <c r="B251" s="219" t="s">
        <v>27</v>
      </c>
      <c r="C251" s="188"/>
      <c r="D251" s="9"/>
      <c r="E251" s="177">
        <f>SUM(E242:E250)</f>
        <v>6675592</v>
      </c>
      <c r="F251" s="177" t="s">
        <v>379</v>
      </c>
      <c r="G251" s="177"/>
      <c r="H251" s="177"/>
      <c r="I251" s="185">
        <f>SUM(I242:I250)</f>
        <v>48726387.89320001</v>
      </c>
      <c r="J251" s="177"/>
      <c r="K251" s="173"/>
      <c r="L251" s="177">
        <f>SUM(L242:L250)</f>
        <v>6675592</v>
      </c>
      <c r="M251" s="177" t="s">
        <v>379</v>
      </c>
      <c r="N251" s="177"/>
      <c r="O251" s="177"/>
      <c r="P251" s="185">
        <f>SUM(P242:P250)</f>
        <v>49123100.094302587</v>
      </c>
      <c r="R251" s="177">
        <f t="shared" si="26"/>
        <v>396712.20110257715</v>
      </c>
      <c r="S251" s="152">
        <f t="shared" si="27"/>
        <v>8.1416295821496783E-3</v>
      </c>
    </row>
    <row r="252" spans="1:22" ht="14.1" customHeight="1" x14ac:dyDescent="0.2">
      <c r="A252" s="4">
        <v>21</v>
      </c>
      <c r="V252" s="78"/>
    </row>
    <row r="253" spans="1:22" ht="14.1" customHeight="1" x14ac:dyDescent="0.2">
      <c r="A253" s="4">
        <v>22</v>
      </c>
      <c r="I253" s="183"/>
      <c r="P253" s="183"/>
      <c r="S253" s="9"/>
    </row>
    <row r="254" spans="1:22" ht="14.1" customHeight="1" x14ac:dyDescent="0.2">
      <c r="A254" s="4">
        <v>23</v>
      </c>
      <c r="B254" s="72" t="s">
        <v>42</v>
      </c>
      <c r="C254" s="188"/>
      <c r="D254" s="9"/>
      <c r="E254" s="9"/>
      <c r="F254" s="177"/>
      <c r="G254" s="177"/>
      <c r="H254" s="177"/>
      <c r="I254" s="201"/>
      <c r="J254" s="177"/>
      <c r="K254" s="173"/>
      <c r="L254" s="177"/>
      <c r="M254" s="177"/>
      <c r="N254" s="177"/>
      <c r="O254" s="177"/>
      <c r="P254" s="201"/>
      <c r="Q254" s="177"/>
      <c r="R254" s="177"/>
      <c r="S254" s="240"/>
    </row>
    <row r="255" spans="1:22" ht="14.1" customHeight="1" x14ac:dyDescent="0.2">
      <c r="A255" s="4">
        <v>24</v>
      </c>
      <c r="B255" s="186" t="s">
        <v>71</v>
      </c>
      <c r="D255" s="9"/>
      <c r="E255" s="177">
        <f>+ROUND('ECCR Billing Determinants'!B38,0)+ROUND('ECCR Billing Determinants'!B12,0)</f>
        <v>11657227</v>
      </c>
      <c r="F255" s="177" t="s">
        <v>44</v>
      </c>
      <c r="G255" s="179">
        <f>+Rates!D59</f>
        <v>13.75</v>
      </c>
      <c r="H255" s="177"/>
      <c r="I255" s="177">
        <f>+G255*E255</f>
        <v>160286871.25</v>
      </c>
      <c r="J255" s="177"/>
      <c r="K255" s="173"/>
      <c r="L255" s="177">
        <f>+E255</f>
        <v>11657227</v>
      </c>
      <c r="M255" s="177" t="s">
        <v>44</v>
      </c>
      <c r="N255" s="179">
        <f t="shared" ref="N255:N263" si="31">+G255*(1+$V$5)</f>
        <v>13.861947406754561</v>
      </c>
      <c r="O255" s="177"/>
      <c r="P255" s="177">
        <f>+N255*L255</f>
        <v>161591867.58259925</v>
      </c>
      <c r="Q255" s="47"/>
      <c r="R255" s="177">
        <f t="shared" ref="R255:R264" si="32">+P255-I255</f>
        <v>1304996.3325992525</v>
      </c>
      <c r="S255" s="152">
        <f t="shared" ref="S255:S264" si="33">IF(R255=0,0,(P255-I255)/I255)</f>
        <v>8.1416295821499004E-3</v>
      </c>
    </row>
    <row r="256" spans="1:22" ht="14.1" customHeight="1" x14ac:dyDescent="0.2">
      <c r="A256" s="4">
        <v>25</v>
      </c>
      <c r="B256" s="186" t="s">
        <v>70</v>
      </c>
      <c r="C256" s="188"/>
      <c r="D256" s="186"/>
      <c r="E256" s="177">
        <f>+ROUND('ECCR Billing Determinants'!B39,0)</f>
        <v>206472</v>
      </c>
      <c r="F256" s="177" t="s">
        <v>44</v>
      </c>
      <c r="G256" s="179">
        <f>+Rates!D60</f>
        <v>13.75</v>
      </c>
      <c r="H256" s="177"/>
      <c r="I256" s="177">
        <f>+G256*E256</f>
        <v>2838990</v>
      </c>
      <c r="J256" s="177"/>
      <c r="K256" s="173"/>
      <c r="L256" s="177">
        <f t="shared" ref="L256:L263" si="34">+E256</f>
        <v>206472</v>
      </c>
      <c r="M256" s="177" t="s">
        <v>44</v>
      </c>
      <c r="N256" s="179">
        <f t="shared" si="31"/>
        <v>13.861947406754561</v>
      </c>
      <c r="O256" s="177"/>
      <c r="P256" s="177">
        <f>+N256*L256</f>
        <v>2862104.0049674278</v>
      </c>
      <c r="R256" s="177">
        <f t="shared" si="32"/>
        <v>23114.004967427813</v>
      </c>
      <c r="S256" s="152">
        <f t="shared" si="33"/>
        <v>8.1416295821499247E-3</v>
      </c>
    </row>
    <row r="257" spans="1:22" ht="14.1" customHeight="1" x14ac:dyDescent="0.2">
      <c r="A257" s="4">
        <v>26</v>
      </c>
      <c r="B257" s="43" t="s">
        <v>199</v>
      </c>
      <c r="E257" s="177">
        <f>+ROUND('ECCR Billing Determinants'!B40,0)</f>
        <v>0</v>
      </c>
      <c r="F257" s="177" t="s">
        <v>44</v>
      </c>
      <c r="G257" s="179">
        <f>+Rates!D61</f>
        <v>13.75</v>
      </c>
      <c r="I257" s="177">
        <f>+G257*E257</f>
        <v>0</v>
      </c>
      <c r="L257" s="177">
        <f t="shared" si="34"/>
        <v>0</v>
      </c>
      <c r="M257" s="177" t="s">
        <v>44</v>
      </c>
      <c r="N257" s="179">
        <f t="shared" si="31"/>
        <v>13.861947406754561</v>
      </c>
      <c r="P257" s="177">
        <f>+N257*L257</f>
        <v>0</v>
      </c>
      <c r="R257" s="177">
        <f t="shared" si="32"/>
        <v>0</v>
      </c>
      <c r="S257" s="152">
        <f t="shared" si="33"/>
        <v>0</v>
      </c>
    </row>
    <row r="258" spans="1:22" ht="14.1" customHeight="1" x14ac:dyDescent="0.2">
      <c r="A258" s="4">
        <v>27</v>
      </c>
      <c r="B258" s="186" t="s">
        <v>80</v>
      </c>
      <c r="E258" s="177">
        <f>+ROUND('ECCR Billing Determinants'!B71,0)</f>
        <v>3438269</v>
      </c>
      <c r="F258" s="177" t="s">
        <v>44</v>
      </c>
      <c r="G258" s="179">
        <f>+Rates!D65</f>
        <v>4.4000000000000004</v>
      </c>
      <c r="H258" s="177"/>
      <c r="I258" s="177">
        <f t="shared" ref="I258:I263" si="35">+G258*E258</f>
        <v>15128383.600000001</v>
      </c>
      <c r="J258" s="177"/>
      <c r="K258" s="173"/>
      <c r="L258" s="177">
        <f t="shared" si="34"/>
        <v>3438269</v>
      </c>
      <c r="M258" s="177" t="s">
        <v>44</v>
      </c>
      <c r="N258" s="179">
        <f t="shared" si="31"/>
        <v>4.4358231701614601</v>
      </c>
      <c r="O258" s="177"/>
      <c r="P258" s="177">
        <f t="shared" ref="P258:P263" si="36">+N258*L258</f>
        <v>15251553.295447873</v>
      </c>
      <c r="R258" s="177">
        <f t="shared" si="32"/>
        <v>123169.69544787146</v>
      </c>
      <c r="S258" s="152">
        <f t="shared" si="33"/>
        <v>8.1416295821499039E-3</v>
      </c>
    </row>
    <row r="259" spans="1:22" ht="14.1" customHeight="1" x14ac:dyDescent="0.2">
      <c r="A259" s="4">
        <v>28</v>
      </c>
      <c r="B259" s="186" t="s">
        <v>81</v>
      </c>
      <c r="E259" s="177">
        <f>+ROUND('ECCR Billing Determinants'!B72,0)</f>
        <v>572001</v>
      </c>
      <c r="F259" s="177" t="s">
        <v>44</v>
      </c>
      <c r="G259" s="179">
        <f>+Rates!D66</f>
        <v>4.4000000000000004</v>
      </c>
      <c r="H259" s="177"/>
      <c r="I259" s="177">
        <f t="shared" si="35"/>
        <v>2516804.4000000004</v>
      </c>
      <c r="J259" s="177"/>
      <c r="K259" s="173"/>
      <c r="L259" s="177">
        <f t="shared" si="34"/>
        <v>572001</v>
      </c>
      <c r="M259" s="177" t="s">
        <v>44</v>
      </c>
      <c r="N259" s="179">
        <f t="shared" si="31"/>
        <v>4.4358231701614601</v>
      </c>
      <c r="O259" s="177"/>
      <c r="P259" s="177">
        <f t="shared" si="36"/>
        <v>2537295.2891555252</v>
      </c>
      <c r="R259" s="177">
        <f t="shared" si="32"/>
        <v>20490.889155524783</v>
      </c>
      <c r="S259" s="152">
        <f t="shared" si="33"/>
        <v>8.1416295821498015E-3</v>
      </c>
    </row>
    <row r="260" spans="1:22" ht="14.1" customHeight="1" x14ac:dyDescent="0.2">
      <c r="A260" s="4">
        <v>29</v>
      </c>
      <c r="B260" s="186" t="s">
        <v>202</v>
      </c>
      <c r="E260" s="177">
        <f>+ROUND('ECCR Billing Determinants'!B73,0)</f>
        <v>2519</v>
      </c>
      <c r="F260" s="177" t="s">
        <v>44</v>
      </c>
      <c r="G260" s="179">
        <f>+Rates!D67</f>
        <v>4.4000000000000004</v>
      </c>
      <c r="I260" s="177">
        <f t="shared" si="35"/>
        <v>11083.6</v>
      </c>
      <c r="L260" s="177">
        <f t="shared" si="34"/>
        <v>2519</v>
      </c>
      <c r="M260" s="177" t="s">
        <v>44</v>
      </c>
      <c r="N260" s="179">
        <f t="shared" si="31"/>
        <v>4.4358231701614601</v>
      </c>
      <c r="P260" s="177">
        <f t="shared" si="36"/>
        <v>11173.838565636717</v>
      </c>
      <c r="R260" s="177">
        <f t="shared" si="32"/>
        <v>90.238565636716885</v>
      </c>
      <c r="S260" s="152">
        <f t="shared" si="33"/>
        <v>8.1416295821499229E-3</v>
      </c>
    </row>
    <row r="261" spans="1:22" ht="14.1" customHeight="1" x14ac:dyDescent="0.2">
      <c r="A261" s="4">
        <v>30</v>
      </c>
      <c r="B261" s="186" t="s">
        <v>82</v>
      </c>
      <c r="D261" s="9"/>
      <c r="E261" s="177">
        <f>+ROUND('ECCR Billing Determinants'!B75,0)</f>
        <v>3315278</v>
      </c>
      <c r="F261" s="177" t="s">
        <v>48</v>
      </c>
      <c r="G261" s="179">
        <f>+Rates!D68</f>
        <v>8.99</v>
      </c>
      <c r="H261" s="177"/>
      <c r="I261" s="177">
        <f t="shared" si="35"/>
        <v>29804349.220000003</v>
      </c>
      <c r="J261" s="177"/>
      <c r="K261" s="173"/>
      <c r="L261" s="177">
        <f t="shared" si="34"/>
        <v>3315278</v>
      </c>
      <c r="M261" s="177" t="s">
        <v>48</v>
      </c>
      <c r="N261" s="179">
        <f t="shared" si="31"/>
        <v>9.0631932499435273</v>
      </c>
      <c r="O261" s="177"/>
      <c r="P261" s="177">
        <f t="shared" si="36"/>
        <v>30047005.191286277</v>
      </c>
      <c r="R261" s="177">
        <f t="shared" si="32"/>
        <v>242655.97128627449</v>
      </c>
      <c r="S261" s="152">
        <f t="shared" si="33"/>
        <v>8.141629582149772E-3</v>
      </c>
    </row>
    <row r="262" spans="1:22" ht="14.1" customHeight="1" x14ac:dyDescent="0.2">
      <c r="A262" s="4">
        <v>31</v>
      </c>
      <c r="B262" s="186" t="s">
        <v>83</v>
      </c>
      <c r="C262" s="188"/>
      <c r="D262" s="186"/>
      <c r="E262" s="177">
        <f>+ROUND('ECCR Billing Determinants'!B76,0)</f>
        <v>558451</v>
      </c>
      <c r="F262" s="177" t="s">
        <v>48</v>
      </c>
      <c r="G262" s="179">
        <f>+Rates!D69</f>
        <v>8.99</v>
      </c>
      <c r="H262" s="177"/>
      <c r="I262" s="177">
        <f t="shared" si="35"/>
        <v>5020474.49</v>
      </c>
      <c r="J262" s="177"/>
      <c r="K262" s="173"/>
      <c r="L262" s="177">
        <f t="shared" si="34"/>
        <v>558451</v>
      </c>
      <c r="M262" s="177" t="s">
        <v>48</v>
      </c>
      <c r="N262" s="179">
        <f t="shared" si="31"/>
        <v>9.0631932499435273</v>
      </c>
      <c r="O262" s="177"/>
      <c r="P262" s="177">
        <f t="shared" si="36"/>
        <v>5061349.333624213</v>
      </c>
      <c r="R262" s="177">
        <f t="shared" si="32"/>
        <v>40874.843624212779</v>
      </c>
      <c r="S262" s="152">
        <f t="shared" si="33"/>
        <v>8.1416295821498692E-3</v>
      </c>
    </row>
    <row r="263" spans="1:22" ht="14.1" customHeight="1" x14ac:dyDescent="0.2">
      <c r="A263" s="4">
        <v>32</v>
      </c>
      <c r="B263" s="186" t="s">
        <v>203</v>
      </c>
      <c r="E263" s="181">
        <f>+ROUND('ECCR Billing Determinants'!B77,0)</f>
        <v>2457</v>
      </c>
      <c r="F263" s="177" t="s">
        <v>48</v>
      </c>
      <c r="G263" s="179">
        <f>+Rates!D70</f>
        <v>8.99</v>
      </c>
      <c r="I263" s="177">
        <f t="shared" si="35"/>
        <v>22088.43</v>
      </c>
      <c r="L263" s="181">
        <f t="shared" si="34"/>
        <v>2457</v>
      </c>
      <c r="M263" s="177" t="s">
        <v>48</v>
      </c>
      <c r="N263" s="179">
        <f t="shared" si="31"/>
        <v>9.0631932499435273</v>
      </c>
      <c r="P263" s="177">
        <f t="shared" si="36"/>
        <v>22268.265815111248</v>
      </c>
      <c r="R263" s="177">
        <f t="shared" si="32"/>
        <v>179.83581511124794</v>
      </c>
      <c r="S263" s="152">
        <f t="shared" si="33"/>
        <v>8.1416295821499281E-3</v>
      </c>
    </row>
    <row r="264" spans="1:22" ht="14.1" customHeight="1" x14ac:dyDescent="0.2">
      <c r="A264" s="4">
        <v>33</v>
      </c>
      <c r="B264" s="216" t="s">
        <v>221</v>
      </c>
      <c r="C264" s="188"/>
      <c r="D264" s="9"/>
      <c r="E264" s="177">
        <f>SUM(E255:E260)</f>
        <v>15876488</v>
      </c>
      <c r="F264" s="177" t="s">
        <v>44</v>
      </c>
      <c r="G264" s="179"/>
      <c r="H264" s="177"/>
      <c r="I264" s="185">
        <f>SUM(I255:I263)</f>
        <v>215629044.99000001</v>
      </c>
      <c r="J264" s="177"/>
      <c r="K264" s="173"/>
      <c r="L264" s="177">
        <f>SUM(L255:L260)</f>
        <v>15876488</v>
      </c>
      <c r="M264" s="177" t="s">
        <v>44</v>
      </c>
      <c r="N264" s="191"/>
      <c r="O264" s="177"/>
      <c r="P264" s="185">
        <f>SUM(P255:P263)</f>
        <v>217384616.80146131</v>
      </c>
      <c r="Q264" s="177"/>
      <c r="R264" s="177">
        <f t="shared" si="32"/>
        <v>1755571.8114612997</v>
      </c>
      <c r="S264" s="152">
        <f t="shared" si="33"/>
        <v>8.1416295821498258E-3</v>
      </c>
      <c r="V264" s="78"/>
    </row>
    <row r="265" spans="1:22" ht="14.1" customHeight="1" x14ac:dyDescent="0.2">
      <c r="A265" s="4">
        <v>34</v>
      </c>
      <c r="E265" s="5"/>
    </row>
    <row r="266" spans="1:22" ht="14.1" customHeight="1" x14ac:dyDescent="0.2">
      <c r="A266" s="4">
        <v>35</v>
      </c>
      <c r="E266" s="5"/>
      <c r="F266" s="5"/>
      <c r="G266" s="46"/>
      <c r="H266" s="29"/>
      <c r="L266" s="177"/>
      <c r="M266" s="177"/>
      <c r="N266" s="274"/>
      <c r="O266" s="177"/>
      <c r="P266" s="177"/>
      <c r="Q266" s="177"/>
      <c r="R266" s="177"/>
      <c r="S266" s="177"/>
    </row>
    <row r="267" spans="1:22" ht="14.1" customHeight="1" x14ac:dyDescent="0.2">
      <c r="A267" s="4">
        <v>36</v>
      </c>
      <c r="B267" s="303" t="s">
        <v>661</v>
      </c>
      <c r="C267" s="303"/>
      <c r="D267" s="303"/>
      <c r="E267" s="303"/>
      <c r="F267" s="303"/>
      <c r="G267" s="303"/>
      <c r="H267" s="303"/>
      <c r="I267" s="303"/>
      <c r="J267" s="303"/>
      <c r="K267" s="303"/>
      <c r="L267" s="177"/>
      <c r="M267" s="177"/>
      <c r="N267" s="177"/>
      <c r="O267" s="177"/>
      <c r="P267" s="177"/>
      <c r="Q267" s="177"/>
      <c r="R267" s="177"/>
      <c r="S267" s="177"/>
    </row>
    <row r="268" spans="1:22" ht="14.1" customHeight="1" x14ac:dyDescent="0.2">
      <c r="A268" s="4">
        <v>37</v>
      </c>
      <c r="B268" s="266"/>
      <c r="C268" s="266"/>
      <c r="D268" s="266"/>
      <c r="E268" s="266"/>
      <c r="F268" s="266"/>
      <c r="G268" s="266"/>
      <c r="H268" s="266"/>
      <c r="I268" s="266"/>
      <c r="J268" s="266"/>
      <c r="K268" s="266"/>
      <c r="L268" s="177"/>
      <c r="M268" s="177"/>
      <c r="N268" s="177"/>
      <c r="O268" s="177"/>
      <c r="P268" s="177"/>
      <c r="Q268" s="177"/>
      <c r="R268" s="177"/>
      <c r="S268" s="177"/>
    </row>
    <row r="269" spans="1:22" ht="14.1" customHeight="1" x14ac:dyDescent="0.2">
      <c r="A269" s="4">
        <v>38</v>
      </c>
      <c r="B269" s="266"/>
      <c r="C269" s="266"/>
      <c r="D269" s="266"/>
      <c r="E269" s="266"/>
      <c r="F269" s="266"/>
      <c r="G269" s="266"/>
      <c r="H269" s="266"/>
      <c r="I269" s="266"/>
      <c r="J269" s="266"/>
      <c r="K269" s="266"/>
      <c r="L269" s="177"/>
      <c r="M269" s="177"/>
      <c r="N269" s="177"/>
      <c r="O269" s="177"/>
      <c r="P269" s="177"/>
      <c r="Q269" s="177"/>
      <c r="R269" s="177"/>
      <c r="S269" s="177"/>
    </row>
    <row r="270" spans="1:22" ht="14.1" customHeight="1" thickBot="1" x14ac:dyDescent="0.25">
      <c r="A270" s="16">
        <v>39</v>
      </c>
      <c r="B270" s="16"/>
      <c r="C270" s="16"/>
      <c r="D270" s="16"/>
      <c r="E270" s="16"/>
      <c r="F270" s="16"/>
      <c r="G270" s="16"/>
      <c r="H270" s="16"/>
      <c r="I270" s="16"/>
      <c r="J270" s="16"/>
      <c r="K270" s="151"/>
      <c r="L270" s="16"/>
      <c r="M270" s="16"/>
      <c r="N270" s="16"/>
      <c r="O270" s="16"/>
      <c r="P270" s="16"/>
      <c r="Q270" s="16"/>
      <c r="R270" s="16"/>
      <c r="S270" s="150"/>
    </row>
    <row r="271" spans="1:22" ht="14.1" customHeight="1" x14ac:dyDescent="0.2">
      <c r="S271" s="4" t="str">
        <f>+$S$109</f>
        <v>Recap Schedules:  E-13a</v>
      </c>
    </row>
    <row r="272" spans="1:22" ht="14.1" customHeight="1" x14ac:dyDescent="0.2">
      <c r="H272" s="292" t="s">
        <v>768</v>
      </c>
      <c r="I272" s="292"/>
      <c r="J272" s="292"/>
      <c r="K272" s="292"/>
      <c r="L272" s="292"/>
    </row>
    <row r="273" spans="1:19" ht="14.1" customHeight="1" thickBot="1" x14ac:dyDescent="0.25">
      <c r="A273" s="16" t="s">
        <v>7</v>
      </c>
      <c r="B273" s="16"/>
      <c r="C273" s="16"/>
      <c r="D273" s="16"/>
      <c r="E273" s="16"/>
      <c r="F273" s="16"/>
      <c r="G273" s="16"/>
      <c r="H273" s="301" t="s">
        <v>380</v>
      </c>
      <c r="I273" s="301"/>
      <c r="J273" s="301"/>
      <c r="K273" s="301"/>
      <c r="L273" s="301"/>
      <c r="M273" s="16"/>
      <c r="N273" s="16"/>
      <c r="O273" s="16"/>
      <c r="P273" s="16"/>
      <c r="Q273" s="16"/>
      <c r="R273" s="16"/>
      <c r="S273" s="16" t="str">
        <f>"Page " &amp; INT(ROW()/$R$1 +1)  &amp; "  of " &amp; S$1</f>
        <v>Page 6  of 19</v>
      </c>
    </row>
    <row r="274" spans="1:19" ht="14.1" customHeight="1" x14ac:dyDescent="0.2">
      <c r="A274" s="4" t="s">
        <v>21</v>
      </c>
      <c r="E274" s="4" t="s">
        <v>761</v>
      </c>
      <c r="G274" s="4" t="s">
        <v>766</v>
      </c>
      <c r="K274" s="285"/>
      <c r="L274" s="56"/>
      <c r="N274" s="56"/>
      <c r="O274" s="56"/>
      <c r="P274" s="56" t="s">
        <v>663</v>
      </c>
      <c r="S274" s="22"/>
    </row>
    <row r="275" spans="1:19" ht="14.1" customHeight="1" x14ac:dyDescent="0.2">
      <c r="G275" s="4" t="s">
        <v>767</v>
      </c>
      <c r="K275" s="284"/>
      <c r="L275" s="22"/>
      <c r="O275" s="21"/>
      <c r="P275" s="21"/>
      <c r="Q275" s="22" t="s">
        <v>764</v>
      </c>
      <c r="S275" s="21"/>
    </row>
    <row r="276" spans="1:19" ht="14.1" customHeight="1" x14ac:dyDescent="0.2">
      <c r="A276" s="4" t="s">
        <v>29</v>
      </c>
      <c r="G276" s="4" t="s">
        <v>770</v>
      </c>
      <c r="K276" s="284"/>
      <c r="L276" s="22"/>
      <c r="M276" s="21"/>
      <c r="P276" s="21"/>
      <c r="Q276" s="22" t="s">
        <v>765</v>
      </c>
      <c r="S276" s="21"/>
    </row>
    <row r="277" spans="1:19" ht="14.1" customHeight="1" x14ac:dyDescent="0.2">
      <c r="G277" s="4" t="s">
        <v>769</v>
      </c>
      <c r="K277" s="284"/>
      <c r="L277" s="22"/>
      <c r="M277" s="21"/>
      <c r="P277" s="21"/>
      <c r="Q277" s="22"/>
      <c r="S277" s="21"/>
    </row>
    <row r="278" spans="1:19" ht="14.1" customHeight="1" x14ac:dyDescent="0.2">
      <c r="C278" s="21"/>
      <c r="H278" s="10"/>
      <c r="I278" s="10"/>
      <c r="J278" s="10"/>
      <c r="K278" s="284"/>
      <c r="Q278" s="4" t="s">
        <v>738</v>
      </c>
    </row>
    <row r="279" spans="1:19" ht="14.1" customHeight="1" thickBot="1" x14ac:dyDescent="0.25">
      <c r="A279" s="16"/>
      <c r="B279" s="16"/>
      <c r="C279" s="150"/>
      <c r="D279" s="101"/>
      <c r="E279" s="101"/>
      <c r="F279" s="101"/>
      <c r="G279" s="102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</row>
    <row r="280" spans="1:19" ht="14.1" customHeight="1" x14ac:dyDescent="0.2">
      <c r="E280" s="10"/>
      <c r="G280" s="10"/>
      <c r="H280" s="103"/>
      <c r="I280" s="10"/>
      <c r="K280" s="10"/>
      <c r="M280" s="103"/>
    </row>
    <row r="281" spans="1:19" ht="14.1" customHeight="1" x14ac:dyDescent="0.2">
      <c r="A281" s="9"/>
      <c r="B281" s="92"/>
      <c r="C281" s="92"/>
      <c r="D281" s="1"/>
      <c r="E281" s="39"/>
      <c r="F281" s="1"/>
      <c r="G281" s="1"/>
      <c r="H281" s="39"/>
      <c r="I281" s="1"/>
      <c r="J281" s="1"/>
      <c r="K281" s="3"/>
      <c r="L281" s="1"/>
      <c r="M281" s="39"/>
      <c r="N281" s="1"/>
      <c r="O281" s="1"/>
      <c r="P281" s="1"/>
      <c r="Q281" s="1"/>
      <c r="R281" s="1"/>
      <c r="S281" s="1"/>
    </row>
    <row r="282" spans="1:19" ht="14.1" customHeight="1" x14ac:dyDescent="0.2">
      <c r="A282" s="9"/>
      <c r="B282" s="92"/>
      <c r="C282" s="1"/>
      <c r="D282" s="1"/>
      <c r="E282" s="1"/>
      <c r="F282" s="39"/>
      <c r="G282" s="39"/>
      <c r="H282" s="40"/>
      <c r="I282" s="40" t="s">
        <v>14</v>
      </c>
      <c r="J282" s="3"/>
      <c r="K282" s="41" t="str">
        <f>+K228</f>
        <v>GSD,GSDT</v>
      </c>
      <c r="L282" s="39"/>
      <c r="M282" s="1"/>
      <c r="N282" s="39"/>
      <c r="O282" s="39"/>
      <c r="P282" s="39"/>
      <c r="Q282" s="39"/>
      <c r="R282" s="39"/>
      <c r="S282" s="1"/>
    </row>
    <row r="283" spans="1:19" ht="14.1" customHeight="1" x14ac:dyDescent="0.2">
      <c r="A283" s="9"/>
      <c r="B283" s="92"/>
      <c r="C283" s="1"/>
      <c r="D283" s="1"/>
      <c r="E283" s="1"/>
      <c r="F283" s="39"/>
      <c r="G283" s="39"/>
      <c r="H283" s="39"/>
      <c r="I283" s="39"/>
      <c r="J283" s="39"/>
      <c r="K283" s="3"/>
      <c r="L283" s="39"/>
      <c r="M283" s="39"/>
      <c r="N283" s="39"/>
      <c r="O283" s="39"/>
      <c r="P283" s="39"/>
      <c r="Q283" s="39"/>
      <c r="R283" s="39"/>
      <c r="S283" s="39"/>
    </row>
    <row r="284" spans="1:19" ht="14.1" customHeight="1" x14ac:dyDescent="0.2">
      <c r="A284" s="149" t="s">
        <v>26</v>
      </c>
      <c r="B284" s="176" t="s">
        <v>5</v>
      </c>
      <c r="C284" s="216"/>
      <c r="D284" s="213"/>
      <c r="E284" s="192"/>
      <c r="F284" s="192"/>
      <c r="G284" s="267" t="s">
        <v>8</v>
      </c>
      <c r="H284" s="192"/>
      <c r="I284" s="192"/>
      <c r="J284" s="216"/>
      <c r="K284" s="187"/>
      <c r="L284" s="192"/>
      <c r="M284" s="267"/>
      <c r="N284" s="267" t="s">
        <v>9</v>
      </c>
      <c r="O284" s="192"/>
      <c r="P284" s="192"/>
      <c r="Q284" s="216"/>
      <c r="R284" s="290" t="s">
        <v>750</v>
      </c>
      <c r="S284" s="290" t="s">
        <v>752</v>
      </c>
    </row>
    <row r="285" spans="1:19" ht="14.1" customHeight="1" thickBot="1" x14ac:dyDescent="0.25">
      <c r="A285" s="151" t="s">
        <v>28</v>
      </c>
      <c r="B285" s="175" t="s">
        <v>10</v>
      </c>
      <c r="C285" s="215"/>
      <c r="D285" s="44"/>
      <c r="E285" s="151" t="s">
        <v>11</v>
      </c>
      <c r="F285" s="194"/>
      <c r="G285" s="194" t="s">
        <v>12</v>
      </c>
      <c r="H285" s="194"/>
      <c r="I285" s="194" t="s">
        <v>13</v>
      </c>
      <c r="J285" s="215"/>
      <c r="K285" s="194"/>
      <c r="L285" s="194" t="s">
        <v>11</v>
      </c>
      <c r="M285" s="194"/>
      <c r="N285" s="194" t="s">
        <v>12</v>
      </c>
      <c r="O285" s="194"/>
      <c r="P285" s="194" t="s">
        <v>13</v>
      </c>
      <c r="Q285" s="215"/>
      <c r="R285" s="291" t="s">
        <v>751</v>
      </c>
      <c r="S285" s="291" t="s">
        <v>4</v>
      </c>
    </row>
    <row r="286" spans="1:19" ht="14.1" customHeight="1" x14ac:dyDescent="0.2">
      <c r="A286" s="4">
        <v>1</v>
      </c>
      <c r="B286" s="302" t="str">
        <f>"Continued from " &amp; "Page " &amp; INT(ROW()/$R$1)</f>
        <v>Continued from Page 5</v>
      </c>
      <c r="C286" s="302"/>
      <c r="D286" s="302"/>
      <c r="F286" s="188"/>
      <c r="G286" s="188"/>
      <c r="H286" s="188"/>
      <c r="I286" s="188"/>
      <c r="J286" s="186"/>
      <c r="K286" s="187"/>
      <c r="L286" s="186"/>
      <c r="M286" s="188"/>
      <c r="N286" s="188"/>
      <c r="O286" s="188"/>
      <c r="P286" s="188"/>
      <c r="Q286" s="188"/>
      <c r="R286" s="188"/>
      <c r="S286" s="188"/>
    </row>
    <row r="287" spans="1:19" ht="14.1" customHeight="1" x14ac:dyDescent="0.2">
      <c r="A287" s="4">
        <v>2</v>
      </c>
    </row>
    <row r="288" spans="1:19" ht="14.1" customHeight="1" x14ac:dyDescent="0.2">
      <c r="A288" s="4">
        <v>3</v>
      </c>
      <c r="B288" s="186" t="s">
        <v>392</v>
      </c>
      <c r="I288" s="183"/>
      <c r="P288" s="183"/>
    </row>
    <row r="289" spans="1:22" ht="14.1" customHeight="1" x14ac:dyDescent="0.2">
      <c r="A289" s="4">
        <v>4</v>
      </c>
      <c r="B289" s="186" t="s">
        <v>39</v>
      </c>
      <c r="C289" s="188"/>
      <c r="D289" s="9"/>
      <c r="E289" s="177">
        <f>+ROUND('ECCR Billing Determinants'!B42,0)</f>
        <v>130415</v>
      </c>
      <c r="F289" s="177" t="s">
        <v>44</v>
      </c>
      <c r="G289" s="179">
        <f>+Rates!D79</f>
        <v>-0.48275483010242831</v>
      </c>
      <c r="H289" s="177"/>
      <c r="I289" s="177">
        <f>+E289*G289</f>
        <v>-62958.471167808188</v>
      </c>
      <c r="J289" s="177"/>
      <c r="K289" s="173"/>
      <c r="L289" s="177">
        <f>+E289</f>
        <v>130415</v>
      </c>
      <c r="M289" s="177" t="s">
        <v>44</v>
      </c>
      <c r="N289" s="179">
        <f>+G289*(1+$V$5)</f>
        <v>-0.48668524110811601</v>
      </c>
      <c r="O289" s="177"/>
      <c r="P289" s="177">
        <f>+L289*N289</f>
        <v>-63471.055719114949</v>
      </c>
      <c r="R289" s="177">
        <f t="shared" ref="R289:R293" si="37">+P289-I289</f>
        <v>-512.58455130676157</v>
      </c>
      <c r="S289" s="152">
        <f t="shared" ref="S289:S293" si="38">IF(R289=0,0,(P289-I289)/I289)</f>
        <v>8.1416295821499455E-3</v>
      </c>
    </row>
    <row r="290" spans="1:22" ht="14.1" customHeight="1" x14ac:dyDescent="0.2">
      <c r="A290" s="4">
        <v>5</v>
      </c>
      <c r="B290" s="43" t="s">
        <v>199</v>
      </c>
      <c r="E290" s="177">
        <f>+ROUND('ECCR Billing Determinants'!B43,0)</f>
        <v>0</v>
      </c>
      <c r="F290" s="177" t="s">
        <v>44</v>
      </c>
      <c r="G290" s="179">
        <f>+Rates!D80</f>
        <v>-2.0463240776089906</v>
      </c>
      <c r="I290" s="177">
        <f>+E290*G290</f>
        <v>0</v>
      </c>
      <c r="L290" s="177">
        <f t="shared" ref="L290:L292" si="39">+E290</f>
        <v>0</v>
      </c>
      <c r="M290" s="177" t="s">
        <v>44</v>
      </c>
      <c r="N290" s="179">
        <f>+G290*(1+$V$5)</f>
        <v>-2.0629844902539176</v>
      </c>
      <c r="P290" s="177">
        <f>+L290*N290</f>
        <v>0</v>
      </c>
      <c r="R290" s="177">
        <f t="shared" si="37"/>
        <v>0</v>
      </c>
      <c r="S290" s="152">
        <f t="shared" si="38"/>
        <v>0</v>
      </c>
    </row>
    <row r="291" spans="1:22" ht="14.1" customHeight="1" x14ac:dyDescent="0.2">
      <c r="A291" s="4">
        <v>6</v>
      </c>
      <c r="B291" s="186" t="s">
        <v>225</v>
      </c>
      <c r="E291" s="177">
        <f>+ROUND('ECCR Billing Determinants'!B79,0)</f>
        <v>212795</v>
      </c>
      <c r="F291" s="177" t="s">
        <v>44</v>
      </c>
      <c r="G291" s="179">
        <f>+Rates!D83</f>
        <v>-0.48275483010242831</v>
      </c>
      <c r="I291" s="177">
        <f>+E291*G291</f>
        <v>-102727.81407164624</v>
      </c>
      <c r="J291" s="177"/>
      <c r="K291" s="173"/>
      <c r="L291" s="177">
        <f t="shared" si="39"/>
        <v>212795</v>
      </c>
      <c r="M291" s="177" t="s">
        <v>44</v>
      </c>
      <c r="N291" s="179">
        <f>+G291*(1+$V$5)</f>
        <v>-0.48668524110811601</v>
      </c>
      <c r="P291" s="177">
        <f>+L291*N291</f>
        <v>-103564.18588160154</v>
      </c>
      <c r="Q291" s="177"/>
      <c r="R291" s="177">
        <f t="shared" si="37"/>
        <v>-836.37180995530798</v>
      </c>
      <c r="S291" s="152">
        <f t="shared" si="38"/>
        <v>8.141629582149883E-3</v>
      </c>
    </row>
    <row r="292" spans="1:22" ht="14.1" customHeight="1" x14ac:dyDescent="0.2">
      <c r="A292" s="4">
        <v>7</v>
      </c>
      <c r="B292" s="43" t="s">
        <v>227</v>
      </c>
      <c r="E292" s="181">
        <f>+ROUND('ECCR Billing Determinants'!B80,0)</f>
        <v>208</v>
      </c>
      <c r="F292" s="177" t="s">
        <v>44</v>
      </c>
      <c r="G292" s="179">
        <f>+Rates!D84</f>
        <v>-2.0463240776089906</v>
      </c>
      <c r="I292" s="177">
        <f>+E292*G292</f>
        <v>-425.63540814267003</v>
      </c>
      <c r="L292" s="181">
        <f t="shared" si="39"/>
        <v>208</v>
      </c>
      <c r="M292" s="177" t="s">
        <v>44</v>
      </c>
      <c r="N292" s="179">
        <f>+G292*(1+$V$5)</f>
        <v>-2.0629844902539176</v>
      </c>
      <c r="P292" s="177">
        <f>+L292*N292</f>
        <v>-429.10077397281486</v>
      </c>
      <c r="R292" s="177">
        <f t="shared" si="37"/>
        <v>-3.4653658301448331</v>
      </c>
      <c r="S292" s="152">
        <f t="shared" si="38"/>
        <v>8.1416295821499576E-3</v>
      </c>
    </row>
    <row r="293" spans="1:22" ht="14.1" customHeight="1" x14ac:dyDescent="0.2">
      <c r="A293" s="4">
        <v>8</v>
      </c>
      <c r="B293" s="216" t="s">
        <v>221</v>
      </c>
      <c r="C293" s="188"/>
      <c r="D293" s="9"/>
      <c r="E293" s="177">
        <f>SUM(E289:E292)</f>
        <v>343418</v>
      </c>
      <c r="F293" s="177" t="s">
        <v>44</v>
      </c>
      <c r="G293" s="179"/>
      <c r="H293" s="177"/>
      <c r="I293" s="185">
        <f>SUM(I289:I292)</f>
        <v>-166111.92064759709</v>
      </c>
      <c r="J293" s="177"/>
      <c r="K293" s="173"/>
      <c r="L293" s="177">
        <f>SUM(L289:L292)</f>
        <v>343418</v>
      </c>
      <c r="M293" s="177" t="s">
        <v>44</v>
      </c>
      <c r="N293" s="179"/>
      <c r="O293" s="177"/>
      <c r="P293" s="185">
        <f>SUM(P289:P292)</f>
        <v>-167464.34237468929</v>
      </c>
      <c r="Q293" s="177"/>
      <c r="R293" s="177">
        <f t="shared" si="37"/>
        <v>-1352.421727092209</v>
      </c>
      <c r="S293" s="152">
        <f t="shared" si="38"/>
        <v>8.1416295821498744E-3</v>
      </c>
      <c r="V293" s="78"/>
    </row>
    <row r="294" spans="1:22" ht="14.1" customHeight="1" x14ac:dyDescent="0.2">
      <c r="A294" s="4">
        <v>9</v>
      </c>
      <c r="E294" s="5"/>
      <c r="I294" s="239"/>
      <c r="P294" s="183"/>
      <c r="S294" s="9"/>
    </row>
    <row r="295" spans="1:22" ht="14.1" customHeight="1" x14ac:dyDescent="0.2">
      <c r="A295" s="4">
        <v>10</v>
      </c>
      <c r="B295" s="186" t="s">
        <v>41</v>
      </c>
      <c r="C295" s="186"/>
      <c r="E295" s="6"/>
      <c r="F295" s="177"/>
      <c r="G295" s="177"/>
      <c r="H295" s="177"/>
      <c r="I295" s="227"/>
      <c r="J295" s="177"/>
      <c r="K295" s="173"/>
      <c r="L295" s="9"/>
      <c r="M295" s="177"/>
      <c r="N295" s="177"/>
      <c r="O295" s="177"/>
      <c r="P295" s="177"/>
      <c r="Q295" s="177"/>
      <c r="R295" s="177"/>
      <c r="S295" s="180"/>
    </row>
    <row r="296" spans="1:22" ht="14.1" customHeight="1" x14ac:dyDescent="0.2">
      <c r="A296" s="4">
        <v>11</v>
      </c>
      <c r="B296" s="186" t="s">
        <v>40</v>
      </c>
      <c r="C296" s="188"/>
      <c r="D296" s="9"/>
      <c r="E296" s="177">
        <f>+ROUND('ECCR Billing Determinants'!B45,0)</f>
        <v>479584</v>
      </c>
      <c r="F296" s="177" t="s">
        <v>44</v>
      </c>
      <c r="G296" s="179">
        <f>+Rates!D86</f>
        <v>0.67480378207017755</v>
      </c>
      <c r="H296" s="177"/>
      <c r="I296" s="177">
        <f t="shared" ref="I296:I301" si="40">+E296*G296</f>
        <v>323625.09702034405</v>
      </c>
      <c r="J296" s="177"/>
      <c r="K296" s="173"/>
      <c r="L296" s="177">
        <f>+E296</f>
        <v>479584</v>
      </c>
      <c r="M296" s="177" t="s">
        <v>44</v>
      </c>
      <c r="N296" s="179">
        <f t="shared" ref="N296:N301" si="41">+G296*(1+$V$5)</f>
        <v>0.68029778450442679</v>
      </c>
      <c r="O296" s="177"/>
      <c r="P296" s="177">
        <f t="shared" ref="P296:P301" si="42">+L296*N296</f>
        <v>326259.93268377101</v>
      </c>
      <c r="Q296" s="177"/>
      <c r="R296" s="177">
        <f t="shared" ref="R296:R302" si="43">+P296-I296</f>
        <v>2634.8356634269585</v>
      </c>
      <c r="S296" s="152">
        <f t="shared" ref="S296:S302" si="44">IF(R296=0,0,(P296-I296)/I296)</f>
        <v>8.1416295821498813E-3</v>
      </c>
    </row>
    <row r="297" spans="1:22" ht="14.1" customHeight="1" x14ac:dyDescent="0.2">
      <c r="A297" s="4">
        <v>12</v>
      </c>
      <c r="B297" s="186" t="s">
        <v>39</v>
      </c>
      <c r="E297" s="177">
        <f>+ROUND('ECCR Billing Determinants'!B46,0)</f>
        <v>24076</v>
      </c>
      <c r="F297" s="177" t="s">
        <v>44</v>
      </c>
      <c r="G297" s="179">
        <f>+Rates!D87</f>
        <v>0.67480378207017755</v>
      </c>
      <c r="I297" s="177">
        <f t="shared" si="40"/>
        <v>16246.575857121594</v>
      </c>
      <c r="L297" s="177">
        <f t="shared" ref="L297:L301" si="45">+E297</f>
        <v>24076</v>
      </c>
      <c r="M297" s="177" t="s">
        <v>44</v>
      </c>
      <c r="N297" s="179">
        <f t="shared" si="41"/>
        <v>0.68029778450442679</v>
      </c>
      <c r="P297" s="177">
        <f t="shared" si="42"/>
        <v>16378.849459728579</v>
      </c>
      <c r="R297" s="177">
        <f t="shared" si="43"/>
        <v>132.27360260698515</v>
      </c>
      <c r="S297" s="152">
        <f t="shared" si="44"/>
        <v>8.1416295821499993E-3</v>
      </c>
    </row>
    <row r="298" spans="1:22" ht="14.1" customHeight="1" x14ac:dyDescent="0.2">
      <c r="A298" s="4">
        <v>13</v>
      </c>
      <c r="B298" s="43" t="s">
        <v>199</v>
      </c>
      <c r="E298" s="177">
        <f>+ROUND('ECCR Billing Determinants'!B47,0)</f>
        <v>0</v>
      </c>
      <c r="F298" s="177" t="s">
        <v>44</v>
      </c>
      <c r="G298" s="179">
        <f>+Rates!D88</f>
        <v>0.67480378207017755</v>
      </c>
      <c r="I298" s="177">
        <f t="shared" si="40"/>
        <v>0</v>
      </c>
      <c r="L298" s="177">
        <f t="shared" si="45"/>
        <v>0</v>
      </c>
      <c r="M298" s="177" t="s">
        <v>44</v>
      </c>
      <c r="N298" s="179">
        <f t="shared" si="41"/>
        <v>0.68029778450442679</v>
      </c>
      <c r="P298" s="177">
        <f t="shared" si="42"/>
        <v>0</v>
      </c>
      <c r="R298" s="177">
        <f t="shared" si="43"/>
        <v>0</v>
      </c>
      <c r="S298" s="152">
        <f t="shared" si="44"/>
        <v>0</v>
      </c>
    </row>
    <row r="299" spans="1:22" ht="14.1" customHeight="1" x14ac:dyDescent="0.2">
      <c r="A299" s="4">
        <v>14</v>
      </c>
      <c r="B299" s="186" t="s">
        <v>226</v>
      </c>
      <c r="C299" s="188"/>
      <c r="D299" s="9"/>
      <c r="E299" s="177">
        <f>+ROUND('ECCR Billing Determinants'!B82,0)</f>
        <v>751660</v>
      </c>
      <c r="F299" s="177" t="s">
        <v>44</v>
      </c>
      <c r="G299" s="179">
        <f>+Rates!D92</f>
        <v>0.67480378207017755</v>
      </c>
      <c r="H299" s="177"/>
      <c r="I299" s="177">
        <f t="shared" si="40"/>
        <v>507223.01083086967</v>
      </c>
      <c r="J299" s="177"/>
      <c r="K299" s="173"/>
      <c r="L299" s="177">
        <f t="shared" si="45"/>
        <v>751660</v>
      </c>
      <c r="M299" s="177" t="s">
        <v>44</v>
      </c>
      <c r="N299" s="179">
        <f t="shared" si="41"/>
        <v>0.68029778450442679</v>
      </c>
      <c r="O299" s="177"/>
      <c r="P299" s="177">
        <f t="shared" si="42"/>
        <v>511352.63270059746</v>
      </c>
      <c r="R299" s="177">
        <f t="shared" si="43"/>
        <v>4129.6218697277945</v>
      </c>
      <c r="S299" s="152">
        <f t="shared" si="44"/>
        <v>8.1416295821499923E-3</v>
      </c>
    </row>
    <row r="300" spans="1:22" ht="14.1" customHeight="1" x14ac:dyDescent="0.2">
      <c r="A300" s="4">
        <v>15</v>
      </c>
      <c r="B300" s="186" t="s">
        <v>225</v>
      </c>
      <c r="E300" s="177">
        <f>+ROUND('ECCR Billing Determinants'!B83,0)</f>
        <v>125011</v>
      </c>
      <c r="F300" s="177" t="s">
        <v>44</v>
      </c>
      <c r="G300" s="179">
        <f>+Rates!D93</f>
        <v>0.67480378207017755</v>
      </c>
      <c r="I300" s="177">
        <f t="shared" si="40"/>
        <v>84357.895600374963</v>
      </c>
      <c r="L300" s="177">
        <f t="shared" si="45"/>
        <v>125011</v>
      </c>
      <c r="M300" s="177" t="s">
        <v>44</v>
      </c>
      <c r="N300" s="179">
        <f t="shared" si="41"/>
        <v>0.68029778450442679</v>
      </c>
      <c r="P300" s="177">
        <f t="shared" si="42"/>
        <v>85044.706338682896</v>
      </c>
      <c r="R300" s="177">
        <f t="shared" si="43"/>
        <v>686.81073830793321</v>
      </c>
      <c r="S300" s="152">
        <f t="shared" si="44"/>
        <v>8.1416295821499889E-3</v>
      </c>
    </row>
    <row r="301" spans="1:22" ht="14.1" customHeight="1" x14ac:dyDescent="0.2">
      <c r="A301" s="4">
        <v>16</v>
      </c>
      <c r="B301" s="43" t="s">
        <v>227</v>
      </c>
      <c r="E301" s="181">
        <f>+ROUND('ECCR Billing Determinants'!B84,0)</f>
        <v>0</v>
      </c>
      <c r="F301" s="177" t="s">
        <v>44</v>
      </c>
      <c r="G301" s="179">
        <f>+Rates!D94</f>
        <v>0.67480378207017755</v>
      </c>
      <c r="I301" s="177">
        <f t="shared" si="40"/>
        <v>0</v>
      </c>
      <c r="L301" s="181">
        <f t="shared" si="45"/>
        <v>0</v>
      </c>
      <c r="M301" s="177" t="s">
        <v>44</v>
      </c>
      <c r="N301" s="179">
        <f t="shared" si="41"/>
        <v>0.68029778450442679</v>
      </c>
      <c r="P301" s="177">
        <f t="shared" si="42"/>
        <v>0</v>
      </c>
      <c r="R301" s="177">
        <f t="shared" si="43"/>
        <v>0</v>
      </c>
      <c r="S301" s="152">
        <f t="shared" si="44"/>
        <v>0</v>
      </c>
    </row>
    <row r="302" spans="1:22" ht="14.1" customHeight="1" x14ac:dyDescent="0.2">
      <c r="A302" s="4">
        <v>17</v>
      </c>
      <c r="B302" s="216" t="s">
        <v>221</v>
      </c>
      <c r="C302" s="188"/>
      <c r="D302" s="9"/>
      <c r="E302" s="177">
        <f>SUM(E296:E301)</f>
        <v>1380331</v>
      </c>
      <c r="F302" s="177" t="s">
        <v>44</v>
      </c>
      <c r="G302" s="179"/>
      <c r="H302" s="177"/>
      <c r="I302" s="185">
        <f>SUM(I296:I301)</f>
        <v>931452.57930871029</v>
      </c>
      <c r="J302" s="177"/>
      <c r="K302" s="173"/>
      <c r="L302" s="177">
        <f>SUM(L296:L301)</f>
        <v>1380331</v>
      </c>
      <c r="M302" s="177" t="s">
        <v>44</v>
      </c>
      <c r="N302" s="179"/>
      <c r="O302" s="177"/>
      <c r="P302" s="185">
        <f>SUM(P296:P301)</f>
        <v>939036.12118278001</v>
      </c>
      <c r="Q302" s="177"/>
      <c r="R302" s="177">
        <f t="shared" si="43"/>
        <v>7583.5418740697205</v>
      </c>
      <c r="S302" s="152">
        <f t="shared" si="44"/>
        <v>8.1416295821500062E-3</v>
      </c>
      <c r="V302" s="78"/>
    </row>
    <row r="303" spans="1:22" ht="14.1" customHeight="1" x14ac:dyDescent="0.2">
      <c r="A303" s="4">
        <v>18</v>
      </c>
      <c r="B303" s="216"/>
      <c r="C303" s="188"/>
      <c r="D303" s="9"/>
      <c r="E303" s="177"/>
      <c r="F303" s="177"/>
      <c r="G303" s="179"/>
      <c r="H303" s="177"/>
      <c r="I303" s="177"/>
      <c r="J303" s="177"/>
      <c r="K303" s="173"/>
      <c r="L303" s="177"/>
      <c r="M303" s="177"/>
      <c r="N303" s="179"/>
      <c r="O303" s="177"/>
      <c r="P303" s="177"/>
      <c r="Q303" s="177"/>
      <c r="R303" s="177"/>
      <c r="S303" s="180"/>
    </row>
    <row r="304" spans="1:22" ht="14.1" customHeight="1" x14ac:dyDescent="0.2">
      <c r="A304" s="4">
        <v>19</v>
      </c>
      <c r="B304" s="186"/>
      <c r="C304" s="186"/>
      <c r="F304" s="177"/>
      <c r="G304" s="177"/>
      <c r="H304" s="177"/>
      <c r="I304" s="177"/>
      <c r="J304" s="183"/>
      <c r="K304" s="173"/>
      <c r="L304" s="183"/>
      <c r="M304" s="177"/>
      <c r="N304" s="177"/>
      <c r="O304" s="177"/>
      <c r="P304" s="177"/>
    </row>
    <row r="305" spans="1:24" ht="14.1" customHeight="1" thickBot="1" x14ac:dyDescent="0.25">
      <c r="A305" s="4">
        <v>20</v>
      </c>
      <c r="B305" s="45" t="s">
        <v>50</v>
      </c>
      <c r="C305" s="186"/>
      <c r="F305" s="177"/>
      <c r="G305" s="177"/>
      <c r="H305" s="177"/>
      <c r="I305" s="247">
        <f>+I302+I293+I309+I264+I251+I239</f>
        <v>271384124.44778568</v>
      </c>
      <c r="J305" s="177"/>
      <c r="K305" s="173"/>
      <c r="L305" s="177"/>
      <c r="M305" s="177"/>
      <c r="N305" s="177"/>
      <c r="O305" s="177"/>
      <c r="P305" s="247">
        <f>+P302+P293+P309+P264+P251+P239</f>
        <v>273593633.46351558</v>
      </c>
      <c r="R305" s="177">
        <f>+P305-I305</f>
        <v>2209509.0157299042</v>
      </c>
      <c r="S305" s="152">
        <f>IF(R305=0,0,(P305-I305)/I305)</f>
        <v>8.1416295821497616E-3</v>
      </c>
      <c r="T305" s="105"/>
      <c r="U305" s="105"/>
      <c r="V305" s="106"/>
      <c r="W305" s="5"/>
      <c r="X305" s="5"/>
    </row>
    <row r="306" spans="1:24" ht="14.1" customHeight="1" thickTop="1" x14ac:dyDescent="0.2">
      <c r="A306" s="4">
        <v>21</v>
      </c>
      <c r="B306" s="43"/>
      <c r="E306" s="183"/>
      <c r="F306" s="177"/>
      <c r="G306" s="178"/>
      <c r="I306" s="177"/>
      <c r="L306" s="183"/>
      <c r="M306" s="177"/>
      <c r="N306" s="178"/>
      <c r="P306" s="177"/>
      <c r="R306" s="177"/>
      <c r="S306" s="152"/>
      <c r="T306" s="105"/>
      <c r="U306" s="105"/>
      <c r="V306" s="106"/>
    </row>
    <row r="307" spans="1:24" ht="14.1" customHeight="1" x14ac:dyDescent="0.2">
      <c r="A307" s="4">
        <v>22</v>
      </c>
      <c r="B307" s="186"/>
      <c r="E307" s="183"/>
      <c r="F307" s="177"/>
      <c r="G307" s="178"/>
      <c r="I307" s="177"/>
      <c r="J307" s="177"/>
      <c r="K307" s="173"/>
      <c r="L307" s="183"/>
      <c r="M307" s="177"/>
      <c r="N307" s="178"/>
      <c r="P307" s="177"/>
      <c r="Q307" s="177"/>
      <c r="R307" s="177"/>
      <c r="S307" s="152"/>
      <c r="T307" s="105"/>
      <c r="U307" s="105"/>
      <c r="V307" s="106"/>
    </row>
    <row r="308" spans="1:24" ht="14.1" customHeight="1" x14ac:dyDescent="0.35">
      <c r="A308" s="4">
        <v>23</v>
      </c>
      <c r="B308" s="43"/>
      <c r="E308" s="238"/>
      <c r="F308" s="177"/>
      <c r="G308" s="178"/>
      <c r="K308" s="4"/>
      <c r="Q308" s="9"/>
      <c r="R308" s="177"/>
      <c r="S308" s="152"/>
      <c r="T308" s="105"/>
      <c r="U308" s="105"/>
      <c r="V308" s="106"/>
    </row>
    <row r="309" spans="1:24" ht="14.1" customHeight="1" x14ac:dyDescent="0.2">
      <c r="A309" s="4">
        <v>24</v>
      </c>
      <c r="B309" s="216"/>
      <c r="E309" s="183"/>
      <c r="F309" s="177"/>
      <c r="H309" s="177"/>
      <c r="K309" s="4"/>
      <c r="R309" s="177"/>
      <c r="S309" s="152"/>
      <c r="T309" s="105"/>
      <c r="U309" s="105"/>
      <c r="V309" s="106"/>
    </row>
    <row r="310" spans="1:24" ht="14.1" customHeight="1" x14ac:dyDescent="0.2">
      <c r="A310" s="4">
        <v>25</v>
      </c>
      <c r="K310" s="4"/>
      <c r="S310" s="9"/>
      <c r="T310" s="105"/>
      <c r="U310" s="105"/>
      <c r="V310" s="106"/>
    </row>
    <row r="311" spans="1:24" ht="14.1" customHeight="1" x14ac:dyDescent="0.2">
      <c r="A311" s="4">
        <v>26</v>
      </c>
      <c r="I311" s="212"/>
      <c r="R311" s="177"/>
      <c r="V311" s="78"/>
    </row>
    <row r="312" spans="1:24" ht="14.1" customHeight="1" x14ac:dyDescent="0.2">
      <c r="A312" s="4">
        <v>27</v>
      </c>
      <c r="I312" s="212"/>
      <c r="P312" s="183"/>
      <c r="R312" s="9"/>
      <c r="S312" s="231"/>
    </row>
    <row r="313" spans="1:24" ht="14.1" customHeight="1" x14ac:dyDescent="0.2">
      <c r="A313" s="4">
        <v>28</v>
      </c>
    </row>
    <row r="314" spans="1:24" ht="14.1" customHeight="1" x14ac:dyDescent="0.2">
      <c r="A314" s="4">
        <v>29</v>
      </c>
    </row>
    <row r="315" spans="1:24" ht="14.1" customHeight="1" x14ac:dyDescent="0.2">
      <c r="A315" s="4">
        <v>30</v>
      </c>
      <c r="I315" s="183"/>
      <c r="S315" s="9"/>
    </row>
    <row r="316" spans="1:24" ht="14.1" customHeight="1" x14ac:dyDescent="0.2">
      <c r="A316" s="4">
        <v>31</v>
      </c>
    </row>
    <row r="317" spans="1:24" ht="14.1" customHeight="1" x14ac:dyDescent="0.2">
      <c r="A317" s="4">
        <v>32</v>
      </c>
    </row>
    <row r="318" spans="1:24" ht="14.1" customHeight="1" x14ac:dyDescent="0.2">
      <c r="A318" s="4">
        <v>33</v>
      </c>
    </row>
    <row r="319" spans="1:24" ht="14.1" customHeight="1" x14ac:dyDescent="0.2">
      <c r="A319" s="4">
        <v>34</v>
      </c>
      <c r="K319" s="4"/>
    </row>
    <row r="320" spans="1:24" ht="14.1" customHeight="1" x14ac:dyDescent="0.2">
      <c r="A320" s="4">
        <v>35</v>
      </c>
    </row>
    <row r="321" spans="1:19" ht="14.1" customHeight="1" x14ac:dyDescent="0.2">
      <c r="A321" s="4">
        <v>36</v>
      </c>
    </row>
    <row r="322" spans="1:19" ht="14.1" customHeight="1" x14ac:dyDescent="0.2">
      <c r="A322" s="4">
        <v>37</v>
      </c>
    </row>
    <row r="323" spans="1:19" ht="14.1" customHeight="1" x14ac:dyDescent="0.2">
      <c r="A323" s="4">
        <v>38</v>
      </c>
    </row>
    <row r="324" spans="1:19" ht="14.1" customHeight="1" thickBot="1" x14ac:dyDescent="0.25">
      <c r="A324" s="16">
        <v>39</v>
      </c>
      <c r="B324" s="16"/>
      <c r="C324" s="16"/>
      <c r="D324" s="16"/>
      <c r="E324" s="16"/>
      <c r="F324" s="16"/>
      <c r="G324" s="16"/>
      <c r="H324" s="16"/>
      <c r="I324" s="16"/>
      <c r="J324" s="16"/>
      <c r="K324" s="151"/>
      <c r="L324" s="16"/>
      <c r="M324" s="16"/>
      <c r="N324" s="16"/>
      <c r="O324" s="16"/>
      <c r="P324" s="16"/>
      <c r="Q324" s="16"/>
      <c r="R324" s="16"/>
      <c r="S324" s="150"/>
    </row>
    <row r="325" spans="1:19" ht="14.1" customHeight="1" x14ac:dyDescent="0.2">
      <c r="S325" s="4" t="str">
        <f>+$S$109</f>
        <v>Recap Schedules:  E-13a</v>
      </c>
    </row>
    <row r="326" spans="1:19" ht="14.1" customHeight="1" x14ac:dyDescent="0.2">
      <c r="H326" s="292" t="s">
        <v>768</v>
      </c>
      <c r="I326" s="292"/>
      <c r="J326" s="292"/>
      <c r="K326" s="292"/>
      <c r="L326" s="292"/>
    </row>
    <row r="327" spans="1:19" ht="14.1" customHeight="1" thickBot="1" x14ac:dyDescent="0.25">
      <c r="A327" s="16" t="s">
        <v>7</v>
      </c>
      <c r="B327" s="16"/>
      <c r="C327" s="16"/>
      <c r="D327" s="16"/>
      <c r="E327" s="16"/>
      <c r="F327" s="16"/>
      <c r="G327" s="16"/>
      <c r="H327" s="301" t="s">
        <v>380</v>
      </c>
      <c r="I327" s="301"/>
      <c r="J327" s="301"/>
      <c r="K327" s="301"/>
      <c r="L327" s="301"/>
      <c r="M327" s="16"/>
      <c r="N327" s="16"/>
      <c r="O327" s="16"/>
      <c r="P327" s="16"/>
      <c r="Q327" s="16"/>
      <c r="R327" s="16"/>
      <c r="S327" s="150" t="str">
        <f>"Page " &amp; INT(ROW()/$R$1 +1)  &amp; "  of " &amp; S$1</f>
        <v>Page 7  of 19</v>
      </c>
    </row>
    <row r="328" spans="1:19" ht="14.1" customHeight="1" x14ac:dyDescent="0.2">
      <c r="A328" s="4" t="s">
        <v>21</v>
      </c>
      <c r="E328" s="4" t="s">
        <v>761</v>
      </c>
      <c r="G328" s="4" t="s">
        <v>766</v>
      </c>
      <c r="K328" s="285"/>
      <c r="L328" s="56"/>
      <c r="N328" s="56"/>
      <c r="O328" s="56"/>
      <c r="P328" s="56" t="s">
        <v>663</v>
      </c>
      <c r="S328" s="22"/>
    </row>
    <row r="329" spans="1:19" ht="14.1" customHeight="1" x14ac:dyDescent="0.2">
      <c r="G329" s="4" t="s">
        <v>767</v>
      </c>
      <c r="K329" s="284"/>
      <c r="L329" s="22"/>
      <c r="O329" s="21"/>
      <c r="P329" s="21"/>
      <c r="Q329" s="22" t="s">
        <v>764</v>
      </c>
      <c r="S329" s="21"/>
    </row>
    <row r="330" spans="1:19" ht="14.1" customHeight="1" x14ac:dyDescent="0.2">
      <c r="A330" s="4" t="s">
        <v>29</v>
      </c>
      <c r="G330" s="4" t="s">
        <v>770</v>
      </c>
      <c r="K330" s="284"/>
      <c r="L330" s="22"/>
      <c r="M330" s="21"/>
      <c r="P330" s="21"/>
      <c r="Q330" s="22" t="s">
        <v>765</v>
      </c>
      <c r="S330" s="21"/>
    </row>
    <row r="331" spans="1:19" ht="14.1" customHeight="1" x14ac:dyDescent="0.2">
      <c r="G331" s="4" t="s">
        <v>769</v>
      </c>
      <c r="K331" s="284"/>
      <c r="L331" s="22"/>
      <c r="M331" s="21"/>
      <c r="P331" s="21"/>
      <c r="Q331" s="22"/>
      <c r="S331" s="21"/>
    </row>
    <row r="332" spans="1:19" ht="14.1" customHeight="1" x14ac:dyDescent="0.2">
      <c r="C332" s="21"/>
      <c r="H332" s="10"/>
      <c r="I332" s="10"/>
      <c r="J332" s="10"/>
      <c r="K332" s="284"/>
      <c r="Q332" s="4" t="s">
        <v>738</v>
      </c>
    </row>
    <row r="333" spans="1:19" ht="14.1" customHeight="1" thickBot="1" x14ac:dyDescent="0.25">
      <c r="A333" s="16"/>
      <c r="B333" s="16"/>
      <c r="C333" s="150"/>
      <c r="D333" s="101"/>
      <c r="E333" s="101"/>
      <c r="F333" s="101"/>
      <c r="G333" s="102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/>
    </row>
    <row r="334" spans="1:19" ht="14.1" customHeight="1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149"/>
      <c r="L334" s="9"/>
      <c r="M334" s="9"/>
      <c r="N334" s="9"/>
      <c r="O334" s="9"/>
      <c r="P334" s="9"/>
      <c r="Q334" s="9"/>
      <c r="R334" s="9"/>
      <c r="S334" s="9"/>
    </row>
    <row r="335" spans="1:19" ht="14.1" customHeight="1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149"/>
      <c r="L335" s="9"/>
      <c r="M335" s="9"/>
      <c r="N335" s="9"/>
      <c r="O335" s="9"/>
      <c r="P335" s="9"/>
      <c r="Q335" s="9"/>
      <c r="R335" s="9"/>
      <c r="S335" s="9"/>
    </row>
    <row r="336" spans="1:19" ht="14.1" customHeight="1" x14ac:dyDescent="0.2">
      <c r="A336" s="9"/>
      <c r="B336" s="92"/>
      <c r="C336" s="1"/>
      <c r="D336" s="1"/>
      <c r="E336" s="1"/>
      <c r="F336" s="39"/>
      <c r="G336" s="39"/>
      <c r="H336" s="40"/>
      <c r="I336" s="40" t="s">
        <v>14</v>
      </c>
      <c r="J336" s="3"/>
      <c r="K336" s="41" t="s">
        <v>260</v>
      </c>
      <c r="L336" s="39"/>
      <c r="M336" s="1"/>
      <c r="N336" s="39"/>
      <c r="O336" s="39"/>
      <c r="P336" s="39"/>
      <c r="Q336" s="39"/>
      <c r="R336" s="39"/>
      <c r="S336" s="1"/>
    </row>
    <row r="337" spans="1:22" ht="14.1" customHeight="1" x14ac:dyDescent="0.2">
      <c r="A337" s="9"/>
      <c r="B337" s="92"/>
      <c r="C337" s="1"/>
      <c r="D337" s="1"/>
      <c r="E337" s="1"/>
      <c r="F337" s="39"/>
      <c r="G337" s="39"/>
      <c r="H337" s="39"/>
      <c r="I337" s="39"/>
      <c r="J337" s="39"/>
      <c r="K337" s="3"/>
      <c r="L337" s="39"/>
      <c r="M337" s="39"/>
      <c r="N337" s="39"/>
      <c r="O337" s="39"/>
      <c r="P337" s="39"/>
      <c r="Q337" s="39"/>
      <c r="R337" s="39"/>
      <c r="S337" s="39"/>
    </row>
    <row r="338" spans="1:22" ht="14.1" customHeight="1" x14ac:dyDescent="0.2">
      <c r="A338" s="149" t="s">
        <v>26</v>
      </c>
      <c r="B338" s="176" t="s">
        <v>5</v>
      </c>
      <c r="C338" s="216"/>
      <c r="D338" s="213"/>
      <c r="E338" s="192"/>
      <c r="F338" s="192"/>
      <c r="G338" s="267" t="s">
        <v>8</v>
      </c>
      <c r="H338" s="192"/>
      <c r="I338" s="192"/>
      <c r="J338" s="216"/>
      <c r="K338" s="187"/>
      <c r="L338" s="192"/>
      <c r="M338" s="267"/>
      <c r="N338" s="267" t="s">
        <v>9</v>
      </c>
      <c r="O338" s="192"/>
      <c r="P338" s="192"/>
      <c r="Q338" s="216"/>
      <c r="R338" s="290" t="s">
        <v>750</v>
      </c>
      <c r="S338" s="290" t="s">
        <v>752</v>
      </c>
    </row>
    <row r="339" spans="1:22" ht="14.1" customHeight="1" thickBot="1" x14ac:dyDescent="0.25">
      <c r="A339" s="151" t="s">
        <v>28</v>
      </c>
      <c r="B339" s="175" t="s">
        <v>10</v>
      </c>
      <c r="C339" s="215"/>
      <c r="D339" s="44"/>
      <c r="E339" s="151" t="s">
        <v>11</v>
      </c>
      <c r="F339" s="194"/>
      <c r="G339" s="194" t="s">
        <v>12</v>
      </c>
      <c r="H339" s="194"/>
      <c r="I339" s="194" t="s">
        <v>13</v>
      </c>
      <c r="J339" s="194"/>
      <c r="K339" s="194"/>
      <c r="L339" s="194" t="s">
        <v>11</v>
      </c>
      <c r="M339" s="194"/>
      <c r="N339" s="194" t="s">
        <v>12</v>
      </c>
      <c r="O339" s="194"/>
      <c r="P339" s="194" t="s">
        <v>13</v>
      </c>
      <c r="Q339" s="215"/>
      <c r="R339" s="291" t="s">
        <v>751</v>
      </c>
      <c r="S339" s="291" t="s">
        <v>4</v>
      </c>
    </row>
    <row r="340" spans="1:22" ht="14.1" customHeight="1" x14ac:dyDescent="0.2">
      <c r="A340" s="4">
        <v>1</v>
      </c>
      <c r="B340" s="186" t="s">
        <v>393</v>
      </c>
      <c r="C340" s="186"/>
      <c r="F340" s="177"/>
      <c r="G340" s="177"/>
      <c r="H340" s="177"/>
      <c r="I340" s="177"/>
      <c r="J340" s="183"/>
      <c r="K340" s="173"/>
      <c r="L340" s="183"/>
      <c r="M340" s="177"/>
      <c r="N340" s="177"/>
      <c r="O340" s="177"/>
      <c r="P340" s="177"/>
      <c r="Q340" s="177"/>
      <c r="R340" s="177"/>
      <c r="S340" s="177"/>
    </row>
    <row r="341" spans="1:22" ht="14.1" customHeight="1" x14ac:dyDescent="0.2">
      <c r="A341" s="4">
        <v>2</v>
      </c>
      <c r="B341" s="43" t="s">
        <v>231</v>
      </c>
      <c r="E341" s="183">
        <f>+'ECCR Billing Determinants'!C89</f>
        <v>637715.83333333337</v>
      </c>
      <c r="F341" s="177" t="s">
        <v>611</v>
      </c>
      <c r="G341" s="179">
        <f>+Rates!D36</f>
        <v>1.0727450387290098</v>
      </c>
      <c r="I341" s="177">
        <f>+G341*E341</f>
        <v>684106.49632726947</v>
      </c>
      <c r="K341" s="217"/>
      <c r="L341" s="183">
        <f>+E341</f>
        <v>637715.83333333337</v>
      </c>
      <c r="M341" s="177" t="s">
        <v>611</v>
      </c>
      <c r="N341" s="179">
        <f>+G341*(1+$V$5)</f>
        <v>1.0814789314704305</v>
      </c>
      <c r="P341" s="177">
        <f>+N341*L341</f>
        <v>689676.23801510851</v>
      </c>
      <c r="Q341" s="242"/>
      <c r="R341" s="177">
        <f t="shared" ref="R341:R344" si="46">+P341-I341</f>
        <v>5569.7416878390359</v>
      </c>
      <c r="S341" s="152">
        <f t="shared" ref="S341:S344" si="47">IF(R341=0,0,(P341-I341)/I341)</f>
        <v>8.1416295821499247E-3</v>
      </c>
      <c r="T341" s="9"/>
    </row>
    <row r="342" spans="1:22" ht="14.1" customHeight="1" x14ac:dyDescent="0.2">
      <c r="A342" s="4">
        <v>3</v>
      </c>
      <c r="B342" s="43" t="s">
        <v>232</v>
      </c>
      <c r="E342" s="183">
        <f>+'ECCR Billing Determinants'!C90</f>
        <v>8870.4124999999985</v>
      </c>
      <c r="F342" s="177" t="s">
        <v>611</v>
      </c>
      <c r="G342" s="179">
        <f>+Rates!D37</f>
        <v>5.9275742948907526</v>
      </c>
      <c r="I342" s="177">
        <f>+G342*E342</f>
        <v>52580.029120077612</v>
      </c>
      <c r="L342" s="183">
        <f t="shared" ref="L342:L343" si="48">+E342</f>
        <v>8870.4124999999985</v>
      </c>
      <c r="M342" s="177" t="s">
        <v>611</v>
      </c>
      <c r="N342" s="179">
        <f>+G342*(1+$V$5)</f>
        <v>5.9758344091204263</v>
      </c>
      <c r="P342" s="177">
        <f>+N342*L342</f>
        <v>53008.116240591931</v>
      </c>
      <c r="Q342" s="242"/>
      <c r="R342" s="177">
        <f t="shared" si="46"/>
        <v>428.08712051431939</v>
      </c>
      <c r="S342" s="152">
        <f t="shared" si="47"/>
        <v>8.1416295821497547E-3</v>
      </c>
      <c r="T342" s="9"/>
    </row>
    <row r="343" spans="1:22" ht="14.1" customHeight="1" x14ac:dyDescent="0.2">
      <c r="A343" s="4">
        <v>4</v>
      </c>
      <c r="B343" s="43" t="s">
        <v>581</v>
      </c>
      <c r="E343" s="157">
        <f>+'ECCR Billing Determinants'!C91</f>
        <v>0</v>
      </c>
      <c r="F343" s="177" t="s">
        <v>611</v>
      </c>
      <c r="G343" s="179">
        <f>+Rates!D38</f>
        <v>17.335869203546569</v>
      </c>
      <c r="I343" s="177">
        <f>+G343*E343</f>
        <v>0</v>
      </c>
      <c r="L343" s="157">
        <f t="shared" si="48"/>
        <v>0</v>
      </c>
      <c r="M343" s="177" t="s">
        <v>611</v>
      </c>
      <c r="N343" s="179">
        <f>+G343*(1+$V$5)</f>
        <v>17.477011429086446</v>
      </c>
      <c r="P343" s="177">
        <f>+N343*L343</f>
        <v>0</v>
      </c>
      <c r="Q343" s="242"/>
      <c r="R343" s="177">
        <f t="shared" si="46"/>
        <v>0</v>
      </c>
      <c r="S343" s="152">
        <f t="shared" si="47"/>
        <v>0</v>
      </c>
      <c r="T343" s="9"/>
    </row>
    <row r="344" spans="1:22" ht="14.1" customHeight="1" x14ac:dyDescent="0.2">
      <c r="A344" s="4">
        <v>5</v>
      </c>
      <c r="B344" s="4" t="s">
        <v>27</v>
      </c>
      <c r="E344" s="5">
        <f>SUM(E341:E343)</f>
        <v>646586.24583333335</v>
      </c>
      <c r="F344" s="177" t="s">
        <v>612</v>
      </c>
      <c r="G344" s="179"/>
      <c r="I344" s="185">
        <f>SUM(I341:I343)</f>
        <v>736686.52544734708</v>
      </c>
      <c r="L344" s="5">
        <f>SUM(L341:L343)</f>
        <v>646586.24583333335</v>
      </c>
      <c r="M344" s="177" t="s">
        <v>612</v>
      </c>
      <c r="N344" s="179"/>
      <c r="P344" s="185">
        <f>SUM(P341:P343)</f>
        <v>742684.35425570048</v>
      </c>
      <c r="Q344" s="71"/>
      <c r="R344" s="177">
        <f t="shared" si="46"/>
        <v>5997.8288083533989</v>
      </c>
      <c r="S344" s="152">
        <f t="shared" si="47"/>
        <v>8.1416295821499715E-3</v>
      </c>
      <c r="T344" s="9"/>
      <c r="V344" s="78"/>
    </row>
    <row r="345" spans="1:22" ht="14.1" customHeight="1" x14ac:dyDescent="0.2">
      <c r="A345" s="4">
        <v>6</v>
      </c>
      <c r="I345" s="212"/>
      <c r="K345" s="4"/>
      <c r="T345" s="9"/>
    </row>
    <row r="346" spans="1:22" ht="14.1" customHeight="1" x14ac:dyDescent="0.2">
      <c r="A346" s="4">
        <v>7</v>
      </c>
      <c r="B346" s="186" t="s">
        <v>45</v>
      </c>
      <c r="I346" s="212"/>
      <c r="K346" s="4"/>
      <c r="T346" s="9"/>
    </row>
    <row r="347" spans="1:22" ht="14.1" customHeight="1" x14ac:dyDescent="0.2">
      <c r="A347" s="4">
        <v>8</v>
      </c>
      <c r="B347" s="43" t="s">
        <v>231</v>
      </c>
      <c r="E347" s="183">
        <f>+ROUND('ECCR Billing Determinants'!B93/1000,0)</f>
        <v>406871</v>
      </c>
      <c r="F347" s="177" t="s">
        <v>379</v>
      </c>
      <c r="G347" s="179">
        <f>+Rates!D49</f>
        <v>70.58</v>
      </c>
      <c r="H347" s="177"/>
      <c r="I347" s="177">
        <f>+G347*E347</f>
        <v>28716955.18</v>
      </c>
      <c r="J347" s="177"/>
      <c r="K347" s="173"/>
      <c r="L347" s="183">
        <f>+E347</f>
        <v>406871</v>
      </c>
      <c r="M347" s="177" t="s">
        <v>379</v>
      </c>
      <c r="N347" s="179">
        <f>+G347*(1+$V$5)</f>
        <v>71.154636215908141</v>
      </c>
      <c r="O347" s="177"/>
      <c r="P347" s="177">
        <f>+N347*L347</f>
        <v>28950757.991802759</v>
      </c>
      <c r="Q347" s="177"/>
      <c r="R347" s="177">
        <f t="shared" ref="R347:R350" si="49">+P347-I347</f>
        <v>233802.81180275977</v>
      </c>
      <c r="S347" s="152">
        <f t="shared" ref="S347:S350" si="50">IF(R347=0,0,(P347-I347)/I347)</f>
        <v>8.141629582149864E-3</v>
      </c>
      <c r="T347" s="9"/>
    </row>
    <row r="348" spans="1:22" ht="14.1" customHeight="1" x14ac:dyDescent="0.2">
      <c r="A348" s="4">
        <v>9</v>
      </c>
      <c r="B348" s="43" t="s">
        <v>232</v>
      </c>
      <c r="E348" s="183">
        <f>+ROUND('ECCR Billing Determinants'!B94/1000,0)</f>
        <v>8218</v>
      </c>
      <c r="F348" s="177" t="s">
        <v>379</v>
      </c>
      <c r="G348" s="179">
        <f>+Rates!D50</f>
        <v>70.58</v>
      </c>
      <c r="H348" s="177"/>
      <c r="I348" s="177">
        <f>+G348*E348</f>
        <v>580026.43999999994</v>
      </c>
      <c r="J348" s="177"/>
      <c r="K348" s="173"/>
      <c r="L348" s="183">
        <f t="shared" ref="L348:L349" si="51">+E348</f>
        <v>8218</v>
      </c>
      <c r="M348" s="177" t="s">
        <v>379</v>
      </c>
      <c r="N348" s="179">
        <f>+G348*(1+$V$5)</f>
        <v>71.154636215908141</v>
      </c>
      <c r="O348" s="177"/>
      <c r="P348" s="177">
        <f>+N348*L348</f>
        <v>584748.80042233306</v>
      </c>
      <c r="Q348" s="177"/>
      <c r="R348" s="177">
        <f t="shared" si="49"/>
        <v>4722.3604223331204</v>
      </c>
      <c r="S348" s="152">
        <f t="shared" si="50"/>
        <v>8.1416295821499455E-3</v>
      </c>
      <c r="T348" s="9"/>
    </row>
    <row r="349" spans="1:22" ht="14.1" customHeight="1" x14ac:dyDescent="0.2">
      <c r="A349" s="4">
        <v>10</v>
      </c>
      <c r="B349" s="43" t="s">
        <v>581</v>
      </c>
      <c r="E349" s="157">
        <f>+ROUND('ECCR Billing Determinants'!B95/1000,0)</f>
        <v>0</v>
      </c>
      <c r="F349" s="177" t="s">
        <v>379</v>
      </c>
      <c r="G349" s="179">
        <f>+Rates!D51</f>
        <v>70.58</v>
      </c>
      <c r="H349" s="177"/>
      <c r="I349" s="177">
        <f>+G349*E349</f>
        <v>0</v>
      </c>
      <c r="J349" s="177"/>
      <c r="K349" s="173"/>
      <c r="L349" s="157">
        <f t="shared" si="51"/>
        <v>0</v>
      </c>
      <c r="M349" s="177" t="s">
        <v>379</v>
      </c>
      <c r="N349" s="179">
        <f>+G349*(1+$V$5)</f>
        <v>71.154636215908141</v>
      </c>
      <c r="O349" s="177"/>
      <c r="P349" s="177">
        <f>+N349*L349</f>
        <v>0</v>
      </c>
      <c r="Q349" s="177"/>
      <c r="R349" s="177">
        <f t="shared" si="49"/>
        <v>0</v>
      </c>
      <c r="S349" s="152">
        <f t="shared" si="50"/>
        <v>0</v>
      </c>
      <c r="T349" s="9"/>
    </row>
    <row r="350" spans="1:22" ht="14.1" customHeight="1" x14ac:dyDescent="0.2">
      <c r="A350" s="4">
        <v>11</v>
      </c>
      <c r="B350" s="4" t="s">
        <v>27</v>
      </c>
      <c r="E350" s="177">
        <f>SUM(E347:E349)</f>
        <v>415089</v>
      </c>
      <c r="F350" s="177" t="s">
        <v>379</v>
      </c>
      <c r="G350" s="227"/>
      <c r="I350" s="185">
        <f>SUM(I347:I349)</f>
        <v>29296981.620000001</v>
      </c>
      <c r="L350" s="177">
        <f>SUM(L347:L349)</f>
        <v>415089</v>
      </c>
      <c r="M350" s="177" t="s">
        <v>379</v>
      </c>
      <c r="N350" s="227"/>
      <c r="P350" s="185">
        <f>SUM(P347:P349)</f>
        <v>29535506.792225093</v>
      </c>
      <c r="Q350" s="177"/>
      <c r="R350" s="177">
        <f t="shared" si="49"/>
        <v>238525.17222509161</v>
      </c>
      <c r="S350" s="152">
        <f t="shared" si="50"/>
        <v>8.1416295821498206E-3</v>
      </c>
      <c r="T350" s="9"/>
      <c r="V350" s="78"/>
    </row>
    <row r="351" spans="1:22" ht="14.1" customHeight="1" x14ac:dyDescent="0.2">
      <c r="A351" s="4">
        <v>12</v>
      </c>
      <c r="E351" s="63"/>
      <c r="I351" s="212"/>
      <c r="T351" s="9"/>
    </row>
    <row r="352" spans="1:22" ht="14.1" customHeight="1" x14ac:dyDescent="0.2">
      <c r="A352" s="4">
        <v>13</v>
      </c>
      <c r="B352" s="72" t="s">
        <v>42</v>
      </c>
      <c r="E352" s="177"/>
      <c r="F352" s="177"/>
      <c r="G352" s="179"/>
      <c r="I352" s="179"/>
      <c r="M352" s="177"/>
      <c r="N352" s="179"/>
      <c r="P352" s="177"/>
      <c r="S352" s="180"/>
      <c r="T352" s="9"/>
    </row>
    <row r="353" spans="1:22" ht="14.1" customHeight="1" x14ac:dyDescent="0.2">
      <c r="A353" s="4">
        <v>14</v>
      </c>
      <c r="B353" s="43" t="s">
        <v>231</v>
      </c>
      <c r="E353" s="177">
        <f>+ROUND('ECCR Billing Determinants'!B104,0)</f>
        <v>2284913</v>
      </c>
      <c r="F353" s="177" t="s">
        <v>44</v>
      </c>
      <c r="G353" s="179">
        <f>+Rates!D62</f>
        <v>0</v>
      </c>
      <c r="H353" s="177"/>
      <c r="I353" s="177">
        <f>+G353*E353</f>
        <v>0</v>
      </c>
      <c r="J353" s="177"/>
      <c r="K353" s="173"/>
      <c r="L353" s="177">
        <f>+E353</f>
        <v>2284913</v>
      </c>
      <c r="M353" s="177" t="s">
        <v>44</v>
      </c>
      <c r="N353" s="179">
        <f>+G353*(1+$V$5)</f>
        <v>0</v>
      </c>
      <c r="O353" s="177"/>
      <c r="P353" s="177">
        <f>+N353*L353</f>
        <v>0</v>
      </c>
      <c r="Q353" s="177"/>
      <c r="R353" s="177">
        <f t="shared" ref="R353:R356" si="52">+P353-I353</f>
        <v>0</v>
      </c>
      <c r="S353" s="152">
        <f t="shared" ref="S353:S356" si="53">IF(R353=0,0,(P353-I353)/I353)</f>
        <v>0</v>
      </c>
      <c r="T353" s="9"/>
    </row>
    <row r="354" spans="1:22" ht="14.1" customHeight="1" x14ac:dyDescent="0.2">
      <c r="A354" s="4">
        <v>15</v>
      </c>
      <c r="B354" s="43" t="s">
        <v>232</v>
      </c>
      <c r="E354" s="177">
        <f>+ROUND('ECCR Billing Determinants'!B105,0)</f>
        <v>62168</v>
      </c>
      <c r="F354" s="177" t="s">
        <v>44</v>
      </c>
      <c r="G354" s="179">
        <f>+Rates!D63</f>
        <v>0</v>
      </c>
      <c r="H354" s="177"/>
      <c r="I354" s="177">
        <f>+G354*E354</f>
        <v>0</v>
      </c>
      <c r="J354" s="177"/>
      <c r="K354" s="173"/>
      <c r="L354" s="177">
        <f t="shared" ref="L354:L355" si="54">+E354</f>
        <v>62168</v>
      </c>
      <c r="M354" s="177" t="s">
        <v>44</v>
      </c>
      <c r="N354" s="179">
        <f>+G354*(1+$V$5)</f>
        <v>0</v>
      </c>
      <c r="O354" s="177"/>
      <c r="P354" s="177">
        <f>+N354*L354</f>
        <v>0</v>
      </c>
      <c r="Q354" s="177"/>
      <c r="R354" s="177">
        <f t="shared" si="52"/>
        <v>0</v>
      </c>
      <c r="S354" s="152">
        <f t="shared" si="53"/>
        <v>0</v>
      </c>
      <c r="T354" s="9"/>
    </row>
    <row r="355" spans="1:22" ht="14.1" customHeight="1" x14ac:dyDescent="0.2">
      <c r="A355" s="4">
        <v>16</v>
      </c>
      <c r="B355" s="43" t="s">
        <v>581</v>
      </c>
      <c r="E355" s="157">
        <f>+ROUND('ECCR Billing Determinants'!B106,0)</f>
        <v>0</v>
      </c>
      <c r="F355" s="177" t="s">
        <v>44</v>
      </c>
      <c r="G355" s="179">
        <f>+Rates!D64</f>
        <v>0</v>
      </c>
      <c r="H355" s="177"/>
      <c r="I355" s="181">
        <f>+G355*E355</f>
        <v>0</v>
      </c>
      <c r="J355" s="177"/>
      <c r="K355" s="173"/>
      <c r="L355" s="157">
        <f t="shared" si="54"/>
        <v>0</v>
      </c>
      <c r="M355" s="177" t="s">
        <v>44</v>
      </c>
      <c r="N355" s="179">
        <f>+G355*(1+$V$5)</f>
        <v>0</v>
      </c>
      <c r="O355" s="177"/>
      <c r="P355" s="181">
        <f>+N355*L355</f>
        <v>0</v>
      </c>
      <c r="Q355" s="177"/>
      <c r="R355" s="177">
        <f t="shared" si="52"/>
        <v>0</v>
      </c>
      <c r="S355" s="152">
        <f t="shared" si="53"/>
        <v>0</v>
      </c>
      <c r="T355" s="9"/>
    </row>
    <row r="356" spans="1:22" ht="14.1" customHeight="1" x14ac:dyDescent="0.2">
      <c r="A356" s="4">
        <v>17</v>
      </c>
      <c r="B356" s="186" t="s">
        <v>27</v>
      </c>
      <c r="E356" s="177">
        <f>SUM(E353:E355)</f>
        <v>2347081</v>
      </c>
      <c r="F356" s="177" t="s">
        <v>44</v>
      </c>
      <c r="G356" s="179"/>
      <c r="I356" s="181">
        <f>SUM(I353:I355)</f>
        <v>0</v>
      </c>
      <c r="L356" s="177">
        <f>SUM(L353:L355)</f>
        <v>2347081</v>
      </c>
      <c r="M356" s="177"/>
      <c r="N356" s="179"/>
      <c r="P356" s="181">
        <f>SUM(P353:P355)</f>
        <v>0</v>
      </c>
      <c r="R356" s="177">
        <f t="shared" si="52"/>
        <v>0</v>
      </c>
      <c r="S356" s="152">
        <f t="shared" si="53"/>
        <v>0</v>
      </c>
      <c r="T356" s="9"/>
      <c r="V356" s="78"/>
    </row>
    <row r="357" spans="1:22" ht="14.1" customHeight="1" x14ac:dyDescent="0.2">
      <c r="A357" s="4">
        <v>18</v>
      </c>
      <c r="E357" s="191"/>
      <c r="F357" s="177"/>
      <c r="G357" s="179"/>
      <c r="H357" s="177"/>
      <c r="I357" s="179"/>
      <c r="J357" s="177"/>
      <c r="K357" s="173"/>
      <c r="L357" s="177"/>
      <c r="M357" s="177"/>
      <c r="N357" s="179"/>
      <c r="O357" s="177"/>
      <c r="P357" s="177"/>
      <c r="S357" s="180"/>
    </row>
    <row r="358" spans="1:22" ht="14.1" customHeight="1" x14ac:dyDescent="0.2">
      <c r="A358" s="4">
        <v>19</v>
      </c>
      <c r="B358" s="186" t="s">
        <v>597</v>
      </c>
      <c r="E358" s="177"/>
      <c r="F358" s="177"/>
      <c r="G358" s="179"/>
      <c r="I358" s="179"/>
      <c r="L358" s="177"/>
      <c r="M358" s="177"/>
      <c r="N358" s="179"/>
      <c r="P358" s="177"/>
      <c r="S358" s="180"/>
    </row>
    <row r="359" spans="1:22" ht="14.1" customHeight="1" x14ac:dyDescent="0.2">
      <c r="A359" s="4">
        <v>20</v>
      </c>
      <c r="B359" s="43" t="s">
        <v>232</v>
      </c>
      <c r="C359" s="188"/>
      <c r="D359" s="9"/>
      <c r="E359" s="177">
        <f>+ROUND('ECCR Billing Determinants'!B97/1000,0)</f>
        <v>3337</v>
      </c>
      <c r="F359" s="177" t="s">
        <v>379</v>
      </c>
      <c r="G359" s="227">
        <f>+Rates!D81</f>
        <v>-1.2234700620305061</v>
      </c>
      <c r="H359" s="177"/>
      <c r="I359" s="177">
        <f>+E359*G359</f>
        <v>-4082.7195969957988</v>
      </c>
      <c r="J359" s="177"/>
      <c r="K359" s="173"/>
      <c r="L359" s="177">
        <f>+E359</f>
        <v>3337</v>
      </c>
      <c r="M359" s="177" t="s">
        <v>379</v>
      </c>
      <c r="N359" s="179">
        <f>+G359*(1+$V$5)</f>
        <v>-1.2334311020804085</v>
      </c>
      <c r="O359" s="177"/>
      <c r="P359" s="177">
        <f>+L359*N359</f>
        <v>-4115.9595876423236</v>
      </c>
      <c r="Q359" s="177"/>
      <c r="R359" s="177">
        <f t="shared" ref="R359:R361" si="55">+P359-I359</f>
        <v>-33.239990646524802</v>
      </c>
      <c r="S359" s="152">
        <f t="shared" ref="S359:S361" si="56">IF(R359=0,0,(P359-I359)/I359)</f>
        <v>8.1416295821500687E-3</v>
      </c>
    </row>
    <row r="360" spans="1:22" ht="14.1" customHeight="1" x14ac:dyDescent="0.35">
      <c r="A360" s="4">
        <v>21</v>
      </c>
      <c r="B360" s="43" t="s">
        <v>581</v>
      </c>
      <c r="C360" s="188"/>
      <c r="D360" s="9"/>
      <c r="E360" s="157">
        <f>+ROUND('ECCR Billing Determinants'!B98/1000,0)</f>
        <v>0</v>
      </c>
      <c r="F360" s="177" t="s">
        <v>379</v>
      </c>
      <c r="G360" s="227">
        <f>+Rates!D82</f>
        <v>-5.2344030896579916</v>
      </c>
      <c r="H360" s="177"/>
      <c r="I360" s="237">
        <f>+E360*G360</f>
        <v>0</v>
      </c>
      <c r="J360" s="177"/>
      <c r="K360" s="173"/>
      <c r="L360" s="157">
        <f t="shared" ref="L360" si="57">+E360</f>
        <v>0</v>
      </c>
      <c r="M360" s="177" t="s">
        <v>379</v>
      </c>
      <c r="N360" s="179">
        <f>+G360*(1+$V$5)</f>
        <v>-5.2770196606976478</v>
      </c>
      <c r="O360" s="177"/>
      <c r="P360" s="237">
        <f>+L360*N360</f>
        <v>0</v>
      </c>
      <c r="Q360" s="177"/>
      <c r="R360" s="177">
        <f t="shared" si="55"/>
        <v>0</v>
      </c>
      <c r="S360" s="152">
        <f t="shared" si="56"/>
        <v>0</v>
      </c>
    </row>
    <row r="361" spans="1:22" ht="14.1" customHeight="1" x14ac:dyDescent="0.2">
      <c r="A361" s="4">
        <v>22</v>
      </c>
      <c r="B361" s="22" t="s">
        <v>27</v>
      </c>
      <c r="E361" s="177">
        <f>SUM(E359:E360)</f>
        <v>3337</v>
      </c>
      <c r="F361" s="177" t="s">
        <v>379</v>
      </c>
      <c r="G361" s="179"/>
      <c r="I361" s="181">
        <f>SUM(I359:I360)</f>
        <v>-4082.7195969957988</v>
      </c>
      <c r="L361" s="177">
        <f>SUM(L359:L360)</f>
        <v>3337</v>
      </c>
      <c r="M361" s="177" t="s">
        <v>379</v>
      </c>
      <c r="N361" s="179"/>
      <c r="P361" s="181">
        <f>SUM(P359:P360)</f>
        <v>-4115.9595876423236</v>
      </c>
      <c r="Q361" s="177"/>
      <c r="R361" s="177">
        <f t="shared" si="55"/>
        <v>-33.239990646524802</v>
      </c>
      <c r="S361" s="152">
        <f t="shared" si="56"/>
        <v>8.1416295821500687E-3</v>
      </c>
      <c r="V361" s="78"/>
    </row>
    <row r="362" spans="1:22" ht="14.1" customHeight="1" x14ac:dyDescent="0.2">
      <c r="A362" s="4">
        <v>23</v>
      </c>
      <c r="I362" s="212"/>
    </row>
    <row r="363" spans="1:22" ht="14.1" customHeight="1" x14ac:dyDescent="0.2">
      <c r="A363" s="4">
        <v>24</v>
      </c>
      <c r="B363" s="4" t="s">
        <v>220</v>
      </c>
      <c r="I363" s="212"/>
      <c r="K363" s="4"/>
      <c r="S363" s="180"/>
    </row>
    <row r="364" spans="1:22" ht="14.1" customHeight="1" x14ac:dyDescent="0.2">
      <c r="A364" s="4">
        <v>25</v>
      </c>
      <c r="B364" s="43" t="s">
        <v>231</v>
      </c>
      <c r="C364" s="219"/>
      <c r="E364" s="177">
        <f>+ROUND('ECCR Billing Determinants'!B100/1000,0)</f>
        <v>20630</v>
      </c>
      <c r="F364" s="177" t="s">
        <v>379</v>
      </c>
      <c r="G364" s="227">
        <f>+Rates!D89</f>
        <v>1.7</v>
      </c>
      <c r="H364" s="182"/>
      <c r="I364" s="177">
        <f>+E364*G364</f>
        <v>35071</v>
      </c>
      <c r="J364" s="177"/>
      <c r="K364" s="173"/>
      <c r="L364" s="177">
        <f>+E364</f>
        <v>20630</v>
      </c>
      <c r="M364" s="177" t="s">
        <v>379</v>
      </c>
      <c r="N364" s="179">
        <f>+G364*(1+$V$5)</f>
        <v>1.7138407702896548</v>
      </c>
      <c r="O364" s="177"/>
      <c r="P364" s="177">
        <f>+L364*N364</f>
        <v>35356.535091075581</v>
      </c>
      <c r="Q364" s="177"/>
      <c r="R364" s="177">
        <f t="shared" ref="R364:R367" si="58">+P364-I364</f>
        <v>285.53509107558057</v>
      </c>
      <c r="S364" s="152">
        <f t="shared" ref="S364:S367" si="59">IF(R364=0,0,(P364-I364)/I364)</f>
        <v>8.1416295821499403E-3</v>
      </c>
    </row>
    <row r="365" spans="1:22" ht="14.1" customHeight="1" x14ac:dyDescent="0.2">
      <c r="A365" s="4">
        <v>26</v>
      </c>
      <c r="B365" s="43" t="s">
        <v>232</v>
      </c>
      <c r="C365" s="219"/>
      <c r="E365" s="158">
        <f>+ROUND('ECCR Billing Determinants'!B101/1000,0)</f>
        <v>0</v>
      </c>
      <c r="F365" s="177" t="s">
        <v>379</v>
      </c>
      <c r="G365" s="227">
        <f>+Rates!D90</f>
        <v>1.7</v>
      </c>
      <c r="H365" s="182"/>
      <c r="I365" s="177">
        <f>+E365*G365</f>
        <v>0</v>
      </c>
      <c r="J365" s="9"/>
      <c r="K365" s="149"/>
      <c r="L365" s="158">
        <f t="shared" ref="L365:L366" si="60">+E365</f>
        <v>0</v>
      </c>
      <c r="M365" s="177" t="s">
        <v>379</v>
      </c>
      <c r="N365" s="179">
        <f>+G365*(1+$V$5)</f>
        <v>1.7138407702896548</v>
      </c>
      <c r="P365" s="177">
        <f>+L365*N365</f>
        <v>0</v>
      </c>
      <c r="R365" s="177">
        <f t="shared" si="58"/>
        <v>0</v>
      </c>
      <c r="S365" s="152">
        <f t="shared" si="59"/>
        <v>0</v>
      </c>
    </row>
    <row r="366" spans="1:22" ht="14.1" customHeight="1" x14ac:dyDescent="0.35">
      <c r="A366" s="4">
        <v>27</v>
      </c>
      <c r="B366" s="43" t="s">
        <v>581</v>
      </c>
      <c r="C366" s="219"/>
      <c r="E366" s="157">
        <f>+ROUND('ECCR Billing Determinants'!B102/1000,0)</f>
        <v>0</v>
      </c>
      <c r="F366" s="177" t="s">
        <v>379</v>
      </c>
      <c r="G366" s="227">
        <f>+Rates!D91</f>
        <v>1.7</v>
      </c>
      <c r="H366" s="182"/>
      <c r="I366" s="237">
        <f>+E366*G366</f>
        <v>0</v>
      </c>
      <c r="J366" s="9"/>
      <c r="K366" s="149"/>
      <c r="L366" s="157">
        <f t="shared" si="60"/>
        <v>0</v>
      </c>
      <c r="M366" s="177" t="s">
        <v>379</v>
      </c>
      <c r="N366" s="179">
        <f>+G366*(1+$V$5)</f>
        <v>1.7138407702896548</v>
      </c>
      <c r="P366" s="237">
        <f>+L366*N366</f>
        <v>0</v>
      </c>
      <c r="R366" s="177">
        <f t="shared" si="58"/>
        <v>0</v>
      </c>
      <c r="S366" s="152">
        <f t="shared" si="59"/>
        <v>0</v>
      </c>
    </row>
    <row r="367" spans="1:22" ht="14.1" customHeight="1" x14ac:dyDescent="0.2">
      <c r="A367" s="4">
        <v>28</v>
      </c>
      <c r="B367" s="186" t="s">
        <v>27</v>
      </c>
      <c r="E367" s="177">
        <f>SUM(E364:E366)</f>
        <v>20630</v>
      </c>
      <c r="F367" s="177" t="s">
        <v>379</v>
      </c>
      <c r="G367" s="179"/>
      <c r="I367" s="181">
        <f>SUM(I364:I366)</f>
        <v>35071</v>
      </c>
      <c r="L367" s="177">
        <f>SUM(L364:L366)</f>
        <v>20630</v>
      </c>
      <c r="M367" s="177" t="s">
        <v>379</v>
      </c>
      <c r="N367" s="179"/>
      <c r="P367" s="181">
        <f>SUM(P364:P366)</f>
        <v>35356.535091075581</v>
      </c>
      <c r="R367" s="177">
        <f t="shared" si="58"/>
        <v>285.53509107558057</v>
      </c>
      <c r="S367" s="152">
        <f t="shared" si="59"/>
        <v>8.1416295821499403E-3</v>
      </c>
      <c r="V367" s="78"/>
    </row>
    <row r="368" spans="1:22" ht="14.1" customHeight="1" x14ac:dyDescent="0.2">
      <c r="A368" s="4">
        <v>29</v>
      </c>
      <c r="I368" s="212"/>
    </row>
    <row r="369" spans="1:24" ht="14.1" customHeight="1" x14ac:dyDescent="0.2">
      <c r="A369" s="4">
        <v>30</v>
      </c>
      <c r="B369" s="186"/>
      <c r="D369" s="9"/>
      <c r="E369" s="183"/>
      <c r="F369" s="177"/>
      <c r="G369" s="227"/>
      <c r="I369" s="179"/>
      <c r="L369" s="183"/>
      <c r="M369" s="177"/>
      <c r="N369" s="227"/>
      <c r="P369" s="177"/>
      <c r="Q369" s="177"/>
      <c r="R369" s="177"/>
      <c r="W369" s="78"/>
      <c r="X369" s="78"/>
    </row>
    <row r="370" spans="1:24" ht="14.1" customHeight="1" x14ac:dyDescent="0.2">
      <c r="A370" s="4">
        <v>31</v>
      </c>
      <c r="B370" s="43"/>
      <c r="E370" s="177"/>
      <c r="F370" s="177"/>
      <c r="G370" s="159"/>
      <c r="H370" s="177"/>
      <c r="I370" s="177"/>
      <c r="J370" s="183"/>
      <c r="K370" s="173"/>
      <c r="L370" s="177"/>
      <c r="M370" s="177"/>
      <c r="N370" s="178"/>
      <c r="O370" s="177"/>
      <c r="P370" s="177"/>
      <c r="R370" s="177"/>
      <c r="S370" s="152"/>
    </row>
    <row r="371" spans="1:24" ht="14.1" customHeight="1" thickBot="1" x14ac:dyDescent="0.25">
      <c r="A371" s="4">
        <v>32</v>
      </c>
      <c r="B371" s="45" t="s">
        <v>50</v>
      </c>
      <c r="E371" s="5"/>
      <c r="I371" s="247">
        <f>+I372+I367+I361+I356+I350+I344</f>
        <v>30064656.42585035</v>
      </c>
      <c r="J371" s="47"/>
      <c r="K371" s="73"/>
      <c r="L371" s="226"/>
      <c r="M371" s="226"/>
      <c r="N371" s="243"/>
      <c r="O371" s="226"/>
      <c r="P371" s="247">
        <f>+P372+P367+P361+P356+P350+P344+P375</f>
        <v>30309431.72198423</v>
      </c>
      <c r="R371" s="177">
        <f>+P371-I371</f>
        <v>244775.29613387957</v>
      </c>
      <c r="S371" s="152">
        <f>IF(R371=0,0,(P371-I371)/I371)</f>
        <v>8.1416295821500097E-3</v>
      </c>
    </row>
    <row r="372" spans="1:24" ht="14.1" customHeight="1" thickTop="1" x14ac:dyDescent="0.2">
      <c r="A372" s="4">
        <v>33</v>
      </c>
      <c r="B372" s="22"/>
      <c r="E372" s="183"/>
      <c r="F372" s="177"/>
      <c r="G372" s="178"/>
      <c r="I372" s="212"/>
      <c r="L372" s="183"/>
      <c r="M372" s="177"/>
      <c r="N372" s="178"/>
      <c r="R372" s="177"/>
      <c r="S372" s="152"/>
      <c r="V372" s="78"/>
    </row>
    <row r="373" spans="1:24" ht="14.1" customHeight="1" x14ac:dyDescent="0.2">
      <c r="A373" s="4">
        <v>34</v>
      </c>
      <c r="I373" s="212"/>
    </row>
    <row r="374" spans="1:24" ht="14.1" customHeight="1" x14ac:dyDescent="0.2">
      <c r="A374" s="4">
        <v>35</v>
      </c>
      <c r="K374" s="4"/>
    </row>
    <row r="375" spans="1:24" ht="14.1" customHeight="1" x14ac:dyDescent="0.2">
      <c r="A375" s="4">
        <v>36</v>
      </c>
    </row>
    <row r="376" spans="1:24" ht="14.1" customHeight="1" x14ac:dyDescent="0.2">
      <c r="A376" s="4">
        <v>37</v>
      </c>
    </row>
    <row r="377" spans="1:24" ht="14.1" customHeight="1" x14ac:dyDescent="0.2">
      <c r="A377" s="4">
        <v>38</v>
      </c>
      <c r="K377" s="4"/>
      <c r="V377" s="78"/>
    </row>
    <row r="378" spans="1:24" ht="14.1" customHeight="1" thickBot="1" x14ac:dyDescent="0.25">
      <c r="A378" s="16">
        <v>39</v>
      </c>
      <c r="B378" s="107"/>
      <c r="C378" s="16"/>
      <c r="D378" s="16"/>
      <c r="E378" s="16"/>
      <c r="F378" s="16"/>
      <c r="G378" s="16"/>
      <c r="H378" s="16"/>
      <c r="I378" s="16"/>
      <c r="J378" s="16"/>
      <c r="K378" s="151"/>
      <c r="L378" s="16"/>
      <c r="M378" s="16"/>
      <c r="N378" s="16"/>
      <c r="O378" s="16"/>
      <c r="P378" s="16"/>
      <c r="Q378" s="16"/>
      <c r="R378" s="16"/>
      <c r="S378" s="16"/>
    </row>
    <row r="379" spans="1:24" ht="14.1" customHeight="1" x14ac:dyDescent="0.2">
      <c r="S379" s="4" t="s">
        <v>219</v>
      </c>
    </row>
    <row r="380" spans="1:24" ht="14.1" customHeight="1" x14ac:dyDescent="0.2">
      <c r="H380" s="292" t="s">
        <v>768</v>
      </c>
      <c r="I380" s="292"/>
      <c r="J380" s="292"/>
      <c r="K380" s="292"/>
      <c r="L380" s="292"/>
    </row>
    <row r="381" spans="1:24" ht="12.75" customHeight="1" thickBot="1" x14ac:dyDescent="0.25">
      <c r="A381" s="16" t="s">
        <v>7</v>
      </c>
      <c r="B381" s="16"/>
      <c r="C381" s="16"/>
      <c r="D381" s="16"/>
      <c r="E381" s="16"/>
      <c r="F381" s="16"/>
      <c r="G381" s="16"/>
      <c r="H381" s="301" t="s">
        <v>380</v>
      </c>
      <c r="I381" s="301"/>
      <c r="J381" s="301"/>
      <c r="K381" s="301"/>
      <c r="L381" s="301"/>
      <c r="M381" s="16"/>
      <c r="N381" s="16"/>
      <c r="O381" s="16"/>
      <c r="P381" s="16"/>
      <c r="Q381" s="16"/>
      <c r="R381" s="16"/>
      <c r="S381" s="150" t="str">
        <f>"Page " &amp; INT(ROW()/$R$1 +1)  &amp; "  of " &amp; S$1</f>
        <v>Page 8  of 19</v>
      </c>
    </row>
    <row r="382" spans="1:24" ht="14.1" customHeight="1" x14ac:dyDescent="0.2">
      <c r="A382" s="4" t="s">
        <v>21</v>
      </c>
      <c r="E382" s="4" t="s">
        <v>761</v>
      </c>
      <c r="G382" s="4" t="s">
        <v>766</v>
      </c>
      <c r="K382" s="285"/>
      <c r="L382" s="56"/>
      <c r="N382" s="56"/>
      <c r="O382" s="56"/>
      <c r="P382" s="56" t="s">
        <v>663</v>
      </c>
      <c r="S382" s="22"/>
    </row>
    <row r="383" spans="1:24" ht="14.1" customHeight="1" x14ac:dyDescent="0.2">
      <c r="G383" s="4" t="s">
        <v>767</v>
      </c>
      <c r="K383" s="284"/>
      <c r="L383" s="22"/>
      <c r="O383" s="21"/>
      <c r="P383" s="21"/>
      <c r="Q383" s="22" t="s">
        <v>764</v>
      </c>
      <c r="S383" s="21"/>
    </row>
    <row r="384" spans="1:24" ht="14.1" customHeight="1" x14ac:dyDescent="0.2">
      <c r="A384" s="4" t="s">
        <v>29</v>
      </c>
      <c r="G384" s="4" t="s">
        <v>770</v>
      </c>
      <c r="K384" s="284"/>
      <c r="L384" s="22"/>
      <c r="M384" s="21"/>
      <c r="P384" s="21"/>
      <c r="Q384" s="22" t="s">
        <v>765</v>
      </c>
      <c r="S384" s="21"/>
    </row>
    <row r="385" spans="1:19" ht="14.1" customHeight="1" x14ac:dyDescent="0.2">
      <c r="G385" s="4" t="s">
        <v>769</v>
      </c>
      <c r="K385" s="284"/>
      <c r="L385" s="22"/>
      <c r="M385" s="21"/>
      <c r="P385" s="21"/>
      <c r="Q385" s="22"/>
      <c r="S385" s="21"/>
    </row>
    <row r="386" spans="1:19" ht="14.1" customHeight="1" x14ac:dyDescent="0.2">
      <c r="C386" s="21"/>
      <c r="H386" s="10"/>
      <c r="I386" s="10"/>
      <c r="J386" s="10"/>
      <c r="K386" s="284"/>
      <c r="Q386" s="4" t="s">
        <v>738</v>
      </c>
    </row>
    <row r="387" spans="1:19" ht="14.1" customHeight="1" thickBot="1" x14ac:dyDescent="0.25">
      <c r="A387" s="16"/>
      <c r="B387" s="16"/>
      <c r="C387" s="150"/>
      <c r="D387" s="101"/>
      <c r="E387" s="101"/>
      <c r="F387" s="101"/>
      <c r="G387" s="102"/>
      <c r="H387" s="101"/>
      <c r="I387" s="101"/>
      <c r="J387" s="101"/>
      <c r="K387" s="101"/>
      <c r="L387" s="101"/>
      <c r="M387" s="101"/>
      <c r="N387" s="101"/>
      <c r="O387" s="101"/>
      <c r="P387" s="101"/>
      <c r="Q387" s="101"/>
      <c r="R387" s="101"/>
      <c r="S387" s="101"/>
    </row>
    <row r="388" spans="1:19" ht="14.1" customHeight="1" x14ac:dyDescent="0.2">
      <c r="E388" s="10"/>
      <c r="G388" s="10"/>
      <c r="H388" s="103"/>
      <c r="I388" s="10"/>
      <c r="K388" s="10"/>
      <c r="M388" s="103"/>
    </row>
    <row r="389" spans="1:19" ht="14.1" customHeight="1" x14ac:dyDescent="0.2">
      <c r="A389" s="9"/>
      <c r="B389" s="92"/>
      <c r="C389" s="92"/>
      <c r="D389" s="1"/>
      <c r="E389" s="39"/>
      <c r="F389" s="1"/>
      <c r="G389" s="1"/>
      <c r="H389" s="39"/>
      <c r="I389" s="1"/>
      <c r="J389" s="1"/>
      <c r="K389" s="3"/>
      <c r="L389" s="1"/>
      <c r="M389" s="39"/>
      <c r="N389" s="1"/>
      <c r="O389" s="1"/>
      <c r="P389" s="1"/>
      <c r="Q389" s="1"/>
      <c r="R389" s="1"/>
      <c r="S389" s="1"/>
    </row>
    <row r="390" spans="1:19" ht="14.1" customHeight="1" x14ac:dyDescent="0.2">
      <c r="A390" s="9"/>
      <c r="B390" s="92"/>
      <c r="C390" s="1"/>
      <c r="D390" s="1"/>
      <c r="E390" s="1"/>
      <c r="F390" s="39"/>
      <c r="G390" s="39"/>
      <c r="H390" s="40"/>
      <c r="I390" s="40" t="s">
        <v>14</v>
      </c>
      <c r="J390" s="3"/>
      <c r="K390" s="41" t="s">
        <v>675</v>
      </c>
      <c r="L390" s="39"/>
      <c r="M390" s="1"/>
      <c r="N390" s="39"/>
      <c r="O390" s="39"/>
      <c r="P390" s="39"/>
      <c r="Q390" s="39"/>
      <c r="R390" s="39"/>
      <c r="S390" s="1"/>
    </row>
    <row r="391" spans="1:19" ht="14.1" customHeight="1" x14ac:dyDescent="0.2">
      <c r="A391" s="9"/>
      <c r="B391" s="92"/>
      <c r="C391" s="1"/>
      <c r="D391" s="1"/>
      <c r="E391" s="1"/>
      <c r="F391" s="39"/>
      <c r="G391" s="39"/>
      <c r="H391" s="39"/>
      <c r="I391" s="39"/>
      <c r="J391" s="39"/>
      <c r="K391" s="3"/>
      <c r="L391" s="39"/>
      <c r="M391" s="39"/>
      <c r="N391" s="39"/>
      <c r="O391" s="39"/>
      <c r="P391" s="39"/>
      <c r="Q391" s="39"/>
      <c r="R391" s="39"/>
      <c r="S391" s="39"/>
    </row>
    <row r="392" spans="1:19" ht="14.1" customHeight="1" x14ac:dyDescent="0.2">
      <c r="A392" s="149" t="s">
        <v>26</v>
      </c>
      <c r="B392" s="176" t="s">
        <v>5</v>
      </c>
      <c r="C392" s="216"/>
      <c r="D392" s="213"/>
      <c r="E392" s="192"/>
      <c r="F392" s="192"/>
      <c r="G392" s="267" t="s">
        <v>8</v>
      </c>
      <c r="H392" s="192"/>
      <c r="I392" s="192"/>
      <c r="J392" s="216"/>
      <c r="K392" s="187"/>
      <c r="L392" s="192"/>
      <c r="M392" s="267"/>
      <c r="N392" s="267" t="s">
        <v>9</v>
      </c>
      <c r="O392" s="192"/>
      <c r="P392" s="192"/>
      <c r="Q392" s="216"/>
      <c r="R392" s="290" t="s">
        <v>750</v>
      </c>
      <c r="S392" s="290" t="s">
        <v>752</v>
      </c>
    </row>
    <row r="393" spans="1:19" ht="14.1" customHeight="1" thickBot="1" x14ac:dyDescent="0.25">
      <c r="A393" s="151" t="s">
        <v>28</v>
      </c>
      <c r="B393" s="175" t="s">
        <v>10</v>
      </c>
      <c r="C393" s="215"/>
      <c r="D393" s="44"/>
      <c r="E393" s="151" t="s">
        <v>11</v>
      </c>
      <c r="F393" s="194"/>
      <c r="G393" s="194" t="s">
        <v>12</v>
      </c>
      <c r="H393" s="194"/>
      <c r="I393" s="194" t="s">
        <v>13</v>
      </c>
      <c r="J393" s="194"/>
      <c r="K393" s="194"/>
      <c r="L393" s="194" t="s">
        <v>11</v>
      </c>
      <c r="M393" s="194"/>
      <c r="N393" s="194" t="s">
        <v>12</v>
      </c>
      <c r="O393" s="194"/>
      <c r="P393" s="194" t="s">
        <v>13</v>
      </c>
      <c r="Q393" s="215"/>
      <c r="R393" s="291" t="s">
        <v>751</v>
      </c>
      <c r="S393" s="291" t="s">
        <v>4</v>
      </c>
    </row>
    <row r="394" spans="1:19" ht="14.1" customHeight="1" x14ac:dyDescent="0.2">
      <c r="A394" s="4">
        <v>1</v>
      </c>
      <c r="B394" s="186" t="s">
        <v>393</v>
      </c>
      <c r="C394" s="186"/>
      <c r="F394" s="177"/>
      <c r="G394" s="177"/>
      <c r="H394" s="177"/>
      <c r="I394" s="177"/>
      <c r="J394" s="183"/>
      <c r="K394" s="173"/>
      <c r="L394" s="183"/>
      <c r="M394" s="177"/>
      <c r="N394" s="177"/>
      <c r="O394" s="177"/>
      <c r="P394" s="177"/>
      <c r="Q394" s="177"/>
      <c r="R394" s="177"/>
      <c r="S394" s="177"/>
    </row>
    <row r="395" spans="1:19" ht="14.1" customHeight="1" x14ac:dyDescent="0.2">
      <c r="A395" s="4">
        <v>2</v>
      </c>
      <c r="B395" s="186" t="s">
        <v>70</v>
      </c>
      <c r="E395" s="177">
        <f>+'ECCR Billing Determinants'!C218</f>
        <v>7668.3458333333338</v>
      </c>
      <c r="F395" s="177" t="s">
        <v>611</v>
      </c>
      <c r="G395" s="179">
        <f>+Rates!D198</f>
        <v>19.359856399905436</v>
      </c>
      <c r="H395" s="177"/>
      <c r="I395" s="177">
        <f>E395*G395</f>
        <v>148458.07415814651</v>
      </c>
      <c r="K395" s="149"/>
      <c r="L395" s="177">
        <f>+E395</f>
        <v>7668.3458333333338</v>
      </c>
      <c r="M395" s="177" t="s">
        <v>611</v>
      </c>
      <c r="N395" s="179">
        <f>+G395*(1+$V$5)</f>
        <v>19.51747717947708</v>
      </c>
      <c r="O395" s="177"/>
      <c r="P395" s="177">
        <f>L395*N395</f>
        <v>149666.7648064215</v>
      </c>
      <c r="Q395" s="177"/>
      <c r="R395" s="177">
        <f t="shared" ref="R395:R397" si="61">+P395-I395</f>
        <v>1208.690648274991</v>
      </c>
      <c r="S395" s="152">
        <f t="shared" ref="S395:S397" si="62">IF(R395=0,0,(P395-I395)/I395)</f>
        <v>8.1416295821500461E-3</v>
      </c>
    </row>
    <row r="396" spans="1:19" ht="14.1" customHeight="1" x14ac:dyDescent="0.35">
      <c r="A396" s="4">
        <v>3</v>
      </c>
      <c r="B396" s="4" t="s">
        <v>223</v>
      </c>
      <c r="E396" s="237">
        <f>+'ECCR Billing Determinants'!C234</f>
        <v>12167.579166666666</v>
      </c>
      <c r="F396" s="177" t="s">
        <v>611</v>
      </c>
      <c r="G396" s="179">
        <f>+Rates!D199</f>
        <v>19.359856399905436</v>
      </c>
      <c r="I396" s="237">
        <f>E396*G396</f>
        <v>235562.58540114772</v>
      </c>
      <c r="L396" s="237">
        <f t="shared" ref="L396" si="63">+E396</f>
        <v>12167.579166666666</v>
      </c>
      <c r="M396" s="177" t="s">
        <v>611</v>
      </c>
      <c r="N396" s="179">
        <f>+G396*(1+$V$5)</f>
        <v>19.51747717947708</v>
      </c>
      <c r="P396" s="237">
        <f>L396*N396</f>
        <v>237480.44871489741</v>
      </c>
      <c r="Q396" s="177"/>
      <c r="R396" s="177">
        <f t="shared" si="61"/>
        <v>1917.8633137496945</v>
      </c>
      <c r="S396" s="152">
        <f t="shared" si="62"/>
        <v>8.1416295821498917E-3</v>
      </c>
    </row>
    <row r="397" spans="1:19" ht="14.1" customHeight="1" x14ac:dyDescent="0.2">
      <c r="A397" s="4">
        <v>4</v>
      </c>
      <c r="B397" s="219" t="s">
        <v>27</v>
      </c>
      <c r="E397" s="183">
        <f>SUM(E395:E396)</f>
        <v>19835.924999999999</v>
      </c>
      <c r="F397" s="177" t="s">
        <v>612</v>
      </c>
      <c r="G397" s="179"/>
      <c r="H397" s="177"/>
      <c r="I397" s="181">
        <f>SUM(I395:I396)</f>
        <v>384020.65955929423</v>
      </c>
      <c r="J397" s="177"/>
      <c r="K397" s="173"/>
      <c r="L397" s="183">
        <f>SUM(L395:L396)</f>
        <v>19835.924999999999</v>
      </c>
      <c r="M397" s="177" t="s">
        <v>612</v>
      </c>
      <c r="N397" s="179"/>
      <c r="O397" s="177"/>
      <c r="P397" s="181">
        <f>SUM(P395:P396)</f>
        <v>387147.21352131892</v>
      </c>
      <c r="Q397" s="177"/>
      <c r="R397" s="177">
        <f t="shared" si="61"/>
        <v>3126.5539620246855</v>
      </c>
      <c r="S397" s="152">
        <f t="shared" si="62"/>
        <v>8.1416295821499507E-3</v>
      </c>
    </row>
    <row r="398" spans="1:19" ht="14.1" customHeight="1" x14ac:dyDescent="0.2">
      <c r="A398" s="4">
        <v>5</v>
      </c>
      <c r="F398" s="177"/>
      <c r="G398" s="179"/>
      <c r="H398" s="177"/>
      <c r="I398" s="179"/>
      <c r="J398" s="183"/>
      <c r="K398" s="173"/>
      <c r="L398" s="183"/>
      <c r="M398" s="177"/>
      <c r="N398" s="179"/>
      <c r="O398" s="177"/>
      <c r="P398" s="177"/>
      <c r="Q398" s="177"/>
      <c r="R398" s="177"/>
      <c r="S398" s="180"/>
    </row>
    <row r="399" spans="1:19" ht="14.1" customHeight="1" x14ac:dyDescent="0.2">
      <c r="A399" s="4">
        <v>6</v>
      </c>
      <c r="B399" s="186" t="s">
        <v>45</v>
      </c>
      <c r="C399" s="186"/>
      <c r="F399" s="177"/>
      <c r="G399" s="177"/>
      <c r="H399" s="177"/>
      <c r="I399" s="179"/>
      <c r="J399" s="177"/>
      <c r="K399" s="173"/>
      <c r="L399" s="177"/>
      <c r="M399" s="177"/>
      <c r="N399" s="177"/>
      <c r="O399" s="177"/>
      <c r="P399" s="177"/>
      <c r="Q399" s="177"/>
      <c r="R399" s="177"/>
      <c r="S399" s="177"/>
    </row>
    <row r="400" spans="1:19" ht="14.1" customHeight="1" x14ac:dyDescent="0.2">
      <c r="A400" s="4">
        <v>7</v>
      </c>
      <c r="B400" s="186" t="s">
        <v>70</v>
      </c>
      <c r="E400" s="183">
        <f>+ROUND('ECCR Billing Determinants'!B219/1000,0)</f>
        <v>225767</v>
      </c>
      <c r="F400" s="177" t="s">
        <v>379</v>
      </c>
      <c r="G400" s="179">
        <f>+Rates!D201</f>
        <v>10.34</v>
      </c>
      <c r="H400" s="177"/>
      <c r="I400" s="177">
        <f>E400*G400</f>
        <v>2334430.7799999998</v>
      </c>
      <c r="J400" s="183"/>
      <c r="K400" s="173"/>
      <c r="L400" s="183">
        <f>+E400</f>
        <v>225767</v>
      </c>
      <c r="M400" s="177" t="s">
        <v>379</v>
      </c>
      <c r="N400" s="179">
        <f>+G400*(1+$V$5)</f>
        <v>10.42418444987943</v>
      </c>
      <c r="O400" s="177"/>
      <c r="P400" s="177">
        <f>L400*N400</f>
        <v>2353436.8506959295</v>
      </c>
      <c r="Q400" s="177"/>
      <c r="R400" s="177">
        <f t="shared" ref="R400:R403" si="64">+P400-I400</f>
        <v>19006.070695929695</v>
      </c>
      <c r="S400" s="152">
        <f t="shared" ref="S400:S403" si="65">IF(R400=0,0,(P400-I400)/I400)</f>
        <v>8.1416295821500843E-3</v>
      </c>
    </row>
    <row r="401" spans="1:19" ht="14.1" customHeight="1" x14ac:dyDescent="0.2">
      <c r="A401" s="4">
        <v>8</v>
      </c>
      <c r="B401" s="186" t="s">
        <v>77</v>
      </c>
      <c r="E401" s="183">
        <f>+ROUND('ECCR Billing Determinants'!B237/1000,0)</f>
        <v>236116</v>
      </c>
      <c r="F401" s="177" t="s">
        <v>379</v>
      </c>
      <c r="G401" s="179">
        <f>+Rates!D202</f>
        <v>15.71</v>
      </c>
      <c r="I401" s="177">
        <f t="shared" ref="I401:I402" si="66">E401*G401</f>
        <v>3709382.3600000003</v>
      </c>
      <c r="L401" s="183">
        <f t="shared" ref="L401:L402" si="67">+E401</f>
        <v>236116</v>
      </c>
      <c r="M401" s="177" t="s">
        <v>379</v>
      </c>
      <c r="N401" s="179">
        <f>+G401*(1+$V$5)</f>
        <v>15.837905000735576</v>
      </c>
      <c r="P401" s="177">
        <f t="shared" ref="P401:P402" si="68">L401*N401</f>
        <v>3739582.7771536815</v>
      </c>
      <c r="Q401" s="177"/>
      <c r="R401" s="177">
        <f t="shared" si="64"/>
        <v>30200.417153681163</v>
      </c>
      <c r="S401" s="152">
        <f t="shared" si="65"/>
        <v>8.1416295821499403E-3</v>
      </c>
    </row>
    <row r="402" spans="1:19" ht="14.1" customHeight="1" x14ac:dyDescent="0.35">
      <c r="A402" s="4">
        <v>9</v>
      </c>
      <c r="B402" s="186" t="s">
        <v>79</v>
      </c>
      <c r="C402" s="188"/>
      <c r="D402" s="186"/>
      <c r="E402" s="238">
        <f>+ROUND('ECCR Billing Determinants'!B238/1000,0)</f>
        <v>656047</v>
      </c>
      <c r="F402" s="177" t="s">
        <v>379</v>
      </c>
      <c r="G402" s="179">
        <f>+Rates!D203</f>
        <v>8.4</v>
      </c>
      <c r="H402" s="177"/>
      <c r="I402" s="237">
        <f t="shared" si="66"/>
        <v>5510794.7999999998</v>
      </c>
      <c r="J402" s="177"/>
      <c r="K402" s="173"/>
      <c r="L402" s="238">
        <f t="shared" si="67"/>
        <v>656047</v>
      </c>
      <c r="M402" s="177" t="s">
        <v>379</v>
      </c>
      <c r="N402" s="179">
        <f>+G402*(1+$V$5)</f>
        <v>8.4683896884900598</v>
      </c>
      <c r="O402" s="177"/>
      <c r="P402" s="237">
        <f t="shared" si="68"/>
        <v>5555661.6499648383</v>
      </c>
      <c r="R402" s="177">
        <f t="shared" si="64"/>
        <v>44866.849964838475</v>
      </c>
      <c r="S402" s="152">
        <f t="shared" si="65"/>
        <v>8.1416295821500149E-3</v>
      </c>
    </row>
    <row r="403" spans="1:19" ht="14.1" customHeight="1" x14ac:dyDescent="0.2">
      <c r="A403" s="4">
        <v>10</v>
      </c>
      <c r="B403" s="219" t="s">
        <v>27</v>
      </c>
      <c r="C403" s="188"/>
      <c r="D403" s="9"/>
      <c r="E403" s="177">
        <f>SUM(E400:E402)</f>
        <v>1117930</v>
      </c>
      <c r="F403" s="177" t="s">
        <v>379</v>
      </c>
      <c r="G403" s="177"/>
      <c r="H403" s="177"/>
      <c r="I403" s="181">
        <f>SUM(I400:I402)</f>
        <v>11554607.940000001</v>
      </c>
      <c r="J403" s="177"/>
      <c r="K403" s="173"/>
      <c r="L403" s="177">
        <f>SUM(L400:L402)</f>
        <v>1117930</v>
      </c>
      <c r="M403" s="177" t="s">
        <v>379</v>
      </c>
      <c r="N403" s="177"/>
      <c r="O403" s="177"/>
      <c r="P403" s="181">
        <f>SUM(P400:P402)</f>
        <v>11648681.277814448</v>
      </c>
      <c r="R403" s="177">
        <f t="shared" si="64"/>
        <v>94073.337814446539</v>
      </c>
      <c r="S403" s="152">
        <f t="shared" si="65"/>
        <v>8.1416295821497616E-3</v>
      </c>
    </row>
    <row r="404" spans="1:19" ht="14.1" customHeight="1" x14ac:dyDescent="0.2">
      <c r="A404" s="4">
        <v>11</v>
      </c>
      <c r="I404" s="212"/>
      <c r="P404" s="183"/>
      <c r="S404" s="9"/>
    </row>
    <row r="405" spans="1:19" ht="14.1" customHeight="1" x14ac:dyDescent="0.2">
      <c r="A405" s="4">
        <v>12</v>
      </c>
      <c r="B405" s="72" t="s">
        <v>42</v>
      </c>
      <c r="C405" s="188"/>
      <c r="D405" s="9"/>
      <c r="E405" s="9"/>
      <c r="F405" s="177"/>
      <c r="G405" s="177"/>
      <c r="H405" s="177"/>
      <c r="I405" s="179"/>
      <c r="J405" s="177"/>
      <c r="K405" s="173"/>
      <c r="L405" s="177"/>
      <c r="M405" s="177"/>
      <c r="N405" s="177"/>
      <c r="O405" s="177"/>
      <c r="P405" s="201"/>
      <c r="Q405" s="177"/>
      <c r="R405" s="177"/>
      <c r="S405" s="240"/>
    </row>
    <row r="406" spans="1:19" ht="14.1" customHeight="1" x14ac:dyDescent="0.2">
      <c r="A406" s="4">
        <v>13</v>
      </c>
      <c r="B406" s="186" t="s">
        <v>70</v>
      </c>
      <c r="C406" s="188"/>
      <c r="D406" s="186"/>
      <c r="E406" s="177">
        <f>+'ECCR Billing Determinants'!B220</f>
        <v>541681</v>
      </c>
      <c r="F406" s="177" t="s">
        <v>44</v>
      </c>
      <c r="G406" s="179">
        <f>+Rates!D205</f>
        <v>11.5</v>
      </c>
      <c r="H406" s="177"/>
      <c r="I406" s="177">
        <f>E406*G406</f>
        <v>6229331.5</v>
      </c>
      <c r="J406" s="177"/>
      <c r="K406" s="173"/>
      <c r="L406" s="177">
        <f>+E406</f>
        <v>541681</v>
      </c>
      <c r="M406" s="177" t="s">
        <v>44</v>
      </c>
      <c r="N406" s="179">
        <f>+G406*(1+$V$5)</f>
        <v>11.593628740194724</v>
      </c>
      <c r="O406" s="177"/>
      <c r="P406" s="177">
        <f>L406*N406</f>
        <v>6280048.4096174184</v>
      </c>
      <c r="R406" s="177">
        <f t="shared" ref="R406:R409" si="69">+P406-I406</f>
        <v>50716.909617418423</v>
      </c>
      <c r="S406" s="152">
        <f t="shared" ref="S406:S409" si="70">IF(R406=0,0,(P406-I406)/I406)</f>
        <v>8.1416295821499351E-3</v>
      </c>
    </row>
    <row r="407" spans="1:19" ht="14.1" customHeight="1" x14ac:dyDescent="0.2">
      <c r="A407" s="4">
        <v>14</v>
      </c>
      <c r="B407" s="186" t="s">
        <v>81</v>
      </c>
      <c r="E407" s="177">
        <f>+'ECCR Billing Determinants'!B239</f>
        <v>1682837</v>
      </c>
      <c r="F407" s="177" t="s">
        <v>44</v>
      </c>
      <c r="G407" s="179">
        <f>+Rates!D206</f>
        <v>3.65</v>
      </c>
      <c r="H407" s="177"/>
      <c r="I407" s="177">
        <f t="shared" ref="I407:I408" si="71">E407*G407</f>
        <v>6142355.0499999998</v>
      </c>
      <c r="J407" s="177"/>
      <c r="K407" s="173"/>
      <c r="L407" s="177">
        <f t="shared" ref="L407:L408" si="72">+E407</f>
        <v>1682837</v>
      </c>
      <c r="M407" s="177" t="s">
        <v>44</v>
      </c>
      <c r="N407" s="179">
        <f>+G407*(1+$V$5)</f>
        <v>3.6797169479748471</v>
      </c>
      <c r="O407" s="177"/>
      <c r="P407" s="177">
        <f>L407*N407</f>
        <v>6192363.8295791475</v>
      </c>
      <c r="R407" s="177">
        <f t="shared" si="69"/>
        <v>50008.779579147696</v>
      </c>
      <c r="S407" s="152">
        <f t="shared" si="70"/>
        <v>8.1416295821498796E-3</v>
      </c>
    </row>
    <row r="408" spans="1:19" ht="14.1" customHeight="1" x14ac:dyDescent="0.35">
      <c r="A408" s="4">
        <v>15</v>
      </c>
      <c r="B408" s="186" t="s">
        <v>83</v>
      </c>
      <c r="C408" s="188"/>
      <c r="D408" s="186"/>
      <c r="E408" s="237">
        <f>+'ECCR Billing Determinants'!B240</f>
        <v>1635570.8077815317</v>
      </c>
      <c r="F408" s="177" t="s">
        <v>48</v>
      </c>
      <c r="G408" s="179">
        <f>+Rates!D207</f>
        <v>7.82</v>
      </c>
      <c r="H408" s="177"/>
      <c r="I408" s="237">
        <f t="shared" si="71"/>
        <v>12790163.716851579</v>
      </c>
      <c r="J408" s="177"/>
      <c r="K408" s="173"/>
      <c r="L408" s="237">
        <f t="shared" si="72"/>
        <v>1635570.8077815317</v>
      </c>
      <c r="M408" s="177" t="s">
        <v>48</v>
      </c>
      <c r="N408" s="179">
        <f>+G408*(1+$V$5)</f>
        <v>7.8836675433324128</v>
      </c>
      <c r="O408" s="177"/>
      <c r="P408" s="237">
        <f t="shared" ref="P408" si="73">L408*N408</f>
        <v>12894296.492129238</v>
      </c>
      <c r="R408" s="177">
        <f t="shared" si="69"/>
        <v>104132.7752776593</v>
      </c>
      <c r="S408" s="152">
        <f t="shared" si="70"/>
        <v>8.1416295821499125E-3</v>
      </c>
    </row>
    <row r="409" spans="1:19" ht="14.1" customHeight="1" x14ac:dyDescent="0.2">
      <c r="A409" s="4">
        <v>16</v>
      </c>
      <c r="B409" s="216" t="s">
        <v>221</v>
      </c>
      <c r="C409" s="188"/>
      <c r="D409" s="9"/>
      <c r="E409" s="177">
        <f>SUM(E406:E407)</f>
        <v>2224518</v>
      </c>
      <c r="F409" s="177" t="s">
        <v>44</v>
      </c>
      <c r="G409" s="179"/>
      <c r="H409" s="177"/>
      <c r="I409" s="181">
        <f>SUM(I406:I408)</f>
        <v>25161850.266851582</v>
      </c>
      <c r="J409" s="177"/>
      <c r="K409" s="173"/>
      <c r="L409" s="177">
        <f>SUM(L406:L407)</f>
        <v>2224518</v>
      </c>
      <c r="M409" s="177" t="s">
        <v>44</v>
      </c>
      <c r="N409" s="191"/>
      <c r="O409" s="177"/>
      <c r="P409" s="181">
        <f>P406+P407+P408</f>
        <v>25366708.731325805</v>
      </c>
      <c r="Q409" s="177"/>
      <c r="R409" s="177">
        <f t="shared" si="69"/>
        <v>204858.46447422355</v>
      </c>
      <c r="S409" s="152">
        <f t="shared" si="70"/>
        <v>8.1416295821498345E-3</v>
      </c>
    </row>
    <row r="410" spans="1:19" ht="14.1" customHeight="1" x14ac:dyDescent="0.2">
      <c r="A410" s="4">
        <v>17</v>
      </c>
      <c r="B410" s="216"/>
      <c r="C410" s="188"/>
      <c r="D410" s="9"/>
      <c r="E410" s="177"/>
      <c r="F410" s="177"/>
      <c r="G410" s="179"/>
      <c r="H410" s="177"/>
      <c r="I410" s="177"/>
      <c r="J410" s="177"/>
      <c r="K410" s="173"/>
      <c r="L410" s="177"/>
      <c r="M410" s="177"/>
      <c r="N410" s="191"/>
      <c r="O410" s="177"/>
      <c r="P410" s="177"/>
      <c r="Q410" s="177"/>
      <c r="R410" s="177"/>
      <c r="S410" s="180"/>
    </row>
    <row r="411" spans="1:19" ht="14.1" customHeight="1" x14ac:dyDescent="0.2">
      <c r="A411" s="4">
        <v>18</v>
      </c>
      <c r="B411" s="186" t="s">
        <v>41</v>
      </c>
      <c r="C411" s="186"/>
      <c r="E411" s="6"/>
      <c r="F411" s="177"/>
      <c r="G411" s="177"/>
      <c r="H411" s="177"/>
      <c r="I411" s="179"/>
      <c r="J411" s="177"/>
      <c r="K411" s="173"/>
      <c r="L411" s="9"/>
      <c r="M411" s="177"/>
      <c r="N411" s="177"/>
      <c r="O411" s="177"/>
      <c r="P411" s="177"/>
      <c r="Q411" s="177"/>
      <c r="R411" s="177"/>
      <c r="S411" s="180"/>
    </row>
    <row r="412" spans="1:19" ht="14.1" customHeight="1" x14ac:dyDescent="0.2">
      <c r="A412" s="4">
        <v>19</v>
      </c>
      <c r="B412" s="186" t="s">
        <v>39</v>
      </c>
      <c r="E412" s="177">
        <f>+ROUND('ECCR Billing Determinants'!B221,0)</f>
        <v>133271</v>
      </c>
      <c r="F412" s="177" t="s">
        <v>44</v>
      </c>
      <c r="G412" s="179">
        <f>+Rates!D218</f>
        <v>0.67480378207017755</v>
      </c>
      <c r="I412" s="177">
        <f>E412*G412</f>
        <v>89931.774840274637</v>
      </c>
      <c r="L412" s="177">
        <f>+E412</f>
        <v>133271</v>
      </c>
      <c r="M412" s="177" t="s">
        <v>44</v>
      </c>
      <c r="N412" s="179">
        <f>+G412*(1+$V$5)</f>
        <v>0.68029778450442679</v>
      </c>
      <c r="P412" s="177">
        <f>L412*N412</f>
        <v>90663.966038689468</v>
      </c>
      <c r="R412" s="177">
        <f t="shared" ref="R412:R414" si="74">+P412-I412</f>
        <v>732.19119841483189</v>
      </c>
      <c r="S412" s="152">
        <f t="shared" ref="S412:S414" si="75">IF(R412=0,0,(P412-I412)/I412)</f>
        <v>8.1416295821499871E-3</v>
      </c>
    </row>
    <row r="413" spans="1:19" ht="14.1" customHeight="1" x14ac:dyDescent="0.35">
      <c r="A413" s="4">
        <v>20</v>
      </c>
      <c r="B413" s="186" t="s">
        <v>225</v>
      </c>
      <c r="E413" s="237">
        <f>+ROUND('ECCR Billing Determinants'!B241,0)</f>
        <v>704382</v>
      </c>
      <c r="F413" s="177" t="s">
        <v>44</v>
      </c>
      <c r="G413" s="179">
        <f>+Rates!D219</f>
        <v>0.67480378207017755</v>
      </c>
      <c r="I413" s="237">
        <f>E413*G413</f>
        <v>475319.63762215583</v>
      </c>
      <c r="L413" s="237">
        <f t="shared" ref="L413" si="76">+E413</f>
        <v>704382</v>
      </c>
      <c r="M413" s="177" t="s">
        <v>44</v>
      </c>
      <c r="N413" s="179">
        <f>+G413*(1+$V$5)</f>
        <v>0.68029778450442679</v>
      </c>
      <c r="P413" s="237">
        <f>L413*N413</f>
        <v>479189.51404479716</v>
      </c>
      <c r="R413" s="177">
        <f t="shared" si="74"/>
        <v>3869.8764226413332</v>
      </c>
      <c r="S413" s="152">
        <f t="shared" si="75"/>
        <v>8.1416295821499386E-3</v>
      </c>
    </row>
    <row r="414" spans="1:19" ht="14.1" customHeight="1" x14ac:dyDescent="0.2">
      <c r="A414" s="4">
        <v>21</v>
      </c>
      <c r="B414" s="216" t="s">
        <v>221</v>
      </c>
      <c r="C414" s="188"/>
      <c r="D414" s="9"/>
      <c r="E414" s="177">
        <f>+E412+E413</f>
        <v>837653</v>
      </c>
      <c r="F414" s="177" t="s">
        <v>44</v>
      </c>
      <c r="G414" s="179"/>
      <c r="H414" s="177"/>
      <c r="I414" s="181">
        <f>SUM(I412:I413)</f>
        <v>565251.41246243042</v>
      </c>
      <c r="J414" s="177"/>
      <c r="K414" s="173"/>
      <c r="L414" s="177">
        <f>+L412+L413</f>
        <v>837653</v>
      </c>
      <c r="M414" s="177" t="s">
        <v>44</v>
      </c>
      <c r="N414" s="179"/>
      <c r="O414" s="177"/>
      <c r="P414" s="181">
        <f>SUM(P412:P413)</f>
        <v>569853.48008348665</v>
      </c>
      <c r="Q414" s="177"/>
      <c r="R414" s="177">
        <f t="shared" si="74"/>
        <v>4602.0676210562233</v>
      </c>
      <c r="S414" s="152">
        <f t="shared" si="75"/>
        <v>8.1416295821500513E-3</v>
      </c>
    </row>
    <row r="415" spans="1:19" ht="14.1" customHeight="1" x14ac:dyDescent="0.2">
      <c r="A415" s="4">
        <v>22</v>
      </c>
      <c r="B415" s="216"/>
      <c r="C415" s="188"/>
      <c r="D415" s="9"/>
      <c r="E415" s="177"/>
      <c r="F415" s="177"/>
      <c r="G415" s="179"/>
      <c r="H415" s="177"/>
      <c r="I415" s="179"/>
      <c r="J415" s="177"/>
      <c r="K415" s="173"/>
      <c r="L415" s="177"/>
      <c r="M415" s="177"/>
      <c r="N415" s="179"/>
      <c r="O415" s="177"/>
      <c r="P415" s="177"/>
      <c r="Q415" s="177"/>
      <c r="R415" s="177"/>
      <c r="S415" s="180"/>
    </row>
    <row r="416" spans="1:19" ht="14.1" customHeight="1" x14ac:dyDescent="0.2">
      <c r="A416" s="4">
        <v>23</v>
      </c>
      <c r="B416" s="4" t="s">
        <v>46</v>
      </c>
      <c r="I416" s="212"/>
      <c r="Q416" s="177"/>
      <c r="R416" s="177"/>
      <c r="S416" s="177"/>
    </row>
    <row r="417" spans="1:19" ht="14.1" customHeight="1" x14ac:dyDescent="0.2">
      <c r="A417" s="4">
        <v>24</v>
      </c>
      <c r="B417" s="186" t="s">
        <v>39</v>
      </c>
      <c r="E417" s="64">
        <f>+ROUND('ECCR Billing Determinants'!B223/1000,0)</f>
        <v>9923</v>
      </c>
      <c r="F417" s="4" t="s">
        <v>381</v>
      </c>
      <c r="G417" s="212">
        <f>+Rates!D210</f>
        <v>2.0099999999999998</v>
      </c>
      <c r="I417" s="177">
        <f>E417*G417</f>
        <v>19945.23</v>
      </c>
      <c r="L417" s="64">
        <f>+E417</f>
        <v>9923</v>
      </c>
      <c r="M417" s="4" t="s">
        <v>381</v>
      </c>
      <c r="N417" s="179">
        <f>+G417*(1+$V$5)</f>
        <v>2.0263646754601212</v>
      </c>
      <c r="P417" s="177">
        <f>L417*N417</f>
        <v>20107.616674590783</v>
      </c>
      <c r="R417" s="177">
        <f t="shared" ref="R417:R419" si="77">+P417-I417</f>
        <v>162.38667459078351</v>
      </c>
      <c r="S417" s="152">
        <f t="shared" ref="S417:S419" si="78">IF(R417=0,0,(P417-I417)/I417)</f>
        <v>8.1416295821498934E-3</v>
      </c>
    </row>
    <row r="418" spans="1:19" ht="14.1" customHeight="1" x14ac:dyDescent="0.35">
      <c r="A418" s="4">
        <v>25</v>
      </c>
      <c r="B418" s="186" t="s">
        <v>225</v>
      </c>
      <c r="E418" s="69">
        <f>+ROUND('ECCR Billing Determinants'!B243/1000,0)</f>
        <v>13784</v>
      </c>
      <c r="F418" s="4" t="s">
        <v>381</v>
      </c>
      <c r="G418" s="212">
        <f>+Rates!D211</f>
        <v>2.0099999999999998</v>
      </c>
      <c r="I418" s="237">
        <f>E418*G418</f>
        <v>27705.839999999997</v>
      </c>
      <c r="L418" s="69">
        <f t="shared" ref="L418" si="79">+E418</f>
        <v>13784</v>
      </c>
      <c r="M418" s="4" t="s">
        <v>381</v>
      </c>
      <c r="N418" s="179">
        <f>+G418*(1+$V$5)</f>
        <v>2.0263646754601212</v>
      </c>
      <c r="P418" s="237">
        <f>L418*N418</f>
        <v>27931.410686542309</v>
      </c>
      <c r="Q418" s="177"/>
      <c r="R418" s="177">
        <f t="shared" si="77"/>
        <v>225.57068654231261</v>
      </c>
      <c r="S418" s="152">
        <f t="shared" si="78"/>
        <v>8.1416295821499229E-3</v>
      </c>
    </row>
    <row r="419" spans="1:19" ht="14.1" customHeight="1" x14ac:dyDescent="0.2">
      <c r="A419" s="4">
        <v>26</v>
      </c>
      <c r="E419" s="64">
        <f>SUM(E417:E418)</f>
        <v>23707</v>
      </c>
      <c r="F419" s="4" t="s">
        <v>381</v>
      </c>
      <c r="I419" s="181">
        <f>SUM(I417:I418)</f>
        <v>47651.069999999992</v>
      </c>
      <c r="L419" s="64">
        <f>SUM(L417:L418)</f>
        <v>23707</v>
      </c>
      <c r="M419" s="4" t="s">
        <v>381</v>
      </c>
      <c r="P419" s="181">
        <f>SUM(P417:P418)</f>
        <v>48039.027361133092</v>
      </c>
      <c r="Q419" s="177"/>
      <c r="R419" s="177">
        <f t="shared" si="77"/>
        <v>387.95736113309977</v>
      </c>
      <c r="S419" s="152">
        <f t="shared" si="78"/>
        <v>8.1416295821499871E-3</v>
      </c>
    </row>
    <row r="420" spans="1:19" ht="14.1" customHeight="1" x14ac:dyDescent="0.2">
      <c r="A420" s="4">
        <v>27</v>
      </c>
      <c r="B420" s="216"/>
      <c r="C420" s="188"/>
      <c r="D420" s="9"/>
      <c r="E420" s="177"/>
      <c r="F420" s="177"/>
      <c r="G420" s="179"/>
      <c r="H420" s="177"/>
      <c r="I420" s="177"/>
      <c r="J420" s="177"/>
      <c r="K420" s="173"/>
      <c r="L420" s="177"/>
      <c r="M420" s="177"/>
      <c r="N420" s="191"/>
      <c r="O420" s="177"/>
      <c r="P420" s="177"/>
      <c r="Q420" s="177"/>
      <c r="R420" s="177"/>
      <c r="S420" s="180"/>
    </row>
    <row r="421" spans="1:19" ht="14.1" customHeight="1" x14ac:dyDescent="0.2">
      <c r="A421" s="4">
        <v>28</v>
      </c>
      <c r="B421" s="4" t="s">
        <v>49</v>
      </c>
    </row>
    <row r="422" spans="1:19" ht="14.1" customHeight="1" x14ac:dyDescent="0.2">
      <c r="A422" s="4">
        <v>29</v>
      </c>
      <c r="B422" s="186" t="s">
        <v>39</v>
      </c>
      <c r="E422" s="64">
        <f>+ROUND('ECCR Billing Determinants'!B224/1000,0)</f>
        <v>26423</v>
      </c>
      <c r="F422" s="4" t="s">
        <v>381</v>
      </c>
      <c r="G422" s="212">
        <f>+Rates!D214</f>
        <v>-1.01</v>
      </c>
      <c r="I422" s="177">
        <f t="shared" ref="I422" si="80">+E422*G422</f>
        <v>-26687.23</v>
      </c>
      <c r="L422" s="64">
        <f>+E422</f>
        <v>26423</v>
      </c>
      <c r="M422" s="4" t="s">
        <v>381</v>
      </c>
      <c r="N422" s="179">
        <f>+G422*(1+$V$5)</f>
        <v>-1.0182230458779715</v>
      </c>
      <c r="P422" s="177">
        <f t="shared" ref="P422" si="81">+N422*L422</f>
        <v>-26904.507541233641</v>
      </c>
      <c r="R422" s="177">
        <f t="shared" ref="R422:R424" si="82">+P422-I422</f>
        <v>-217.27754123364139</v>
      </c>
      <c r="S422" s="152">
        <f t="shared" ref="S422:S424" si="83">IF(R422=0,0,(P422-I422)/I422)</f>
        <v>8.1416295821500166E-3</v>
      </c>
    </row>
    <row r="423" spans="1:19" ht="14.1" customHeight="1" x14ac:dyDescent="0.2">
      <c r="A423" s="4">
        <v>30</v>
      </c>
      <c r="B423" s="4" t="s">
        <v>225</v>
      </c>
      <c r="E423" s="69">
        <f>+ROUND('ECCR Billing Determinants'!B244/1000,0)</f>
        <v>90854</v>
      </c>
      <c r="F423" s="4" t="s">
        <v>381</v>
      </c>
      <c r="G423" s="212">
        <f>+Rates!D215</f>
        <v>-1.01</v>
      </c>
      <c r="I423" s="69">
        <f>G423*E423</f>
        <v>-91762.54</v>
      </c>
      <c r="L423" s="69">
        <f t="shared" ref="L423" si="84">+E423</f>
        <v>90854</v>
      </c>
      <c r="M423" s="4" t="s">
        <v>381</v>
      </c>
      <c r="N423" s="179">
        <f>+G423*(1+$V$5)</f>
        <v>-1.0182230458779715</v>
      </c>
      <c r="P423" s="69">
        <f>L423*N423</f>
        <v>-92509.636610197223</v>
      </c>
      <c r="R423" s="177">
        <f t="shared" si="82"/>
        <v>-747.09661019722989</v>
      </c>
      <c r="S423" s="152">
        <f t="shared" si="83"/>
        <v>8.1416295821500791E-3</v>
      </c>
    </row>
    <row r="424" spans="1:19" ht="14.1" customHeight="1" x14ac:dyDescent="0.2">
      <c r="A424" s="4">
        <v>31</v>
      </c>
      <c r="B424" s="4" t="s">
        <v>221</v>
      </c>
      <c r="E424" s="64">
        <f>SUM(E422:E423)</f>
        <v>117277</v>
      </c>
      <c r="I424" s="6">
        <f>SUM(I422:I423)</f>
        <v>-118449.76999999999</v>
      </c>
      <c r="L424" s="64">
        <f>SUM(L422:L423)</f>
        <v>117277</v>
      </c>
      <c r="P424" s="5">
        <f>SUM(P422:P423)</f>
        <v>-119414.14415143087</v>
      </c>
      <c r="R424" s="177">
        <f t="shared" si="82"/>
        <v>-964.37415143087856</v>
      </c>
      <c r="S424" s="152">
        <f t="shared" si="83"/>
        <v>8.1416295821501276E-3</v>
      </c>
    </row>
    <row r="425" spans="1:19" ht="14.1" customHeight="1" x14ac:dyDescent="0.2">
      <c r="A425" s="4">
        <v>32</v>
      </c>
      <c r="B425" s="216"/>
      <c r="C425" s="188"/>
      <c r="D425" s="9"/>
      <c r="E425" s="177"/>
      <c r="F425" s="177"/>
      <c r="G425" s="179"/>
      <c r="H425" s="177"/>
      <c r="I425" s="177"/>
      <c r="J425" s="177"/>
      <c r="K425" s="173"/>
      <c r="L425" s="177"/>
      <c r="M425" s="177"/>
      <c r="N425" s="191"/>
      <c r="O425" s="177"/>
      <c r="P425" s="177"/>
      <c r="Q425" s="177"/>
      <c r="R425" s="177"/>
      <c r="S425" s="180"/>
    </row>
    <row r="426" spans="1:19" ht="14.1" customHeight="1" x14ac:dyDescent="0.2">
      <c r="A426" s="4">
        <v>33</v>
      </c>
      <c r="B426" s="186"/>
      <c r="C426" s="186"/>
      <c r="F426" s="177"/>
      <c r="G426" s="177"/>
      <c r="H426" s="177"/>
      <c r="I426" s="179"/>
      <c r="J426" s="183"/>
      <c r="K426" s="173"/>
      <c r="M426" s="177"/>
      <c r="N426" s="177"/>
      <c r="O426" s="177"/>
      <c r="P426" s="177"/>
    </row>
    <row r="427" spans="1:19" ht="14.1" customHeight="1" x14ac:dyDescent="0.2">
      <c r="A427" s="4">
        <v>34</v>
      </c>
      <c r="B427" s="186"/>
      <c r="C427" s="186"/>
      <c r="E427" s="158"/>
      <c r="F427" s="177"/>
      <c r="G427" s="178"/>
      <c r="H427" s="177"/>
      <c r="I427" s="177"/>
      <c r="J427" s="183"/>
      <c r="K427" s="173"/>
      <c r="L427" s="158"/>
      <c r="M427" s="177"/>
      <c r="N427" s="178"/>
      <c r="O427" s="177"/>
      <c r="P427" s="177"/>
      <c r="R427" s="177"/>
      <c r="S427" s="152"/>
    </row>
    <row r="428" spans="1:19" ht="14.1" customHeight="1" thickBot="1" x14ac:dyDescent="0.25">
      <c r="A428" s="4">
        <v>35</v>
      </c>
      <c r="B428" s="45" t="s">
        <v>50</v>
      </c>
      <c r="C428" s="186"/>
      <c r="F428" s="177"/>
      <c r="G428" s="177"/>
      <c r="H428" s="177"/>
      <c r="I428" s="247">
        <f>+I409+I403+I397+I424+I419+I414+I429</f>
        <v>37594931.578873307</v>
      </c>
      <c r="J428" s="177"/>
      <c r="K428" s="173"/>
      <c r="L428" s="177"/>
      <c r="M428" s="177"/>
      <c r="N428" s="177"/>
      <c r="O428" s="177"/>
      <c r="P428" s="247">
        <f>+P414+P409+P403+P424+P419+P397</f>
        <v>37901015.585954756</v>
      </c>
      <c r="R428" s="177">
        <f>+P428-I428</f>
        <v>306084.00708144903</v>
      </c>
      <c r="S428" s="152">
        <f>IF(R428=0,0,(P428-I428)/I428)</f>
        <v>8.1416295821497044E-3</v>
      </c>
    </row>
    <row r="429" spans="1:19" ht="14.1" customHeight="1" thickTop="1" x14ac:dyDescent="0.2">
      <c r="A429" s="4">
        <v>36</v>
      </c>
      <c r="B429" s="216"/>
      <c r="E429" s="158"/>
      <c r="F429" s="177"/>
      <c r="H429" s="177"/>
      <c r="J429" s="177"/>
      <c r="K429" s="173"/>
      <c r="L429" s="158"/>
      <c r="M429" s="177"/>
      <c r="N429" s="184"/>
      <c r="O429" s="177"/>
      <c r="R429" s="177"/>
      <c r="S429" s="152"/>
    </row>
    <row r="430" spans="1:19" ht="14.1" customHeight="1" x14ac:dyDescent="0.2">
      <c r="A430" s="4">
        <v>37</v>
      </c>
      <c r="E430" s="5"/>
      <c r="F430" s="5"/>
      <c r="G430" s="46"/>
      <c r="H430" s="29"/>
      <c r="L430" s="177"/>
      <c r="M430" s="177"/>
      <c r="N430" s="177"/>
      <c r="O430" s="177"/>
      <c r="P430" s="177"/>
      <c r="Q430" s="177"/>
      <c r="R430" s="177"/>
      <c r="S430" s="177"/>
    </row>
    <row r="431" spans="1:19" ht="14.1" customHeight="1" x14ac:dyDescent="0.2">
      <c r="A431" s="4">
        <v>38</v>
      </c>
    </row>
    <row r="432" spans="1:19" ht="14.1" customHeight="1" thickBot="1" x14ac:dyDescent="0.25">
      <c r="A432" s="16">
        <v>39</v>
      </c>
      <c r="B432" s="16" t="s">
        <v>733</v>
      </c>
      <c r="C432" s="16"/>
      <c r="D432" s="16"/>
      <c r="E432" s="16"/>
      <c r="F432" s="16"/>
      <c r="G432" s="16"/>
      <c r="H432" s="16"/>
      <c r="I432" s="16"/>
      <c r="J432" s="16"/>
      <c r="K432" s="151"/>
      <c r="L432" s="16"/>
      <c r="M432" s="16"/>
      <c r="N432" s="16"/>
      <c r="O432" s="16"/>
      <c r="P432" s="16"/>
      <c r="Q432" s="16"/>
      <c r="R432" s="16"/>
      <c r="S432" s="150"/>
    </row>
    <row r="433" spans="1:19" ht="14.1" customHeight="1" x14ac:dyDescent="0.2">
      <c r="S433" s="4" t="s">
        <v>219</v>
      </c>
    </row>
    <row r="434" spans="1:19" ht="14.1" customHeight="1" x14ac:dyDescent="0.2">
      <c r="H434" s="292" t="s">
        <v>768</v>
      </c>
      <c r="I434" s="292"/>
      <c r="J434" s="292"/>
      <c r="K434" s="292"/>
      <c r="L434" s="292"/>
    </row>
    <row r="435" spans="1:19" ht="14.1" customHeight="1" thickBot="1" x14ac:dyDescent="0.25">
      <c r="A435" s="16" t="s">
        <v>7</v>
      </c>
      <c r="B435" s="16"/>
      <c r="C435" s="16"/>
      <c r="D435" s="16"/>
      <c r="E435" s="16"/>
      <c r="F435" s="16"/>
      <c r="G435" s="16"/>
      <c r="H435" s="301" t="s">
        <v>380</v>
      </c>
      <c r="I435" s="301"/>
      <c r="J435" s="301"/>
      <c r="K435" s="301"/>
      <c r="L435" s="301"/>
      <c r="M435" s="16"/>
      <c r="N435" s="16"/>
      <c r="O435" s="16"/>
      <c r="P435" s="16"/>
      <c r="Q435" s="16"/>
      <c r="R435" s="16"/>
      <c r="S435" s="150" t="str">
        <f>"Page " &amp; INT(ROW()/$R$1 +1)  &amp; "  of " &amp; S$1</f>
        <v>Page 9  of 19</v>
      </c>
    </row>
    <row r="436" spans="1:19" ht="14.1" customHeight="1" x14ac:dyDescent="0.2">
      <c r="A436" s="4" t="s">
        <v>21</v>
      </c>
      <c r="E436" s="4" t="s">
        <v>761</v>
      </c>
      <c r="G436" s="4" t="s">
        <v>766</v>
      </c>
      <c r="K436" s="285"/>
      <c r="L436" s="56"/>
      <c r="N436" s="56"/>
      <c r="O436" s="56"/>
      <c r="P436" s="56" t="s">
        <v>663</v>
      </c>
      <c r="S436" s="22"/>
    </row>
    <row r="437" spans="1:19" ht="14.1" customHeight="1" x14ac:dyDescent="0.2">
      <c r="G437" s="4" t="s">
        <v>767</v>
      </c>
      <c r="K437" s="284"/>
      <c r="L437" s="22"/>
      <c r="O437" s="21"/>
      <c r="P437" s="21"/>
      <c r="Q437" s="22" t="s">
        <v>764</v>
      </c>
      <c r="S437" s="21"/>
    </row>
    <row r="438" spans="1:19" ht="14.1" customHeight="1" x14ac:dyDescent="0.2">
      <c r="A438" s="4" t="s">
        <v>29</v>
      </c>
      <c r="G438" s="4" t="s">
        <v>770</v>
      </c>
      <c r="K438" s="284"/>
      <c r="L438" s="22"/>
      <c r="M438" s="21"/>
      <c r="P438" s="21"/>
      <c r="Q438" s="22" t="s">
        <v>765</v>
      </c>
      <c r="S438" s="21"/>
    </row>
    <row r="439" spans="1:19" ht="14.1" customHeight="1" x14ac:dyDescent="0.2">
      <c r="G439" s="4" t="s">
        <v>769</v>
      </c>
      <c r="K439" s="284"/>
      <c r="L439" s="22"/>
      <c r="M439" s="21"/>
      <c r="P439" s="21"/>
      <c r="Q439" s="22"/>
      <c r="S439" s="21"/>
    </row>
    <row r="440" spans="1:19" ht="14.1" customHeight="1" x14ac:dyDescent="0.2">
      <c r="C440" s="21"/>
      <c r="H440" s="10"/>
      <c r="I440" s="10"/>
      <c r="J440" s="10"/>
      <c r="K440" s="284"/>
      <c r="Q440" s="4" t="s">
        <v>738</v>
      </c>
    </row>
    <row r="441" spans="1:19" ht="14.1" customHeight="1" thickBot="1" x14ac:dyDescent="0.25">
      <c r="A441" s="16"/>
      <c r="B441" s="16"/>
      <c r="C441" s="150"/>
      <c r="D441" s="101"/>
      <c r="E441" s="101"/>
      <c r="F441" s="101"/>
      <c r="G441" s="102"/>
      <c r="H441" s="101"/>
      <c r="I441" s="101"/>
      <c r="J441" s="101"/>
      <c r="K441" s="101"/>
      <c r="L441" s="101"/>
      <c r="M441" s="101"/>
      <c r="N441" s="101"/>
      <c r="O441" s="101"/>
      <c r="P441" s="101"/>
      <c r="Q441" s="101"/>
      <c r="R441" s="101"/>
      <c r="S441" s="101"/>
    </row>
    <row r="442" spans="1:19" ht="14.1" customHeight="1" x14ac:dyDescent="0.2">
      <c r="E442" s="10"/>
      <c r="G442" s="10"/>
      <c r="H442" s="103"/>
      <c r="I442" s="10"/>
      <c r="K442" s="10"/>
      <c r="M442" s="103"/>
    </row>
    <row r="443" spans="1:19" ht="14.1" customHeight="1" x14ac:dyDescent="0.2">
      <c r="A443" s="9"/>
      <c r="B443" s="92"/>
      <c r="C443" s="92"/>
      <c r="D443" s="1"/>
      <c r="E443" s="39"/>
      <c r="F443" s="1"/>
      <c r="G443" s="1"/>
      <c r="H443" s="39"/>
      <c r="I443" s="1"/>
      <c r="J443" s="1"/>
      <c r="K443" s="3"/>
      <c r="L443" s="1"/>
      <c r="M443" s="39"/>
      <c r="N443" s="1"/>
      <c r="O443" s="1"/>
      <c r="P443" s="1"/>
      <c r="Q443" s="1"/>
      <c r="R443" s="1"/>
      <c r="S443" s="1"/>
    </row>
    <row r="444" spans="1:19" ht="14.1" customHeight="1" x14ac:dyDescent="0.2">
      <c r="A444" s="9"/>
      <c r="B444" s="92"/>
      <c r="C444" s="1"/>
      <c r="D444" s="1"/>
      <c r="E444" s="1"/>
      <c r="F444" s="39"/>
      <c r="G444" s="39"/>
      <c r="H444" s="40"/>
      <c r="I444" s="40" t="s">
        <v>14</v>
      </c>
      <c r="J444" s="3"/>
      <c r="K444" s="41" t="s">
        <v>676</v>
      </c>
      <c r="L444" s="39"/>
      <c r="M444" s="1"/>
      <c r="N444" s="39"/>
      <c r="O444" s="39"/>
      <c r="P444" s="39"/>
      <c r="Q444" s="39"/>
      <c r="R444" s="39"/>
      <c r="S444" s="1"/>
    </row>
    <row r="445" spans="1:19" ht="14.1" customHeight="1" x14ac:dyDescent="0.2">
      <c r="A445" s="9"/>
      <c r="B445" s="92"/>
      <c r="C445" s="1"/>
      <c r="D445" s="1"/>
      <c r="E445" s="1"/>
      <c r="F445" s="39"/>
      <c r="G445" s="39"/>
      <c r="H445" s="39"/>
      <c r="I445" s="39"/>
      <c r="J445" s="39"/>
      <c r="K445" s="3"/>
      <c r="L445" s="39"/>
      <c r="M445" s="39"/>
      <c r="N445" s="39"/>
      <c r="O445" s="39"/>
      <c r="P445" s="39"/>
      <c r="Q445" s="39"/>
      <c r="R445" s="39"/>
      <c r="S445" s="39"/>
    </row>
    <row r="446" spans="1:19" ht="14.1" customHeight="1" x14ac:dyDescent="0.2">
      <c r="A446" s="149" t="s">
        <v>26</v>
      </c>
      <c r="B446" s="176" t="s">
        <v>5</v>
      </c>
      <c r="C446" s="216"/>
      <c r="D446" s="213"/>
      <c r="E446" s="192"/>
      <c r="F446" s="192"/>
      <c r="G446" s="267" t="s">
        <v>8</v>
      </c>
      <c r="H446" s="192"/>
      <c r="I446" s="192"/>
      <c r="J446" s="216"/>
      <c r="K446" s="187"/>
      <c r="L446" s="192"/>
      <c r="M446" s="267"/>
      <c r="N446" s="267" t="s">
        <v>9</v>
      </c>
      <c r="O446" s="192"/>
      <c r="P446" s="192"/>
      <c r="Q446" s="216"/>
      <c r="R446" s="290" t="s">
        <v>750</v>
      </c>
      <c r="S446" s="290" t="s">
        <v>752</v>
      </c>
    </row>
    <row r="447" spans="1:19" ht="14.1" customHeight="1" thickBot="1" x14ac:dyDescent="0.25">
      <c r="A447" s="151" t="s">
        <v>28</v>
      </c>
      <c r="B447" s="175" t="s">
        <v>10</v>
      </c>
      <c r="C447" s="215"/>
      <c r="D447" s="44"/>
      <c r="E447" s="151" t="s">
        <v>11</v>
      </c>
      <c r="F447" s="194"/>
      <c r="G447" s="194" t="s">
        <v>12</v>
      </c>
      <c r="H447" s="194"/>
      <c r="I447" s="194" t="s">
        <v>13</v>
      </c>
      <c r="J447" s="194"/>
      <c r="K447" s="194"/>
      <c r="L447" s="194" t="s">
        <v>11</v>
      </c>
      <c r="M447" s="194"/>
      <c r="N447" s="194" t="s">
        <v>12</v>
      </c>
      <c r="O447" s="194"/>
      <c r="P447" s="194" t="s">
        <v>13</v>
      </c>
      <c r="Q447" s="215"/>
      <c r="R447" s="291" t="s">
        <v>751</v>
      </c>
      <c r="S447" s="291" t="s">
        <v>4</v>
      </c>
    </row>
    <row r="448" spans="1:19" ht="14.1" customHeight="1" x14ac:dyDescent="0.2">
      <c r="A448" s="4">
        <v>1</v>
      </c>
      <c r="B448" s="186" t="s">
        <v>393</v>
      </c>
      <c r="C448" s="186"/>
      <c r="F448" s="177"/>
      <c r="G448" s="177"/>
      <c r="H448" s="177"/>
      <c r="I448" s="177"/>
      <c r="J448" s="183"/>
      <c r="K448" s="173"/>
      <c r="L448" s="183"/>
      <c r="M448" s="177"/>
      <c r="N448" s="177"/>
      <c r="O448" s="177"/>
      <c r="P448" s="177"/>
      <c r="Q448" s="177"/>
      <c r="R448" s="177"/>
      <c r="S448" s="177"/>
    </row>
    <row r="449" spans="1:19" ht="14.1" customHeight="1" x14ac:dyDescent="0.2">
      <c r="A449" s="4">
        <v>2</v>
      </c>
      <c r="B449" s="186" t="s">
        <v>90</v>
      </c>
      <c r="E449" s="160">
        <f>+'ECCR Billing Determinants'!C226</f>
        <v>0</v>
      </c>
      <c r="F449" s="177" t="s">
        <v>611</v>
      </c>
      <c r="G449" s="179">
        <f>+Rates!D225</f>
        <v>83.222579279678143</v>
      </c>
      <c r="H449" s="177"/>
      <c r="I449" s="177">
        <f>E449*G449</f>
        <v>0</v>
      </c>
      <c r="K449" s="149"/>
      <c r="L449" s="160">
        <f>+E449</f>
        <v>0</v>
      </c>
      <c r="M449" s="177" t="s">
        <v>611</v>
      </c>
      <c r="N449" s="179">
        <f>+G449*(1+$V$5)</f>
        <v>83.900146693044391</v>
      </c>
      <c r="O449" s="177"/>
      <c r="P449" s="177">
        <f>L449*N449</f>
        <v>0</v>
      </c>
      <c r="Q449" s="177"/>
      <c r="R449" s="177">
        <f t="shared" ref="R449:R451" si="85">+P449-I449</f>
        <v>0</v>
      </c>
      <c r="S449" s="152">
        <f t="shared" ref="S449:S451" si="86">IF(R449=0,0,(P449-I449)/I449)</f>
        <v>0</v>
      </c>
    </row>
    <row r="450" spans="1:19" ht="14.1" customHeight="1" x14ac:dyDescent="0.35">
      <c r="A450" s="4">
        <v>3</v>
      </c>
      <c r="B450" s="4" t="s">
        <v>585</v>
      </c>
      <c r="E450" s="157">
        <f>+'ECCR Billing Determinants'!C246</f>
        <v>3285.9124999999999</v>
      </c>
      <c r="F450" s="177" t="s">
        <v>611</v>
      </c>
      <c r="G450" s="179">
        <f>+Rates!D226</f>
        <v>83.222579279678143</v>
      </c>
      <c r="I450" s="237">
        <f>E450*G450</f>
        <v>273462.11353733542</v>
      </c>
      <c r="L450" s="157">
        <f>+E450</f>
        <v>3285.9124999999999</v>
      </c>
      <c r="M450" s="177" t="s">
        <v>611</v>
      </c>
      <c r="N450" s="179">
        <f>+G450*(1+$V$5)</f>
        <v>83.900146693044391</v>
      </c>
      <c r="P450" s="237">
        <f>L450*N450</f>
        <v>275688.54077050823</v>
      </c>
      <c r="Q450" s="177"/>
      <c r="R450" s="177">
        <f t="shared" si="85"/>
        <v>2226.4272331728134</v>
      </c>
      <c r="S450" s="152">
        <f t="shared" si="86"/>
        <v>8.1416295821499316E-3</v>
      </c>
    </row>
    <row r="451" spans="1:19" ht="14.1" customHeight="1" x14ac:dyDescent="0.2">
      <c r="A451" s="4">
        <v>4</v>
      </c>
      <c r="B451" s="219" t="s">
        <v>27</v>
      </c>
      <c r="E451" s="160">
        <f>SUM(E449:E450)</f>
        <v>3285.9124999999999</v>
      </c>
      <c r="F451" s="177" t="s">
        <v>612</v>
      </c>
      <c r="G451" s="179"/>
      <c r="H451" s="177"/>
      <c r="I451" s="177">
        <f>SUM(I449:I450)</f>
        <v>273462.11353733542</v>
      </c>
      <c r="J451" s="177"/>
      <c r="K451" s="173"/>
      <c r="L451" s="160">
        <f>SUM(L449:L450)</f>
        <v>3285.9124999999999</v>
      </c>
      <c r="M451" s="177" t="s">
        <v>612</v>
      </c>
      <c r="N451" s="179"/>
      <c r="O451" s="177"/>
      <c r="P451" s="181">
        <f>SUM(P449:P450)</f>
        <v>275688.54077050823</v>
      </c>
      <c r="Q451" s="177"/>
      <c r="R451" s="177">
        <f t="shared" si="85"/>
        <v>2226.4272331728134</v>
      </c>
      <c r="S451" s="152">
        <f t="shared" si="86"/>
        <v>8.1416295821499316E-3</v>
      </c>
    </row>
    <row r="452" spans="1:19" ht="14.1" customHeight="1" x14ac:dyDescent="0.2">
      <c r="A452" s="4">
        <v>5</v>
      </c>
      <c r="F452" s="177"/>
      <c r="G452" s="179"/>
      <c r="H452" s="177"/>
      <c r="I452" s="177"/>
      <c r="J452" s="183"/>
      <c r="K452" s="173"/>
      <c r="L452" s="183"/>
      <c r="M452" s="177"/>
      <c r="N452" s="179"/>
      <c r="O452" s="177"/>
      <c r="P452" s="177"/>
      <c r="Q452" s="177"/>
      <c r="R452" s="177"/>
      <c r="S452" s="180"/>
    </row>
    <row r="453" spans="1:19" ht="14.1" customHeight="1" x14ac:dyDescent="0.2">
      <c r="A453" s="4">
        <v>6</v>
      </c>
      <c r="B453" s="186" t="s">
        <v>45</v>
      </c>
      <c r="C453" s="186"/>
      <c r="F453" s="177"/>
      <c r="G453" s="177"/>
      <c r="H453" s="177"/>
      <c r="I453" s="177"/>
      <c r="J453" s="177"/>
      <c r="K453" s="173"/>
      <c r="L453" s="177"/>
      <c r="M453" s="177"/>
      <c r="N453" s="177"/>
      <c r="O453" s="177"/>
      <c r="P453" s="177"/>
      <c r="Q453" s="177"/>
      <c r="R453" s="177"/>
      <c r="S453" s="177"/>
    </row>
    <row r="454" spans="1:19" ht="14.1" customHeight="1" x14ac:dyDescent="0.2">
      <c r="A454" s="4">
        <v>7</v>
      </c>
      <c r="B454" s="186" t="s">
        <v>90</v>
      </c>
      <c r="E454" s="160">
        <f>+ROUND('ECCR Billing Determinants'!B227/1000,0)</f>
        <v>0</v>
      </c>
      <c r="F454" s="177" t="s">
        <v>379</v>
      </c>
      <c r="G454" s="179">
        <f>+Rates!D228</f>
        <v>11.42</v>
      </c>
      <c r="H454" s="177"/>
      <c r="I454" s="177">
        <f>E454*G454</f>
        <v>0</v>
      </c>
      <c r="J454" s="183"/>
      <c r="K454" s="173"/>
      <c r="L454" s="160">
        <f>+E454</f>
        <v>0</v>
      </c>
      <c r="M454" s="177" t="s">
        <v>379</v>
      </c>
      <c r="N454" s="179">
        <f>+G454*(1+$V$5)</f>
        <v>11.512977409828151</v>
      </c>
      <c r="O454" s="177"/>
      <c r="P454" s="177">
        <f>L454*N454</f>
        <v>0</v>
      </c>
      <c r="Q454" s="177"/>
      <c r="R454" s="177">
        <f t="shared" ref="R454:R457" si="87">+P454-I454</f>
        <v>0</v>
      </c>
      <c r="S454" s="152">
        <f t="shared" ref="S454:S457" si="88">IF(R454=0,0,(P454-I454)/I454)</f>
        <v>0</v>
      </c>
    </row>
    <row r="455" spans="1:19" ht="14.1" customHeight="1" x14ac:dyDescent="0.2">
      <c r="A455" s="4">
        <v>8</v>
      </c>
      <c r="B455" s="186" t="s">
        <v>586</v>
      </c>
      <c r="E455" s="160">
        <f>+ROUND('ECCR Billing Determinants'!B248/1000,0)</f>
        <v>62939</v>
      </c>
      <c r="F455" s="177" t="s">
        <v>379</v>
      </c>
      <c r="G455" s="179">
        <f>+Rates!D229</f>
        <v>13.75</v>
      </c>
      <c r="I455" s="177">
        <f>E455*G455</f>
        <v>865411.25</v>
      </c>
      <c r="L455" s="160">
        <f t="shared" ref="L455:L456" si="89">+E455</f>
        <v>62939</v>
      </c>
      <c r="M455" s="177" t="s">
        <v>379</v>
      </c>
      <c r="N455" s="179">
        <f>+G455*(1+$V$5)</f>
        <v>13.861947406754561</v>
      </c>
      <c r="P455" s="177">
        <f t="shared" ref="P455:P456" si="90">L455*N455</f>
        <v>872457.10783372528</v>
      </c>
      <c r="Q455" s="177"/>
      <c r="R455" s="177">
        <f t="shared" si="87"/>
        <v>7045.8578337252839</v>
      </c>
      <c r="S455" s="152">
        <f t="shared" si="88"/>
        <v>8.1416295821498553E-3</v>
      </c>
    </row>
    <row r="456" spans="1:19" ht="14.1" customHeight="1" x14ac:dyDescent="0.35">
      <c r="A456" s="4">
        <v>9</v>
      </c>
      <c r="B456" s="186" t="s">
        <v>587</v>
      </c>
      <c r="C456" s="188"/>
      <c r="D456" s="186"/>
      <c r="E456" s="157">
        <f>+ROUND('ECCR Billing Determinants'!B249/1000,0)</f>
        <v>196702</v>
      </c>
      <c r="F456" s="177" t="s">
        <v>379</v>
      </c>
      <c r="G456" s="179">
        <f>+Rates!D230</f>
        <v>10.69</v>
      </c>
      <c r="H456" s="177"/>
      <c r="I456" s="237">
        <f>E456*G456</f>
        <v>2102744.38</v>
      </c>
      <c r="J456" s="177"/>
      <c r="K456" s="173"/>
      <c r="L456" s="157">
        <f t="shared" si="89"/>
        <v>196702</v>
      </c>
      <c r="M456" s="177" t="s">
        <v>379</v>
      </c>
      <c r="N456" s="179">
        <f>+G456*(1+$V$5)</f>
        <v>10.777034020233183</v>
      </c>
      <c r="O456" s="177"/>
      <c r="P456" s="237">
        <f t="shared" si="90"/>
        <v>2119864.1458479073</v>
      </c>
      <c r="R456" s="177">
        <f t="shared" si="87"/>
        <v>17119.765847907402</v>
      </c>
      <c r="S456" s="152">
        <f t="shared" si="88"/>
        <v>8.1416295821498778E-3</v>
      </c>
    </row>
    <row r="457" spans="1:19" ht="14.1" customHeight="1" x14ac:dyDescent="0.2">
      <c r="A457" s="4">
        <v>10</v>
      </c>
      <c r="B457" s="219" t="s">
        <v>27</v>
      </c>
      <c r="C457" s="188"/>
      <c r="D457" s="9"/>
      <c r="E457" s="160">
        <f>SUM(E454:E456)</f>
        <v>259641</v>
      </c>
      <c r="F457" s="177" t="s">
        <v>379</v>
      </c>
      <c r="G457" s="177"/>
      <c r="H457" s="177"/>
      <c r="I457" s="177">
        <f>SUM(I454:I456)</f>
        <v>2968155.63</v>
      </c>
      <c r="J457" s="177"/>
      <c r="K457" s="173"/>
      <c r="L457" s="160">
        <f>SUM(L454:L456)</f>
        <v>259641</v>
      </c>
      <c r="M457" s="177" t="s">
        <v>379</v>
      </c>
      <c r="N457" s="177"/>
      <c r="O457" s="177"/>
      <c r="P457" s="181">
        <f>SUM(P454:P456)</f>
        <v>2992321.2536816327</v>
      </c>
      <c r="R457" s="177">
        <f t="shared" si="87"/>
        <v>24165.623681632802</v>
      </c>
      <c r="S457" s="152">
        <f t="shared" si="88"/>
        <v>8.1416295821499108E-3</v>
      </c>
    </row>
    <row r="458" spans="1:19" ht="14.1" customHeight="1" x14ac:dyDescent="0.2">
      <c r="A458" s="4">
        <v>11</v>
      </c>
      <c r="I458" s="183"/>
      <c r="P458" s="183"/>
      <c r="S458" s="9"/>
    </row>
    <row r="459" spans="1:19" ht="14.1" customHeight="1" x14ac:dyDescent="0.2">
      <c r="A459" s="4">
        <v>12</v>
      </c>
      <c r="B459" s="72" t="s">
        <v>42</v>
      </c>
      <c r="C459" s="188"/>
      <c r="D459" s="9"/>
      <c r="E459" s="9"/>
      <c r="F459" s="177"/>
      <c r="G459" s="177"/>
      <c r="H459" s="177"/>
      <c r="I459" s="201"/>
      <c r="J459" s="177"/>
      <c r="K459" s="173"/>
      <c r="L459" s="177"/>
      <c r="M459" s="177"/>
      <c r="N459" s="177"/>
      <c r="O459" s="177"/>
      <c r="P459" s="201"/>
      <c r="Q459" s="177"/>
      <c r="R459" s="177"/>
      <c r="S459" s="240"/>
    </row>
    <row r="460" spans="1:19" ht="14.1" customHeight="1" x14ac:dyDescent="0.2">
      <c r="A460" s="4">
        <v>13</v>
      </c>
      <c r="B460" s="186" t="s">
        <v>90</v>
      </c>
      <c r="C460" s="188"/>
      <c r="D460" s="186"/>
      <c r="E460" s="160">
        <f>+ROUND('ECCR Billing Determinants'!B228,0)</f>
        <v>0</v>
      </c>
      <c r="F460" s="177" t="s">
        <v>44</v>
      </c>
      <c r="G460" s="179">
        <f>+Rates!D232</f>
        <v>8.99</v>
      </c>
      <c r="H460" s="177"/>
      <c r="I460" s="177">
        <f>E460*G460</f>
        <v>0</v>
      </c>
      <c r="J460" s="177"/>
      <c r="K460" s="173"/>
      <c r="L460" s="160">
        <f>+E460</f>
        <v>0</v>
      </c>
      <c r="M460" s="177" t="s">
        <v>44</v>
      </c>
      <c r="N460" s="179">
        <f>+G460*(1+$V$5)</f>
        <v>9.0631932499435273</v>
      </c>
      <c r="O460" s="177"/>
      <c r="P460" s="177">
        <f>L460*N460</f>
        <v>0</v>
      </c>
      <c r="R460" s="177">
        <f t="shared" ref="R460:R463" si="91">+P460-I460</f>
        <v>0</v>
      </c>
      <c r="S460" s="152">
        <f t="shared" ref="S460:S463" si="92">IF(R460=0,0,(P460-I460)/I460)</f>
        <v>0</v>
      </c>
    </row>
    <row r="461" spans="1:19" ht="14.1" customHeight="1" x14ac:dyDescent="0.2">
      <c r="A461" s="4">
        <v>14</v>
      </c>
      <c r="B461" s="186" t="s">
        <v>588</v>
      </c>
      <c r="E461" s="160">
        <f>+ROUND('ECCR Billing Determinants'!B250,0)</f>
        <v>746114</v>
      </c>
      <c r="F461" s="177" t="s">
        <v>44</v>
      </c>
      <c r="G461" s="179">
        <f>+Rates!D233</f>
        <v>2.86</v>
      </c>
      <c r="H461" s="177"/>
      <c r="I461" s="177">
        <f t="shared" ref="I461" si="93">E461*G461</f>
        <v>2133886.04</v>
      </c>
      <c r="J461" s="177"/>
      <c r="K461" s="173"/>
      <c r="L461" s="160">
        <f t="shared" ref="L461:L462" si="94">+E461</f>
        <v>746114</v>
      </c>
      <c r="M461" s="177" t="s">
        <v>44</v>
      </c>
      <c r="N461" s="179">
        <f>+G461*(1+$V$5)</f>
        <v>2.8832850606049485</v>
      </c>
      <c r="O461" s="177"/>
      <c r="P461" s="177">
        <f t="shared" ref="P461:P462" si="95">L461*N461</f>
        <v>2151259.3497082004</v>
      </c>
      <c r="R461" s="177">
        <f t="shared" si="91"/>
        <v>17373.309708200395</v>
      </c>
      <c r="S461" s="152">
        <f t="shared" si="92"/>
        <v>8.1416295821497547E-3</v>
      </c>
    </row>
    <row r="462" spans="1:19" ht="14.1" customHeight="1" x14ac:dyDescent="0.35">
      <c r="A462" s="4">
        <v>15</v>
      </c>
      <c r="B462" s="186" t="s">
        <v>589</v>
      </c>
      <c r="C462" s="188"/>
      <c r="D462" s="186"/>
      <c r="E462" s="157">
        <f>+ROUND('ECCR Billing Determinants'!B251,0)</f>
        <v>723856</v>
      </c>
      <c r="F462" s="177" t="s">
        <v>48</v>
      </c>
      <c r="G462" s="179">
        <f>+Rates!D234</f>
        <v>6.1</v>
      </c>
      <c r="H462" s="177"/>
      <c r="I462" s="237">
        <f>E462*G462</f>
        <v>4415521.5999999996</v>
      </c>
      <c r="J462" s="177"/>
      <c r="K462" s="173"/>
      <c r="L462" s="157">
        <f t="shared" si="94"/>
        <v>723856</v>
      </c>
      <c r="M462" s="177" t="s">
        <v>48</v>
      </c>
      <c r="N462" s="179">
        <f>+G462*(1+$V$5)</f>
        <v>6.1496639404511138</v>
      </c>
      <c r="O462" s="177"/>
      <c r="P462" s="237">
        <f t="shared" si="95"/>
        <v>4451471.1412791815</v>
      </c>
      <c r="R462" s="177">
        <f t="shared" si="91"/>
        <v>35949.541279181838</v>
      </c>
      <c r="S462" s="152">
        <f t="shared" si="92"/>
        <v>8.1416295821498969E-3</v>
      </c>
    </row>
    <row r="463" spans="1:19" ht="14.1" customHeight="1" x14ac:dyDescent="0.2">
      <c r="A463" s="4">
        <v>16</v>
      </c>
      <c r="B463" s="216" t="s">
        <v>221</v>
      </c>
      <c r="C463" s="188"/>
      <c r="D463" s="9"/>
      <c r="E463" s="160">
        <f>SUM(E460:E461)</f>
        <v>746114</v>
      </c>
      <c r="F463" s="177" t="s">
        <v>44</v>
      </c>
      <c r="G463" s="179"/>
      <c r="H463" s="177"/>
      <c r="I463" s="177">
        <f>SUM(I460:I462)</f>
        <v>6549407.6399999997</v>
      </c>
      <c r="J463" s="177"/>
      <c r="K463" s="173"/>
      <c r="L463" s="160">
        <f>SUM(L460:L461)</f>
        <v>746114</v>
      </c>
      <c r="M463" s="177" t="s">
        <v>44</v>
      </c>
      <c r="N463" s="191"/>
      <c r="O463" s="177"/>
      <c r="P463" s="181">
        <f>SUM(P460:P462)</f>
        <v>6602730.4909873819</v>
      </c>
      <c r="Q463" s="177"/>
      <c r="R463" s="177">
        <f t="shared" si="91"/>
        <v>53322.850987382233</v>
      </c>
      <c r="S463" s="152">
        <f t="shared" si="92"/>
        <v>8.1416295821498501E-3</v>
      </c>
    </row>
    <row r="464" spans="1:19" ht="14.1" customHeight="1" x14ac:dyDescent="0.2">
      <c r="A464" s="4">
        <v>17</v>
      </c>
      <c r="B464" s="216"/>
      <c r="C464" s="188"/>
      <c r="D464" s="9"/>
      <c r="E464" s="177"/>
      <c r="F464" s="177"/>
      <c r="G464" s="179"/>
      <c r="H464" s="177"/>
      <c r="I464" s="177"/>
      <c r="J464" s="177"/>
      <c r="K464" s="173"/>
      <c r="L464" s="177"/>
      <c r="M464" s="177"/>
      <c r="N464" s="191"/>
      <c r="O464" s="177"/>
      <c r="P464" s="177"/>
      <c r="Q464" s="177"/>
      <c r="R464" s="177"/>
      <c r="S464" s="180"/>
    </row>
    <row r="465" spans="1:19" ht="14.1" customHeight="1" x14ac:dyDescent="0.2">
      <c r="A465" s="4">
        <v>18</v>
      </c>
      <c r="B465" s="186" t="s">
        <v>41</v>
      </c>
      <c r="C465" s="186"/>
      <c r="E465" s="6"/>
      <c r="F465" s="177"/>
      <c r="G465" s="177"/>
      <c r="H465" s="177"/>
      <c r="I465" s="177"/>
      <c r="J465" s="177"/>
      <c r="K465" s="173"/>
      <c r="L465" s="9"/>
      <c r="M465" s="177"/>
      <c r="N465" s="177"/>
      <c r="O465" s="177"/>
      <c r="P465" s="177"/>
      <c r="Q465" s="177"/>
      <c r="R465" s="177"/>
      <c r="S465" s="180"/>
    </row>
    <row r="466" spans="1:19" ht="14.1" customHeight="1" x14ac:dyDescent="0.2">
      <c r="A466" s="4">
        <v>19</v>
      </c>
      <c r="B466" s="186" t="s">
        <v>54</v>
      </c>
      <c r="E466" s="160">
        <f>+ROUND('ECCR Billing Determinants'!B229,0)</f>
        <v>0</v>
      </c>
      <c r="F466" s="177" t="s">
        <v>44</v>
      </c>
      <c r="G466" s="179">
        <f>+Rates!D243</f>
        <v>0.67480378207017755</v>
      </c>
      <c r="I466" s="177">
        <f>E466*G466</f>
        <v>0</v>
      </c>
      <c r="L466" s="160">
        <f>+E466</f>
        <v>0</v>
      </c>
      <c r="M466" s="177" t="s">
        <v>44</v>
      </c>
      <c r="N466" s="179">
        <f>+G466*(1+$V$5)</f>
        <v>0.68029778450442679</v>
      </c>
      <c r="P466" s="177">
        <f>L466*N466</f>
        <v>0</v>
      </c>
      <c r="R466" s="177">
        <f t="shared" ref="R466:R468" si="96">+P466-I466</f>
        <v>0</v>
      </c>
      <c r="S466" s="152">
        <f t="shared" ref="S466:S468" si="97">IF(R466=0,0,(P466-I466)/I466)</f>
        <v>0</v>
      </c>
    </row>
    <row r="467" spans="1:19" ht="14.1" customHeight="1" x14ac:dyDescent="0.35">
      <c r="A467" s="4">
        <v>20</v>
      </c>
      <c r="B467" s="186" t="s">
        <v>590</v>
      </c>
      <c r="E467" s="157">
        <f>+ROUND('ECCR Billing Determinants'!B252,0)</f>
        <v>0</v>
      </c>
      <c r="F467" s="177" t="s">
        <v>44</v>
      </c>
      <c r="G467" s="179">
        <f>+Rates!D244</f>
        <v>0.67480378207017755</v>
      </c>
      <c r="I467" s="237">
        <f>E467*G467</f>
        <v>0</v>
      </c>
      <c r="L467" s="157">
        <f t="shared" ref="L467" si="98">+E467</f>
        <v>0</v>
      </c>
      <c r="M467" s="177" t="s">
        <v>44</v>
      </c>
      <c r="N467" s="179">
        <f>+G467*(1+$V$5)</f>
        <v>0.68029778450442679</v>
      </c>
      <c r="P467" s="237">
        <f>L467*N467</f>
        <v>0</v>
      </c>
      <c r="R467" s="177">
        <f t="shared" si="96"/>
        <v>0</v>
      </c>
      <c r="S467" s="152">
        <f t="shared" si="97"/>
        <v>0</v>
      </c>
    </row>
    <row r="468" spans="1:19" ht="14.1" customHeight="1" x14ac:dyDescent="0.2">
      <c r="A468" s="4">
        <v>21</v>
      </c>
      <c r="B468" s="216" t="s">
        <v>221</v>
      </c>
      <c r="C468" s="188"/>
      <c r="D468" s="9"/>
      <c r="E468" s="160">
        <f>SUM(E466:E467)</f>
        <v>0</v>
      </c>
      <c r="F468" s="177" t="s">
        <v>44</v>
      </c>
      <c r="G468" s="179"/>
      <c r="H468" s="177"/>
      <c r="I468" s="177">
        <f>SUM(I466:I467)</f>
        <v>0</v>
      </c>
      <c r="J468" s="177"/>
      <c r="K468" s="173"/>
      <c r="L468" s="160">
        <f>SUM(L466:L467)</f>
        <v>0</v>
      </c>
      <c r="M468" s="177" t="s">
        <v>44</v>
      </c>
      <c r="N468" s="179"/>
      <c r="O468" s="177"/>
      <c r="P468" s="181">
        <f>SUM(P466:P467)</f>
        <v>0</v>
      </c>
      <c r="Q468" s="177"/>
      <c r="R468" s="177">
        <f t="shared" si="96"/>
        <v>0</v>
      </c>
      <c r="S468" s="152">
        <f t="shared" si="97"/>
        <v>0</v>
      </c>
    </row>
    <row r="469" spans="1:19" ht="14.1" customHeight="1" x14ac:dyDescent="0.2">
      <c r="A469" s="4">
        <v>22</v>
      </c>
      <c r="B469" s="216"/>
      <c r="C469" s="188"/>
      <c r="D469" s="9"/>
      <c r="E469" s="177"/>
      <c r="F469" s="177"/>
      <c r="G469" s="179"/>
      <c r="H469" s="177"/>
      <c r="I469" s="177"/>
      <c r="J469" s="177"/>
      <c r="K469" s="173"/>
      <c r="L469" s="177"/>
      <c r="M469" s="177"/>
      <c r="N469" s="179"/>
      <c r="O469" s="177"/>
      <c r="P469" s="177"/>
      <c r="Q469" s="177"/>
      <c r="R469" s="177"/>
      <c r="S469" s="180"/>
    </row>
    <row r="470" spans="1:19" ht="14.1" customHeight="1" x14ac:dyDescent="0.2">
      <c r="A470" s="4">
        <v>23</v>
      </c>
      <c r="B470" s="4" t="s">
        <v>46</v>
      </c>
      <c r="Q470" s="177"/>
      <c r="R470" s="177"/>
      <c r="S470" s="177"/>
    </row>
    <row r="471" spans="1:19" ht="14.1" customHeight="1" x14ac:dyDescent="0.2">
      <c r="A471" s="4">
        <v>24</v>
      </c>
      <c r="B471" s="186" t="s">
        <v>54</v>
      </c>
      <c r="E471" s="64">
        <f>+ROUND('ECCR Billing Determinants'!B231/1000,0)</f>
        <v>0</v>
      </c>
      <c r="F471" s="4" t="s">
        <v>381</v>
      </c>
      <c r="G471" s="212">
        <f>+Rates!D237</f>
        <v>2.0099999999999998</v>
      </c>
      <c r="I471" s="5">
        <f>E471*G471</f>
        <v>0</v>
      </c>
      <c r="L471" s="64">
        <f>+E471</f>
        <v>0</v>
      </c>
      <c r="M471" s="4" t="s">
        <v>381</v>
      </c>
      <c r="N471" s="179">
        <f>+G471*(1+$V$5)</f>
        <v>2.0263646754601212</v>
      </c>
      <c r="P471" s="183">
        <f>L471*N471</f>
        <v>0</v>
      </c>
      <c r="S471" s="180"/>
    </row>
    <row r="472" spans="1:19" ht="14.1" customHeight="1" x14ac:dyDescent="0.35">
      <c r="A472" s="4">
        <v>25</v>
      </c>
      <c r="B472" s="186" t="s">
        <v>590</v>
      </c>
      <c r="E472" s="69">
        <f>+ROUND('ECCR Billing Determinants'!B254/1000,0)</f>
        <v>31195</v>
      </c>
      <c r="F472" s="4" t="s">
        <v>381</v>
      </c>
      <c r="G472" s="212">
        <f>+Rates!D238</f>
        <v>2.0099999999999998</v>
      </c>
      <c r="I472" s="65">
        <f>E472*G472</f>
        <v>62701.94999999999</v>
      </c>
      <c r="L472" s="69">
        <f>+E472</f>
        <v>31195</v>
      </c>
      <c r="M472" s="4" t="s">
        <v>381</v>
      </c>
      <c r="N472" s="179">
        <f>+G472*(1+$V$5)</f>
        <v>2.0263646754601212</v>
      </c>
      <c r="P472" s="238">
        <f>L472*N472</f>
        <v>63212.446050978484</v>
      </c>
      <c r="Q472" s="177"/>
      <c r="R472" s="177">
        <f t="shared" ref="R472:R473" si="99">+P472-I472</f>
        <v>510.49605097849417</v>
      </c>
      <c r="S472" s="152">
        <f t="shared" ref="S472:S473" si="100">IF(R472=0,0,(P472-I472)/I472)</f>
        <v>8.1416295821500652E-3</v>
      </c>
    </row>
    <row r="473" spans="1:19" ht="14.1" customHeight="1" x14ac:dyDescent="0.35">
      <c r="A473" s="4">
        <v>26</v>
      </c>
      <c r="B473" s="4" t="s">
        <v>221</v>
      </c>
      <c r="E473" s="64">
        <f>SUM(E471:E472)</f>
        <v>31195</v>
      </c>
      <c r="F473" s="4" t="s">
        <v>381</v>
      </c>
      <c r="I473" s="177">
        <f>SUM(I471:I472)</f>
        <v>62701.94999999999</v>
      </c>
      <c r="L473" s="64">
        <f>SUM(L471:L472)</f>
        <v>31195</v>
      </c>
      <c r="M473" s="4" t="s">
        <v>381</v>
      </c>
      <c r="P473" s="238">
        <f>SUM(P471:P472)</f>
        <v>63212.446050978484</v>
      </c>
      <c r="Q473" s="177"/>
      <c r="R473" s="177">
        <f t="shared" si="99"/>
        <v>510.49605097849417</v>
      </c>
      <c r="S473" s="152">
        <f t="shared" si="100"/>
        <v>8.1416295821500652E-3</v>
      </c>
    </row>
    <row r="474" spans="1:19" ht="14.1" customHeight="1" x14ac:dyDescent="0.2">
      <c r="A474" s="4">
        <v>27</v>
      </c>
      <c r="B474" s="216"/>
      <c r="C474" s="188"/>
      <c r="D474" s="9"/>
      <c r="E474" s="177"/>
      <c r="F474" s="177"/>
      <c r="G474" s="179"/>
      <c r="H474" s="177"/>
      <c r="I474" s="177"/>
      <c r="J474" s="177"/>
      <c r="K474" s="173"/>
      <c r="L474" s="177"/>
      <c r="M474" s="177"/>
      <c r="N474" s="191"/>
      <c r="O474" s="177"/>
      <c r="P474" s="177"/>
      <c r="Q474" s="177"/>
      <c r="R474" s="177"/>
      <c r="S474" s="180"/>
    </row>
    <row r="475" spans="1:19" ht="14.1" customHeight="1" x14ac:dyDescent="0.2">
      <c r="A475" s="4">
        <v>28</v>
      </c>
      <c r="B475" s="4" t="s">
        <v>49</v>
      </c>
    </row>
    <row r="476" spans="1:19" ht="14.1" customHeight="1" x14ac:dyDescent="0.2">
      <c r="A476" s="4">
        <v>29</v>
      </c>
      <c r="B476" s="186" t="s">
        <v>54</v>
      </c>
      <c r="E476" s="64">
        <f>+ROUND('ECCR Billing Determinants'!B232/1000,0)</f>
        <v>0</v>
      </c>
      <c r="F476" s="4" t="s">
        <v>381</v>
      </c>
      <c r="G476" s="212">
        <f>+Rates!D240</f>
        <v>-1.01</v>
      </c>
      <c r="I476" s="5">
        <f>E476*G476</f>
        <v>0</v>
      </c>
      <c r="L476" s="64">
        <f>+E476</f>
        <v>0</v>
      </c>
      <c r="M476" s="4" t="s">
        <v>381</v>
      </c>
      <c r="N476" s="179">
        <f>+G476*(1+$V$5)</f>
        <v>-1.0182230458779715</v>
      </c>
      <c r="P476" s="183">
        <f>L476*N476</f>
        <v>0</v>
      </c>
      <c r="R476" s="177">
        <f t="shared" ref="R476:R478" si="101">+P476-I476</f>
        <v>0</v>
      </c>
      <c r="S476" s="152">
        <f t="shared" ref="S476:S478" si="102">IF(R476=0,0,(P476-I476)/I476)</f>
        <v>0</v>
      </c>
    </row>
    <row r="477" spans="1:19" ht="14.1" customHeight="1" x14ac:dyDescent="0.35">
      <c r="A477" s="4">
        <v>30</v>
      </c>
      <c r="B477" s="4" t="s">
        <v>590</v>
      </c>
      <c r="E477" s="69">
        <f>+ROUND('ECCR Billing Determinants'!B255/1000,0)</f>
        <v>0</v>
      </c>
      <c r="F477" s="4" t="s">
        <v>381</v>
      </c>
      <c r="G477" s="212">
        <f>+Rates!D241</f>
        <v>-1.01</v>
      </c>
      <c r="I477" s="67">
        <f>E477*G477</f>
        <v>0</v>
      </c>
      <c r="L477" s="69">
        <f>+E477</f>
        <v>0</v>
      </c>
      <c r="M477" s="4" t="s">
        <v>381</v>
      </c>
      <c r="N477" s="179">
        <f>+G477*(1+$V$5)</f>
        <v>-1.0182230458779715</v>
      </c>
      <c r="P477" s="238">
        <f>L477*N477</f>
        <v>0</v>
      </c>
      <c r="R477" s="177">
        <f t="shared" si="101"/>
        <v>0</v>
      </c>
      <c r="S477" s="152">
        <f t="shared" si="102"/>
        <v>0</v>
      </c>
    </row>
    <row r="478" spans="1:19" ht="14.1" customHeight="1" x14ac:dyDescent="0.2">
      <c r="A478" s="4">
        <v>31</v>
      </c>
      <c r="B478" s="4" t="s">
        <v>27</v>
      </c>
      <c r="E478" s="64">
        <f>SUM(E476:E477)</f>
        <v>0</v>
      </c>
      <c r="I478" s="38">
        <f>SUM(I476:I477)</f>
        <v>0</v>
      </c>
      <c r="L478" s="64">
        <f>SUM(L476:L477)</f>
        <v>0</v>
      </c>
      <c r="P478" s="38">
        <f>SUM(P476:P477)</f>
        <v>0</v>
      </c>
      <c r="R478" s="177">
        <f t="shared" si="101"/>
        <v>0</v>
      </c>
      <c r="S478" s="152">
        <f t="shared" si="102"/>
        <v>0</v>
      </c>
    </row>
    <row r="479" spans="1:19" ht="14.1" customHeight="1" x14ac:dyDescent="0.2">
      <c r="A479" s="4">
        <v>32</v>
      </c>
      <c r="B479" s="216"/>
      <c r="C479" s="188"/>
      <c r="D479" s="9"/>
      <c r="E479" s="177"/>
      <c r="F479" s="177"/>
      <c r="G479" s="179"/>
      <c r="H479" s="177"/>
      <c r="I479" s="177"/>
      <c r="J479" s="177"/>
      <c r="K479" s="173"/>
      <c r="L479" s="177"/>
      <c r="M479" s="177"/>
      <c r="N479" s="191"/>
      <c r="O479" s="177"/>
      <c r="P479" s="177"/>
      <c r="Q479" s="177"/>
      <c r="R479" s="177"/>
      <c r="S479" s="180"/>
    </row>
    <row r="480" spans="1:19" ht="14.1" customHeight="1" x14ac:dyDescent="0.2">
      <c r="A480" s="4">
        <v>33</v>
      </c>
      <c r="B480" s="104"/>
      <c r="E480" s="5"/>
    </row>
    <row r="481" spans="1:19" ht="14.1" customHeight="1" x14ac:dyDescent="0.2">
      <c r="A481" s="4">
        <v>34</v>
      </c>
      <c r="E481" s="5"/>
      <c r="F481" s="5"/>
      <c r="G481" s="46"/>
      <c r="H481" s="29"/>
      <c r="L481" s="177"/>
      <c r="M481" s="177"/>
      <c r="N481" s="274"/>
      <c r="O481" s="177"/>
      <c r="P481" s="177"/>
      <c r="Q481" s="177"/>
      <c r="R481" s="177"/>
      <c r="S481" s="177"/>
    </row>
    <row r="482" spans="1:19" ht="14.1" customHeight="1" thickBot="1" x14ac:dyDescent="0.25">
      <c r="A482" s="4">
        <v>35</v>
      </c>
      <c r="B482" s="45" t="s">
        <v>50</v>
      </c>
      <c r="C482" s="186"/>
      <c r="F482" s="177"/>
      <c r="G482" s="177"/>
      <c r="H482" s="177"/>
      <c r="I482" s="241">
        <f>+I468+I457+I451+I478+I473+I463</f>
        <v>9853727.3335373346</v>
      </c>
      <c r="J482" s="177"/>
      <c r="K482" s="173"/>
      <c r="L482" s="177"/>
      <c r="M482" s="177"/>
      <c r="N482" s="177"/>
      <c r="O482" s="177"/>
      <c r="P482" s="241">
        <f>+P468+P457+P451+P478+P473+P463</f>
        <v>9933952.7314905003</v>
      </c>
      <c r="R482" s="177">
        <f>+P482-I482</f>
        <v>80225.397953165695</v>
      </c>
      <c r="S482" s="152">
        <f>IF(R482=0,0,(P482-I482)/I482)</f>
        <v>8.1416295821498067E-3</v>
      </c>
    </row>
    <row r="483" spans="1:19" ht="14.1" customHeight="1" thickTop="1" x14ac:dyDescent="0.2">
      <c r="A483" s="4">
        <v>36</v>
      </c>
      <c r="B483" s="266"/>
      <c r="C483" s="266"/>
      <c r="D483" s="266"/>
      <c r="E483" s="266"/>
      <c r="F483" s="266"/>
      <c r="G483" s="266"/>
      <c r="H483" s="266"/>
      <c r="I483" s="266"/>
      <c r="J483" s="266"/>
      <c r="K483" s="266"/>
      <c r="L483" s="177"/>
      <c r="M483" s="177"/>
      <c r="N483" s="177"/>
      <c r="O483" s="177"/>
      <c r="P483" s="177"/>
      <c r="Q483" s="177"/>
      <c r="R483" s="177"/>
      <c r="S483" s="177"/>
    </row>
    <row r="484" spans="1:19" ht="14.1" customHeight="1" x14ac:dyDescent="0.2">
      <c r="A484" s="4">
        <v>37</v>
      </c>
      <c r="B484" s="266"/>
      <c r="C484" s="266"/>
      <c r="D484" s="266"/>
      <c r="E484" s="266"/>
      <c r="F484" s="266"/>
      <c r="G484" s="266"/>
      <c r="H484" s="266"/>
      <c r="I484" s="266"/>
      <c r="J484" s="266"/>
      <c r="K484" s="266"/>
      <c r="L484" s="177"/>
      <c r="M484" s="177"/>
      <c r="N484" s="177"/>
      <c r="O484" s="177"/>
      <c r="P484" s="177"/>
      <c r="Q484" s="177"/>
      <c r="R484" s="177"/>
      <c r="S484" s="177"/>
    </row>
    <row r="485" spans="1:19" ht="14.1" customHeight="1" x14ac:dyDescent="0.2">
      <c r="A485" s="4">
        <v>38</v>
      </c>
      <c r="B485" s="303" t="s">
        <v>177</v>
      </c>
      <c r="C485" s="303"/>
      <c r="D485" s="303"/>
      <c r="E485" s="303"/>
      <c r="F485" s="303"/>
      <c r="G485" s="266"/>
      <c r="H485" s="266"/>
      <c r="I485" s="266"/>
      <c r="J485" s="266"/>
      <c r="K485" s="266"/>
      <c r="L485" s="177"/>
      <c r="M485" s="177"/>
      <c r="N485" s="177"/>
      <c r="O485" s="177"/>
      <c r="P485" s="177"/>
      <c r="Q485" s="177"/>
      <c r="R485" s="177"/>
      <c r="S485" s="177"/>
    </row>
    <row r="486" spans="1:19" ht="14.1" customHeight="1" thickBot="1" x14ac:dyDescent="0.25">
      <c r="A486" s="16">
        <v>39</v>
      </c>
      <c r="B486" s="16"/>
      <c r="C486" s="16"/>
      <c r="D486" s="16"/>
      <c r="E486" s="16"/>
      <c r="F486" s="16"/>
      <c r="G486" s="16"/>
      <c r="H486" s="16"/>
      <c r="I486" s="16"/>
      <c r="J486" s="16"/>
      <c r="K486" s="151"/>
      <c r="L486" s="16"/>
      <c r="M486" s="16"/>
      <c r="N486" s="16"/>
      <c r="O486" s="16"/>
      <c r="P486" s="16"/>
      <c r="Q486" s="16"/>
      <c r="R486" s="16"/>
      <c r="S486" s="150"/>
    </row>
    <row r="487" spans="1:19" ht="14.1" customHeight="1" x14ac:dyDescent="0.2">
      <c r="S487" s="4" t="s">
        <v>219</v>
      </c>
    </row>
    <row r="488" spans="1:19" ht="14.1" customHeight="1" x14ac:dyDescent="0.2">
      <c r="H488" s="292" t="s">
        <v>768</v>
      </c>
      <c r="I488" s="292"/>
      <c r="J488" s="292"/>
      <c r="K488" s="292"/>
      <c r="L488" s="292"/>
    </row>
    <row r="489" spans="1:19" ht="14.1" customHeight="1" thickBot="1" x14ac:dyDescent="0.25">
      <c r="A489" s="16" t="s">
        <v>7</v>
      </c>
      <c r="B489" s="16"/>
      <c r="C489" s="16"/>
      <c r="D489" s="16"/>
      <c r="E489" s="16"/>
      <c r="F489" s="16"/>
      <c r="G489" s="16"/>
      <c r="H489" s="301" t="s">
        <v>380</v>
      </c>
      <c r="I489" s="301"/>
      <c r="J489" s="301"/>
      <c r="K489" s="301"/>
      <c r="L489" s="301"/>
      <c r="M489" s="16"/>
      <c r="N489" s="16"/>
      <c r="O489" s="16"/>
      <c r="P489" s="16"/>
      <c r="Q489" s="16"/>
      <c r="R489" s="16"/>
      <c r="S489" s="150" t="str">
        <f>"Page " &amp; INT(ROW()/$R$1 +1)  &amp; "  of " &amp; S$1</f>
        <v>Page 10  of 19</v>
      </c>
    </row>
    <row r="490" spans="1:19" ht="14.1" customHeight="1" x14ac:dyDescent="0.2">
      <c r="A490" s="4" t="s">
        <v>21</v>
      </c>
      <c r="E490" s="4" t="s">
        <v>761</v>
      </c>
      <c r="G490" s="4" t="s">
        <v>766</v>
      </c>
      <c r="K490" s="285"/>
      <c r="L490" s="56"/>
      <c r="N490" s="56"/>
      <c r="O490" s="56"/>
      <c r="P490" s="56" t="s">
        <v>663</v>
      </c>
      <c r="S490" s="22"/>
    </row>
    <row r="491" spans="1:19" ht="14.1" customHeight="1" x14ac:dyDescent="0.2">
      <c r="G491" s="4" t="s">
        <v>767</v>
      </c>
      <c r="K491" s="284"/>
      <c r="L491" s="22"/>
      <c r="O491" s="21"/>
      <c r="P491" s="21"/>
      <c r="Q491" s="22" t="s">
        <v>764</v>
      </c>
      <c r="S491" s="21"/>
    </row>
    <row r="492" spans="1:19" ht="14.1" customHeight="1" x14ac:dyDescent="0.2">
      <c r="A492" s="4" t="s">
        <v>29</v>
      </c>
      <c r="G492" s="4" t="s">
        <v>770</v>
      </c>
      <c r="K492" s="284"/>
      <c r="L492" s="22"/>
      <c r="M492" s="21"/>
      <c r="P492" s="21"/>
      <c r="Q492" s="22" t="s">
        <v>765</v>
      </c>
      <c r="S492" s="21"/>
    </row>
    <row r="493" spans="1:19" ht="14.1" customHeight="1" x14ac:dyDescent="0.2">
      <c r="G493" s="4" t="s">
        <v>769</v>
      </c>
      <c r="K493" s="284"/>
      <c r="L493" s="22"/>
      <c r="M493" s="21"/>
      <c r="P493" s="21"/>
      <c r="Q493" s="22"/>
      <c r="S493" s="21"/>
    </row>
    <row r="494" spans="1:19" ht="14.1" customHeight="1" x14ac:dyDescent="0.2">
      <c r="C494" s="21"/>
      <c r="H494" s="10"/>
      <c r="I494" s="10"/>
      <c r="J494" s="10"/>
      <c r="K494" s="284"/>
      <c r="Q494" s="4" t="s">
        <v>738</v>
      </c>
    </row>
    <row r="495" spans="1:19" ht="14.1" customHeight="1" thickBot="1" x14ac:dyDescent="0.25">
      <c r="A495" s="16"/>
      <c r="B495" s="16"/>
      <c r="C495" s="150"/>
      <c r="D495" s="101"/>
      <c r="E495" s="101"/>
      <c r="F495" s="101"/>
      <c r="G495" s="102"/>
      <c r="H495" s="101"/>
      <c r="I495" s="101"/>
      <c r="J495" s="101"/>
      <c r="K495" s="101"/>
      <c r="L495" s="101"/>
      <c r="M495" s="101"/>
      <c r="N495" s="101"/>
      <c r="O495" s="101"/>
      <c r="P495" s="101"/>
      <c r="Q495" s="101"/>
      <c r="R495" s="101"/>
      <c r="S495" s="101"/>
    </row>
    <row r="496" spans="1:19" ht="14.1" customHeight="1" x14ac:dyDescent="0.2">
      <c r="E496" s="10"/>
      <c r="G496" s="10"/>
      <c r="H496" s="103"/>
      <c r="I496" s="10"/>
      <c r="K496" s="10"/>
      <c r="M496" s="103"/>
    </row>
    <row r="497" spans="1:19" ht="14.1" customHeight="1" x14ac:dyDescent="0.2">
      <c r="A497" s="9"/>
      <c r="B497" s="92"/>
      <c r="C497" s="92"/>
      <c r="D497" s="1"/>
      <c r="E497" s="39"/>
      <c r="F497" s="1"/>
      <c r="G497" s="1"/>
      <c r="H497" s="39"/>
      <c r="I497" s="1"/>
      <c r="J497" s="1"/>
      <c r="K497" s="3"/>
      <c r="L497" s="1"/>
      <c r="M497" s="39"/>
      <c r="N497" s="1"/>
      <c r="O497" s="1"/>
      <c r="P497" s="1"/>
      <c r="Q497" s="1"/>
      <c r="R497" s="1"/>
      <c r="S497" s="1"/>
    </row>
    <row r="498" spans="1:19" ht="14.1" customHeight="1" x14ac:dyDescent="0.2">
      <c r="A498" s="9"/>
      <c r="B498" s="92"/>
      <c r="C498" s="1"/>
      <c r="D498" s="1"/>
      <c r="E498" s="1"/>
      <c r="F498" s="39"/>
      <c r="G498" s="39"/>
      <c r="H498" s="40"/>
      <c r="I498" s="40" t="s">
        <v>14</v>
      </c>
      <c r="J498" s="3"/>
      <c r="K498" s="41" t="s">
        <v>673</v>
      </c>
      <c r="L498" s="39"/>
      <c r="M498" s="1"/>
      <c r="N498" s="39"/>
      <c r="O498" s="39"/>
      <c r="P498" s="39"/>
      <c r="Q498" s="39"/>
      <c r="R498" s="39"/>
      <c r="S498" s="1"/>
    </row>
    <row r="499" spans="1:19" ht="14.1" customHeight="1" x14ac:dyDescent="0.2">
      <c r="A499" s="9"/>
      <c r="B499" s="92"/>
      <c r="C499" s="1"/>
      <c r="D499" s="1"/>
      <c r="E499" s="1"/>
      <c r="F499" s="39"/>
      <c r="G499" s="39"/>
      <c r="H499" s="39"/>
      <c r="I499" s="39"/>
      <c r="J499" s="39"/>
      <c r="K499" s="3"/>
      <c r="L499" s="39"/>
      <c r="M499" s="39"/>
      <c r="N499" s="39"/>
      <c r="O499" s="39"/>
      <c r="P499" s="39"/>
      <c r="Q499" s="39"/>
      <c r="R499" s="39"/>
      <c r="S499" s="39"/>
    </row>
    <row r="500" spans="1:19" ht="14.1" customHeight="1" x14ac:dyDescent="0.2">
      <c r="A500" s="149" t="s">
        <v>26</v>
      </c>
      <c r="B500" s="176" t="s">
        <v>5</v>
      </c>
      <c r="C500" s="216"/>
      <c r="D500" s="213"/>
      <c r="E500" s="192"/>
      <c r="F500" s="192"/>
      <c r="G500" s="267" t="s">
        <v>8</v>
      </c>
      <c r="H500" s="192"/>
      <c r="I500" s="192"/>
      <c r="J500" s="216"/>
      <c r="K500" s="187"/>
      <c r="L500" s="192"/>
      <c r="M500" s="267"/>
      <c r="N500" s="267" t="s">
        <v>9</v>
      </c>
      <c r="O500" s="192"/>
      <c r="P500" s="192"/>
      <c r="Q500" s="216"/>
      <c r="R500" s="290" t="s">
        <v>750</v>
      </c>
      <c r="S500" s="290" t="s">
        <v>752</v>
      </c>
    </row>
    <row r="501" spans="1:19" ht="14.1" customHeight="1" thickBot="1" x14ac:dyDescent="0.25">
      <c r="A501" s="151" t="s">
        <v>28</v>
      </c>
      <c r="B501" s="175" t="s">
        <v>10</v>
      </c>
      <c r="C501" s="215"/>
      <c r="D501" s="44"/>
      <c r="E501" s="151" t="s">
        <v>11</v>
      </c>
      <c r="F501" s="194"/>
      <c r="G501" s="194" t="s">
        <v>12</v>
      </c>
      <c r="H501" s="194"/>
      <c r="I501" s="194" t="s">
        <v>13</v>
      </c>
      <c r="J501" s="194"/>
      <c r="K501" s="194"/>
      <c r="L501" s="194" t="s">
        <v>11</v>
      </c>
      <c r="M501" s="194"/>
      <c r="N501" s="194" t="s">
        <v>12</v>
      </c>
      <c r="O501" s="194"/>
      <c r="P501" s="194" t="s">
        <v>13</v>
      </c>
      <c r="Q501" s="215"/>
      <c r="R501" s="291" t="s">
        <v>751</v>
      </c>
      <c r="S501" s="291" t="s">
        <v>4</v>
      </c>
    </row>
    <row r="502" spans="1:19" ht="14.1" customHeight="1" x14ac:dyDescent="0.2">
      <c r="A502" s="4">
        <v>1</v>
      </c>
      <c r="B502" s="169"/>
      <c r="C502" s="186"/>
      <c r="F502" s="188"/>
      <c r="G502" s="188"/>
      <c r="H502" s="188"/>
      <c r="I502" s="188"/>
      <c r="J502" s="186"/>
      <c r="K502" s="187"/>
      <c r="L502" s="186"/>
      <c r="M502" s="188"/>
      <c r="N502" s="188"/>
      <c r="O502" s="188"/>
      <c r="P502" s="188"/>
      <c r="Q502" s="188"/>
      <c r="R502" s="188"/>
      <c r="S502" s="188"/>
    </row>
    <row r="503" spans="1:19" ht="14.1" customHeight="1" x14ac:dyDescent="0.2">
      <c r="A503" s="4">
        <v>2</v>
      </c>
      <c r="B503" s="186" t="s">
        <v>393</v>
      </c>
    </row>
    <row r="504" spans="1:19" ht="14.1" customHeight="1" x14ac:dyDescent="0.2">
      <c r="A504" s="4">
        <v>3</v>
      </c>
      <c r="B504" s="43" t="s">
        <v>58</v>
      </c>
      <c r="E504" s="4">
        <f>+'ECCR Billing Determinants'!C258</f>
        <v>0</v>
      </c>
      <c r="F504" s="177" t="s">
        <v>611</v>
      </c>
      <c r="G504" s="212">
        <f>+Rates!D248</f>
        <v>20.181774208124615</v>
      </c>
      <c r="I504" s="177">
        <f t="shared" ref="I504:I505" si="103">+G504*E504</f>
        <v>0</v>
      </c>
      <c r="L504" s="4">
        <f>+E504</f>
        <v>0</v>
      </c>
      <c r="M504" s="177" t="s">
        <v>611</v>
      </c>
      <c r="N504" s="212">
        <f>+G504*(1+$V$5)</f>
        <v>20.346086738037751</v>
      </c>
      <c r="P504" s="177">
        <f t="shared" ref="P504:P505" si="104">+N504*L504</f>
        <v>0</v>
      </c>
      <c r="R504" s="177">
        <f t="shared" ref="R504:R506" si="105">+P504-I504</f>
        <v>0</v>
      </c>
      <c r="S504" s="152">
        <f t="shared" ref="S504:S506" si="106">IF(R504=0,0,(P504-I504)/I504)</f>
        <v>0</v>
      </c>
    </row>
    <row r="505" spans="1:19" ht="14.1" customHeight="1" x14ac:dyDescent="0.35">
      <c r="A505" s="4">
        <v>4</v>
      </c>
      <c r="B505" s="4" t="s">
        <v>229</v>
      </c>
      <c r="C505" s="186"/>
      <c r="E505" s="238">
        <f>+'ECCR Billing Determinants'!C286</f>
        <v>737.60416666666674</v>
      </c>
      <c r="F505" s="177" t="s">
        <v>611</v>
      </c>
      <c r="G505" s="212">
        <f>+Rates!D249</f>
        <v>20.181774208124615</v>
      </c>
      <c r="H505" s="177"/>
      <c r="I505" s="237">
        <f t="shared" si="103"/>
        <v>14886.160746638585</v>
      </c>
      <c r="J505" s="183"/>
      <c r="K505" s="173"/>
      <c r="L505" s="238">
        <f>+E505</f>
        <v>737.60416666666674</v>
      </c>
      <c r="M505" s="177" t="s">
        <v>611</v>
      </c>
      <c r="N505" s="212">
        <f>+G505*(1+$V$5)</f>
        <v>20.346086738037751</v>
      </c>
      <c r="O505" s="177"/>
      <c r="P505" s="237">
        <f t="shared" si="104"/>
        <v>15007.358353338055</v>
      </c>
      <c r="R505" s="177">
        <f t="shared" si="105"/>
        <v>121.19760669947027</v>
      </c>
      <c r="S505" s="152">
        <f t="shared" si="106"/>
        <v>8.1416295821498275E-3</v>
      </c>
    </row>
    <row r="506" spans="1:19" ht="14.1" customHeight="1" x14ac:dyDescent="0.2">
      <c r="A506" s="4">
        <v>5</v>
      </c>
      <c r="B506" s="186" t="s">
        <v>16</v>
      </c>
      <c r="C506" s="186"/>
      <c r="E506" s="68">
        <f>SUM(E504:E505)</f>
        <v>737.60416666666674</v>
      </c>
      <c r="F506" s="177" t="s">
        <v>612</v>
      </c>
      <c r="G506" s="212"/>
      <c r="H506" s="177"/>
      <c r="I506" s="181">
        <f>SUM(I504:I505)</f>
        <v>14886.160746638585</v>
      </c>
      <c r="J506" s="177"/>
      <c r="K506" s="173"/>
      <c r="L506" s="68">
        <f>SUM(L504:L505)</f>
        <v>737.60416666666674</v>
      </c>
      <c r="M506" s="177" t="s">
        <v>612</v>
      </c>
      <c r="N506" s="212"/>
      <c r="O506" s="177"/>
      <c r="P506" s="181">
        <f>SUM(P504:P505)</f>
        <v>15007.358353338055</v>
      </c>
      <c r="R506" s="177">
        <f t="shared" si="105"/>
        <v>121.19760669947027</v>
      </c>
      <c r="S506" s="152">
        <f t="shared" si="106"/>
        <v>8.1416295821498275E-3</v>
      </c>
    </row>
    <row r="507" spans="1:19" ht="14.1" customHeight="1" x14ac:dyDescent="0.2">
      <c r="A507" s="4">
        <v>6</v>
      </c>
      <c r="I507" s="183"/>
      <c r="P507" s="183"/>
      <c r="S507" s="9"/>
    </row>
    <row r="508" spans="1:19" ht="14.1" customHeight="1" x14ac:dyDescent="0.2">
      <c r="A508" s="4">
        <v>7</v>
      </c>
      <c r="B508" s="186" t="s">
        <v>51</v>
      </c>
      <c r="I508" s="183"/>
      <c r="P508" s="183"/>
      <c r="S508" s="9"/>
    </row>
    <row r="509" spans="1:19" ht="14.1" customHeight="1" x14ac:dyDescent="0.2">
      <c r="A509" s="4">
        <v>8</v>
      </c>
      <c r="B509" s="43" t="s">
        <v>58</v>
      </c>
      <c r="E509" s="4">
        <v>0</v>
      </c>
      <c r="F509" s="177" t="s">
        <v>379</v>
      </c>
      <c r="G509" s="212">
        <f>+Rates!D251</f>
        <v>10.34</v>
      </c>
      <c r="I509" s="177">
        <f>+G509*E509</f>
        <v>0</v>
      </c>
      <c r="L509" s="4">
        <f>+E509</f>
        <v>0</v>
      </c>
      <c r="M509" s="177" t="s">
        <v>379</v>
      </c>
      <c r="N509" s="212">
        <f>+G509*(1+$V$5)</f>
        <v>10.42418444987943</v>
      </c>
      <c r="P509" s="177">
        <f>+N509*L509</f>
        <v>0</v>
      </c>
      <c r="R509" s="177">
        <f t="shared" ref="R509:R512" si="107">+P509-I509</f>
        <v>0</v>
      </c>
      <c r="S509" s="152">
        <f t="shared" ref="S509:S512" si="108">IF(R509=0,0,(P509-I509)/I509)</f>
        <v>0</v>
      </c>
    </row>
    <row r="510" spans="1:19" ht="14.1" customHeight="1" x14ac:dyDescent="0.2">
      <c r="A510" s="4">
        <v>9</v>
      </c>
      <c r="B510" s="4" t="s">
        <v>125</v>
      </c>
      <c r="E510" s="183">
        <f>+ROUND('ECCR Billing Determinants'!B294/1000,0)</f>
        <v>17586</v>
      </c>
      <c r="F510" s="177" t="s">
        <v>379</v>
      </c>
      <c r="G510" s="212">
        <f>+Rates!D252</f>
        <v>15.71</v>
      </c>
      <c r="I510" s="177">
        <f t="shared" ref="I510:I511" si="109">+G510*E510</f>
        <v>276276.06</v>
      </c>
      <c r="L510" s="183">
        <f t="shared" ref="L510:L511" si="110">+E510</f>
        <v>17586</v>
      </c>
      <c r="M510" s="177" t="s">
        <v>379</v>
      </c>
      <c r="N510" s="212">
        <f>+G510*(1+$V$5)</f>
        <v>15.837905000735576</v>
      </c>
      <c r="O510" s="177"/>
      <c r="P510" s="177">
        <f t="shared" ref="P510:P511" si="111">+N510*L510</f>
        <v>278525.39734293584</v>
      </c>
      <c r="R510" s="177">
        <f t="shared" si="107"/>
        <v>2249.3373429358471</v>
      </c>
      <c r="S510" s="152">
        <f t="shared" si="108"/>
        <v>8.1416295821499958E-3</v>
      </c>
    </row>
    <row r="511" spans="1:19" ht="14.1" customHeight="1" x14ac:dyDescent="0.35">
      <c r="A511" s="4">
        <v>10</v>
      </c>
      <c r="B511" s="4" t="s">
        <v>128</v>
      </c>
      <c r="C511" s="188"/>
      <c r="D511" s="9"/>
      <c r="E511" s="238">
        <f>+ROUND('ECCR Billing Determinants'!B295/1000,0)</f>
        <v>53197</v>
      </c>
      <c r="F511" s="177" t="s">
        <v>379</v>
      </c>
      <c r="G511" s="212">
        <f>+Rates!D253</f>
        <v>8.4</v>
      </c>
      <c r="H511" s="177"/>
      <c r="I511" s="237">
        <f t="shared" si="109"/>
        <v>446854.80000000005</v>
      </c>
      <c r="J511" s="177"/>
      <c r="K511" s="173"/>
      <c r="L511" s="238">
        <f t="shared" si="110"/>
        <v>53197</v>
      </c>
      <c r="M511" s="177" t="s">
        <v>379</v>
      </c>
      <c r="N511" s="212">
        <f>+G511*(1+$V$5)</f>
        <v>8.4683896884900598</v>
      </c>
      <c r="P511" s="237">
        <f t="shared" si="111"/>
        <v>450492.92625860573</v>
      </c>
      <c r="R511" s="177">
        <f t="shared" si="107"/>
        <v>3638.1262586056837</v>
      </c>
      <c r="S511" s="152">
        <f t="shared" si="108"/>
        <v>8.1416295821499143E-3</v>
      </c>
    </row>
    <row r="512" spans="1:19" ht="14.1" customHeight="1" x14ac:dyDescent="0.2">
      <c r="A512" s="4">
        <v>11</v>
      </c>
      <c r="B512" s="4" t="s">
        <v>599</v>
      </c>
      <c r="C512" s="188"/>
      <c r="D512" s="9"/>
      <c r="E512" s="183">
        <f>SUM(E509:E511)</f>
        <v>70783</v>
      </c>
      <c r="F512" s="177"/>
      <c r="G512" s="212"/>
      <c r="H512" s="177"/>
      <c r="I512" s="181">
        <f>SUM(I509:I511)</f>
        <v>723130.8600000001</v>
      </c>
      <c r="J512" s="177"/>
      <c r="K512" s="173"/>
      <c r="L512" s="183">
        <f>SUM(L509:L511)</f>
        <v>70783</v>
      </c>
      <c r="M512" s="177"/>
      <c r="N512" s="212"/>
      <c r="P512" s="181">
        <f>SUM(P509:P511)</f>
        <v>729018.32360154158</v>
      </c>
      <c r="R512" s="177">
        <f t="shared" si="107"/>
        <v>5887.4636015414726</v>
      </c>
      <c r="S512" s="152">
        <f t="shared" si="108"/>
        <v>8.141629582149864E-3</v>
      </c>
    </row>
    <row r="513" spans="1:19" ht="14.1" customHeight="1" x14ac:dyDescent="0.2">
      <c r="A513" s="4">
        <v>12</v>
      </c>
      <c r="C513" s="188"/>
      <c r="D513" s="9"/>
      <c r="E513" s="183"/>
      <c r="F513" s="177"/>
      <c r="G513" s="212"/>
      <c r="H513" s="177"/>
      <c r="I513" s="183"/>
      <c r="J513" s="177"/>
      <c r="K513" s="173"/>
      <c r="L513" s="183"/>
      <c r="M513" s="177"/>
      <c r="N513" s="212"/>
      <c r="P513" s="183"/>
      <c r="S513" s="180"/>
    </row>
    <row r="514" spans="1:19" ht="14.1" customHeight="1" x14ac:dyDescent="0.2">
      <c r="A514" s="4">
        <v>13</v>
      </c>
      <c r="B514" s="186" t="s">
        <v>133</v>
      </c>
      <c r="G514" s="212"/>
      <c r="I514" s="183"/>
      <c r="N514" s="212"/>
      <c r="P514" s="183"/>
      <c r="S514" s="9"/>
    </row>
    <row r="515" spans="1:19" ht="14.1" customHeight="1" x14ac:dyDescent="0.2">
      <c r="A515" s="4">
        <v>14</v>
      </c>
      <c r="B515" s="186" t="s">
        <v>58</v>
      </c>
      <c r="E515" s="4">
        <v>0</v>
      </c>
      <c r="F515" s="177" t="s">
        <v>379</v>
      </c>
      <c r="G515" s="161">
        <f>+Rates!D255</f>
        <v>8.5</v>
      </c>
      <c r="I515" s="183">
        <f>G515*E515</f>
        <v>0</v>
      </c>
      <c r="L515" s="4">
        <f>E515</f>
        <v>0</v>
      </c>
      <c r="M515" s="177" t="s">
        <v>379</v>
      </c>
      <c r="N515" s="212">
        <f>+G515*(1+$V$5)</f>
        <v>8.5692038514482736</v>
      </c>
      <c r="P515" s="183">
        <f>N515*L515</f>
        <v>0</v>
      </c>
      <c r="R515" s="177">
        <f t="shared" ref="R515:R518" si="112">+P515-I515</f>
        <v>0</v>
      </c>
      <c r="S515" s="152">
        <f t="shared" ref="S515:S518" si="113">IF(R515=0,0,(P515-I515)/I515)</f>
        <v>0</v>
      </c>
    </row>
    <row r="516" spans="1:19" ht="14.1" customHeight="1" x14ac:dyDescent="0.2">
      <c r="A516" s="4">
        <v>15</v>
      </c>
      <c r="B516" s="4" t="s">
        <v>125</v>
      </c>
      <c r="E516" s="183">
        <f>+ROUND('ECCR Billing Determinants'!B300/1000,0)</f>
        <v>1267</v>
      </c>
      <c r="F516" s="177" t="s">
        <v>379</v>
      </c>
      <c r="G516" s="161">
        <f>+Rates!D256</f>
        <v>8.5</v>
      </c>
      <c r="I516" s="177">
        <f t="shared" ref="I516:I517" si="114">+G516*E516</f>
        <v>10769.5</v>
      </c>
      <c r="L516" s="183">
        <f t="shared" ref="L516:L517" si="115">E516</f>
        <v>1267</v>
      </c>
      <c r="M516" s="177" t="s">
        <v>379</v>
      </c>
      <c r="N516" s="212">
        <f>+G516*(1+$V$5)</f>
        <v>8.5692038514482736</v>
      </c>
      <c r="P516" s="177">
        <f t="shared" ref="P516:P517" si="116">+N516*L516</f>
        <v>10857.181279784963</v>
      </c>
      <c r="Q516" s="177"/>
      <c r="R516" s="177">
        <f t="shared" si="112"/>
        <v>87.681279784963408</v>
      </c>
      <c r="S516" s="152">
        <f t="shared" si="113"/>
        <v>8.1416295821499056E-3</v>
      </c>
    </row>
    <row r="517" spans="1:19" ht="14.1" customHeight="1" x14ac:dyDescent="0.35">
      <c r="A517" s="4">
        <v>16</v>
      </c>
      <c r="B517" s="4" t="s">
        <v>128</v>
      </c>
      <c r="E517" s="238">
        <f>+ROUND('ECCR Billing Determinants'!B301/1000,0)</f>
        <v>3659</v>
      </c>
      <c r="F517" s="177" t="s">
        <v>379</v>
      </c>
      <c r="G517" s="161">
        <f>+Rates!D257</f>
        <v>8.5</v>
      </c>
      <c r="I517" s="177">
        <f t="shared" si="114"/>
        <v>31101.5</v>
      </c>
      <c r="L517" s="238">
        <f t="shared" si="115"/>
        <v>3659</v>
      </c>
      <c r="M517" s="177" t="s">
        <v>379</v>
      </c>
      <c r="N517" s="212">
        <f>+G517*(1+$V$5)</f>
        <v>8.5692038514482736</v>
      </c>
      <c r="P517" s="177">
        <f t="shared" si="116"/>
        <v>31354.716892449233</v>
      </c>
      <c r="R517" s="177">
        <f t="shared" si="112"/>
        <v>253.21689244923255</v>
      </c>
      <c r="S517" s="152">
        <f t="shared" si="113"/>
        <v>8.1416295821498171E-3</v>
      </c>
    </row>
    <row r="518" spans="1:19" ht="14.1" customHeight="1" x14ac:dyDescent="0.2">
      <c r="A518" s="4">
        <v>17</v>
      </c>
      <c r="B518" s="186" t="s">
        <v>16</v>
      </c>
      <c r="C518" s="188"/>
      <c r="D518" s="9"/>
      <c r="E518" s="177">
        <f>SUM(E515:E517)</f>
        <v>4926</v>
      </c>
      <c r="F518" s="177" t="s">
        <v>379</v>
      </c>
      <c r="G518" s="212"/>
      <c r="H518" s="177"/>
      <c r="I518" s="185">
        <f>SUM(I516:I517)</f>
        <v>41871</v>
      </c>
      <c r="J518" s="177"/>
      <c r="K518" s="173"/>
      <c r="L518" s="177">
        <f>SUM(L515:L517)</f>
        <v>4926</v>
      </c>
      <c r="M518" s="177" t="s">
        <v>379</v>
      </c>
      <c r="N518" s="179"/>
      <c r="P518" s="185">
        <f>SUM(P516:P517)</f>
        <v>42211.8981722342</v>
      </c>
      <c r="R518" s="177">
        <f t="shared" si="112"/>
        <v>340.89817223419959</v>
      </c>
      <c r="S518" s="152">
        <f t="shared" si="113"/>
        <v>8.1416295821499264E-3</v>
      </c>
    </row>
    <row r="519" spans="1:19" ht="14.1" customHeight="1" x14ac:dyDescent="0.2">
      <c r="A519" s="4">
        <v>18</v>
      </c>
      <c r="S519" s="9"/>
    </row>
    <row r="520" spans="1:19" ht="14.1" customHeight="1" x14ac:dyDescent="0.2">
      <c r="A520" s="4">
        <v>19</v>
      </c>
      <c r="B520" s="186" t="s">
        <v>53</v>
      </c>
    </row>
    <row r="521" spans="1:19" ht="14.1" customHeight="1" x14ac:dyDescent="0.2">
      <c r="A521" s="4">
        <v>20</v>
      </c>
      <c r="B521" s="43" t="s">
        <v>58</v>
      </c>
      <c r="E521" s="4">
        <v>0</v>
      </c>
      <c r="F521" s="177" t="s">
        <v>44</v>
      </c>
      <c r="G521" s="179">
        <f>+Rates!D259</f>
        <v>11.5</v>
      </c>
      <c r="H521" s="220"/>
      <c r="I521" s="177">
        <f>+G521*E521</f>
        <v>0</v>
      </c>
      <c r="L521" s="4">
        <f>+E521</f>
        <v>0</v>
      </c>
      <c r="M521" s="177" t="s">
        <v>44</v>
      </c>
      <c r="N521" s="212">
        <f>+G521*(1+$V$5)</f>
        <v>11.593628740194724</v>
      </c>
      <c r="P521" s="177">
        <f>+N521*L521</f>
        <v>0</v>
      </c>
      <c r="R521" s="177">
        <f t="shared" ref="R521:R524" si="117">+P521-I521</f>
        <v>0</v>
      </c>
      <c r="S521" s="152">
        <f t="shared" ref="S521:S524" si="118">IF(R521=0,0,(P521-I521)/I521)</f>
        <v>0</v>
      </c>
    </row>
    <row r="522" spans="1:19" ht="14.1" customHeight="1" x14ac:dyDescent="0.2">
      <c r="A522" s="4">
        <v>21</v>
      </c>
      <c r="B522" s="4" t="s">
        <v>253</v>
      </c>
      <c r="E522" s="177">
        <f>+ROUND('ECCR Billing Determinants'!B296,0)</f>
        <v>122295</v>
      </c>
      <c r="F522" s="177" t="s">
        <v>44</v>
      </c>
      <c r="G522" s="179">
        <f>+Rates!D260</f>
        <v>3.65</v>
      </c>
      <c r="H522" s="220"/>
      <c r="I522" s="177">
        <f t="shared" ref="I522:I523" si="119">+G522*E522</f>
        <v>446376.75</v>
      </c>
      <c r="J522" s="177"/>
      <c r="K522" s="173"/>
      <c r="L522" s="177">
        <f t="shared" ref="L522:L523" si="120">+E522</f>
        <v>122295</v>
      </c>
      <c r="M522" s="177" t="s">
        <v>44</v>
      </c>
      <c r="N522" s="212">
        <f>+G522*(1+$V$5)</f>
        <v>3.6797169479748471</v>
      </c>
      <c r="P522" s="177">
        <f>+N522*L522</f>
        <v>450010.98415258393</v>
      </c>
      <c r="Q522" s="177"/>
      <c r="R522" s="177">
        <f t="shared" si="117"/>
        <v>3634.2341525839292</v>
      </c>
      <c r="S522" s="152">
        <f t="shared" si="118"/>
        <v>8.1416295821498969E-3</v>
      </c>
    </row>
    <row r="523" spans="1:19" ht="14.1" customHeight="1" x14ac:dyDescent="0.35">
      <c r="A523" s="4">
        <v>22</v>
      </c>
      <c r="B523" s="4" t="s">
        <v>122</v>
      </c>
      <c r="E523" s="237">
        <f>+ROUND('ECCR Billing Determinants'!B297,0)</f>
        <v>114848</v>
      </c>
      <c r="F523" s="177" t="s">
        <v>48</v>
      </c>
      <c r="G523" s="179">
        <f>+Rates!D261</f>
        <v>7.82</v>
      </c>
      <c r="H523" s="220"/>
      <c r="I523" s="177">
        <f t="shared" si="119"/>
        <v>898111.36</v>
      </c>
      <c r="L523" s="237">
        <f t="shared" si="120"/>
        <v>114848</v>
      </c>
      <c r="M523" s="177" t="s">
        <v>48</v>
      </c>
      <c r="N523" s="212">
        <f>+G523*(1+$V$5)</f>
        <v>7.8836675433324128</v>
      </c>
      <c r="P523" s="177">
        <f>+N523*L523</f>
        <v>905423.45001664094</v>
      </c>
      <c r="R523" s="177">
        <f t="shared" si="117"/>
        <v>7312.0900166409556</v>
      </c>
      <c r="S523" s="152">
        <f t="shared" si="118"/>
        <v>8.1416295821499854E-3</v>
      </c>
    </row>
    <row r="524" spans="1:19" ht="14.1" customHeight="1" x14ac:dyDescent="0.2">
      <c r="A524" s="4">
        <v>23</v>
      </c>
      <c r="B524" s="4" t="s">
        <v>27</v>
      </c>
      <c r="E524" s="177">
        <f>SUM(E521:E522)</f>
        <v>122295</v>
      </c>
      <c r="F524" s="177"/>
      <c r="G524" s="179"/>
      <c r="H524" s="220"/>
      <c r="I524" s="185">
        <f>SUM(I521:I523)</f>
        <v>1344488.1099999999</v>
      </c>
      <c r="L524" s="177">
        <f>SUM(L521:L522)</f>
        <v>122295</v>
      </c>
      <c r="M524" s="177"/>
      <c r="N524" s="179"/>
      <c r="P524" s="185">
        <f>SUM(P521:P523)</f>
        <v>1355434.4341692249</v>
      </c>
      <c r="R524" s="177">
        <f t="shared" si="117"/>
        <v>10946.324169225059</v>
      </c>
      <c r="S524" s="152">
        <f t="shared" si="118"/>
        <v>8.1416295821500877E-3</v>
      </c>
    </row>
    <row r="525" spans="1:19" ht="14.1" customHeight="1" x14ac:dyDescent="0.2">
      <c r="A525" s="4">
        <v>24</v>
      </c>
      <c r="E525" s="177"/>
      <c r="F525" s="177"/>
      <c r="G525" s="179"/>
      <c r="H525" s="220"/>
      <c r="I525" s="177"/>
      <c r="L525" s="177"/>
      <c r="M525" s="177"/>
      <c r="N525" s="179"/>
      <c r="P525" s="177"/>
      <c r="S525" s="180"/>
    </row>
    <row r="526" spans="1:19" ht="14.1" customHeight="1" x14ac:dyDescent="0.2">
      <c r="A526" s="4">
        <v>25</v>
      </c>
      <c r="B526" s="219" t="s">
        <v>52</v>
      </c>
      <c r="I526" s="183"/>
      <c r="P526" s="183"/>
    </row>
    <row r="527" spans="1:19" ht="14.1" customHeight="1" x14ac:dyDescent="0.2">
      <c r="A527" s="4">
        <v>26</v>
      </c>
      <c r="B527" s="219" t="s">
        <v>643</v>
      </c>
      <c r="E527" s="4">
        <v>0</v>
      </c>
      <c r="F527" s="4" t="s">
        <v>44</v>
      </c>
      <c r="G527" s="212">
        <f>+Rates!D263</f>
        <v>1.2933058517163978</v>
      </c>
      <c r="I527" s="183">
        <f>G527*E527</f>
        <v>0</v>
      </c>
      <c r="L527" s="4">
        <f>+E527</f>
        <v>0</v>
      </c>
      <c r="M527" s="4" t="s">
        <v>44</v>
      </c>
      <c r="N527" s="212">
        <f t="shared" ref="N527:N532" si="121">+G527*(1+$V$5)</f>
        <v>1.3038354688974996</v>
      </c>
      <c r="P527" s="183">
        <f>N527*L527</f>
        <v>0</v>
      </c>
      <c r="R527" s="177">
        <f t="shared" ref="R527:R533" si="122">+P527-I527</f>
        <v>0</v>
      </c>
      <c r="S527" s="152">
        <f t="shared" ref="S527:S533" si="123">IF(R527=0,0,(P527-I527)/I527)</f>
        <v>0</v>
      </c>
    </row>
    <row r="528" spans="1:19" ht="14.1" customHeight="1" x14ac:dyDescent="0.2">
      <c r="A528" s="4">
        <v>27</v>
      </c>
      <c r="B528" s="219" t="s">
        <v>642</v>
      </c>
      <c r="E528" s="4">
        <v>0</v>
      </c>
      <c r="F528" s="4" t="s">
        <v>136</v>
      </c>
      <c r="G528" s="212">
        <f>+Rates!D264</f>
        <v>1.38</v>
      </c>
      <c r="H528" s="4" t="s">
        <v>364</v>
      </c>
      <c r="I528" s="183">
        <f t="shared" ref="I528:I529" si="124">G528*E528</f>
        <v>0</v>
      </c>
      <c r="L528" s="4">
        <f t="shared" ref="L528:L532" si="125">+E528</f>
        <v>0</v>
      </c>
      <c r="M528" s="4" t="s">
        <v>136</v>
      </c>
      <c r="N528" s="212">
        <f t="shared" si="121"/>
        <v>1.3912354488233667</v>
      </c>
      <c r="P528" s="183">
        <f t="shared" ref="P528:P529" si="126">N528*L528</f>
        <v>0</v>
      </c>
      <c r="R528" s="177">
        <f t="shared" si="122"/>
        <v>0</v>
      </c>
      <c r="S528" s="152">
        <f t="shared" si="123"/>
        <v>0</v>
      </c>
    </row>
    <row r="529" spans="1:19" ht="14.1" customHeight="1" x14ac:dyDescent="0.2">
      <c r="A529" s="4">
        <v>28</v>
      </c>
      <c r="B529" s="219" t="s">
        <v>641</v>
      </c>
      <c r="E529" s="4">
        <v>0</v>
      </c>
      <c r="F529" s="4" t="s">
        <v>136</v>
      </c>
      <c r="G529" s="212">
        <f>+Rates!D265</f>
        <v>0.5474</v>
      </c>
      <c r="H529" s="4" t="s">
        <v>365</v>
      </c>
      <c r="I529" s="183">
        <f t="shared" si="124"/>
        <v>0</v>
      </c>
      <c r="L529" s="4">
        <f t="shared" si="125"/>
        <v>0</v>
      </c>
      <c r="M529" s="4" t="s">
        <v>136</v>
      </c>
      <c r="N529" s="212">
        <f t="shared" si="121"/>
        <v>0.55185672803326891</v>
      </c>
      <c r="P529" s="183">
        <f t="shared" si="126"/>
        <v>0</v>
      </c>
      <c r="R529" s="177">
        <f t="shared" si="122"/>
        <v>0</v>
      </c>
      <c r="S529" s="152">
        <f t="shared" si="123"/>
        <v>0</v>
      </c>
    </row>
    <row r="530" spans="1:19" ht="14.1" customHeight="1" x14ac:dyDescent="0.2">
      <c r="A530" s="4">
        <v>29</v>
      </c>
      <c r="B530" s="43" t="s">
        <v>205</v>
      </c>
      <c r="E530" s="183">
        <f>+ROUND('ECCR Billing Determinants'!B302,0)</f>
        <v>92339</v>
      </c>
      <c r="F530" s="177" t="s">
        <v>44</v>
      </c>
      <c r="G530" s="212">
        <f>+Rates!D266</f>
        <v>1.2933058517163978</v>
      </c>
      <c r="H530" s="220"/>
      <c r="I530" s="177">
        <f t="shared" ref="I530:I532" si="127">+G530*E530</f>
        <v>119422.56904164045</v>
      </c>
      <c r="L530" s="183">
        <f t="shared" si="125"/>
        <v>92339</v>
      </c>
      <c r="M530" s="177" t="s">
        <v>44</v>
      </c>
      <c r="N530" s="212">
        <f t="shared" si="121"/>
        <v>1.3038354688974996</v>
      </c>
      <c r="O530" s="220"/>
      <c r="P530" s="177">
        <f t="shared" ref="P530:P532" si="128">+N530*L530</f>
        <v>120394.86336252622</v>
      </c>
      <c r="Q530" s="177"/>
      <c r="R530" s="177">
        <f t="shared" si="122"/>
        <v>972.29432088576141</v>
      </c>
      <c r="S530" s="152">
        <f t="shared" si="123"/>
        <v>8.1416295821499229E-3</v>
      </c>
    </row>
    <row r="531" spans="1:19" ht="14.1" customHeight="1" x14ac:dyDescent="0.2">
      <c r="A531" s="4">
        <v>30</v>
      </c>
      <c r="B531" s="43" t="s">
        <v>208</v>
      </c>
      <c r="C531" s="188"/>
      <c r="D531" s="9"/>
      <c r="E531" s="183">
        <f>+ROUND('ECCR Billing Determinants'!B303,0)</f>
        <v>52399</v>
      </c>
      <c r="F531" s="177" t="s">
        <v>136</v>
      </c>
      <c r="G531" s="212">
        <f>+Rates!D267</f>
        <v>1.38</v>
      </c>
      <c r="H531" s="220" t="s">
        <v>364</v>
      </c>
      <c r="I531" s="177">
        <f t="shared" si="127"/>
        <v>72310.62</v>
      </c>
      <c r="J531" s="177"/>
      <c r="K531" s="173"/>
      <c r="L531" s="183">
        <f t="shared" si="125"/>
        <v>52399</v>
      </c>
      <c r="M531" s="177" t="s">
        <v>136</v>
      </c>
      <c r="N531" s="212">
        <f t="shared" si="121"/>
        <v>1.3912354488233667</v>
      </c>
      <c r="O531" s="220" t="s">
        <v>134</v>
      </c>
      <c r="P531" s="177">
        <f t="shared" si="128"/>
        <v>72899.346282895596</v>
      </c>
      <c r="Q531" s="177"/>
      <c r="R531" s="177">
        <f t="shared" si="122"/>
        <v>588.72628289560089</v>
      </c>
      <c r="S531" s="152">
        <f t="shared" si="123"/>
        <v>8.1416295821499108E-3</v>
      </c>
    </row>
    <row r="532" spans="1:19" ht="14.1" customHeight="1" x14ac:dyDescent="0.2">
      <c r="A532" s="4">
        <v>31</v>
      </c>
      <c r="B532" s="43" t="s">
        <v>211</v>
      </c>
      <c r="E532" s="181">
        <f>+ROUND('ECCR Billing Determinants'!B304,0)</f>
        <v>168439</v>
      </c>
      <c r="F532" s="177" t="s">
        <v>136</v>
      </c>
      <c r="G532" s="212">
        <f>+Rates!D268</f>
        <v>0.5474</v>
      </c>
      <c r="H532" s="220" t="s">
        <v>365</v>
      </c>
      <c r="I532" s="177">
        <f t="shared" si="127"/>
        <v>92203.508600000001</v>
      </c>
      <c r="L532" s="181">
        <f t="shared" si="125"/>
        <v>168439</v>
      </c>
      <c r="M532" s="177" t="s">
        <v>136</v>
      </c>
      <c r="N532" s="212">
        <f t="shared" si="121"/>
        <v>0.55185672803326891</v>
      </c>
      <c r="O532" s="220" t="s">
        <v>135</v>
      </c>
      <c r="P532" s="177">
        <f t="shared" si="128"/>
        <v>92954.195413195775</v>
      </c>
      <c r="R532" s="177">
        <f t="shared" si="122"/>
        <v>750.68681319577445</v>
      </c>
      <c r="S532" s="152">
        <f t="shared" si="123"/>
        <v>8.1416295821499195E-3</v>
      </c>
    </row>
    <row r="533" spans="1:19" ht="14.1" customHeight="1" x14ac:dyDescent="0.2">
      <c r="A533" s="4">
        <v>32</v>
      </c>
      <c r="B533" s="186" t="s">
        <v>16</v>
      </c>
      <c r="C533" s="188"/>
      <c r="D533" s="9"/>
      <c r="E533" s="177">
        <f>SUM(E530:E530)+SUM(E521:E522)</f>
        <v>214634</v>
      </c>
      <c r="F533" s="177" t="s">
        <v>44</v>
      </c>
      <c r="G533" s="179"/>
      <c r="H533" s="177"/>
      <c r="I533" s="185">
        <f>SUM(I527:I532)</f>
        <v>283936.69764164044</v>
      </c>
      <c r="J533" s="177"/>
      <c r="K533" s="173"/>
      <c r="L533" s="177">
        <f>SUM(L530:L530)+SUM(L521:L522)</f>
        <v>214634</v>
      </c>
      <c r="M533" s="177" t="s">
        <v>44</v>
      </c>
      <c r="N533" s="179"/>
      <c r="O533" s="177"/>
      <c r="P533" s="185">
        <f>SUM(P527:P532)</f>
        <v>286248.40505861759</v>
      </c>
      <c r="R533" s="177">
        <f t="shared" si="122"/>
        <v>2311.7074169771513</v>
      </c>
      <c r="S533" s="152">
        <f t="shared" si="123"/>
        <v>8.1416295821499698E-3</v>
      </c>
    </row>
    <row r="534" spans="1:19" ht="14.1" customHeight="1" x14ac:dyDescent="0.2">
      <c r="A534" s="4">
        <v>33</v>
      </c>
      <c r="I534" s="183"/>
      <c r="P534" s="183"/>
      <c r="S534" s="9"/>
    </row>
    <row r="535" spans="1:19" ht="14.1" customHeight="1" x14ac:dyDescent="0.2">
      <c r="A535" s="4">
        <v>34</v>
      </c>
      <c r="I535" s="183"/>
      <c r="P535" s="183"/>
    </row>
    <row r="536" spans="1:19" ht="14.1" customHeight="1" x14ac:dyDescent="0.2">
      <c r="A536" s="4">
        <v>35</v>
      </c>
      <c r="B536" s="186" t="s">
        <v>362</v>
      </c>
      <c r="I536" s="183"/>
      <c r="P536" s="183"/>
    </row>
    <row r="537" spans="1:19" ht="14.1" customHeight="1" x14ac:dyDescent="0.2">
      <c r="A537" s="4">
        <v>36</v>
      </c>
      <c r="B537" s="43" t="s">
        <v>58</v>
      </c>
      <c r="E537" s="4">
        <f>+ROUND('ECCR Billing Determinants'!B262/1000,0)</f>
        <v>0</v>
      </c>
      <c r="F537" s="4" t="s">
        <v>381</v>
      </c>
      <c r="G537" s="212">
        <f>+Rates!D271</f>
        <v>2.0100000000000002</v>
      </c>
      <c r="I537" s="183">
        <f t="shared" ref="I537:I538" si="129">+G537*E537</f>
        <v>0</v>
      </c>
      <c r="L537" s="4">
        <f>+E537</f>
        <v>0</v>
      </c>
      <c r="M537" s="4" t="s">
        <v>381</v>
      </c>
      <c r="N537" s="212">
        <f>+G537*(1+$V$5)</f>
        <v>2.0263646754601217</v>
      </c>
      <c r="P537" s="183">
        <f t="shared" ref="P537:P538" si="130">+N537*L537</f>
        <v>0</v>
      </c>
      <c r="R537" s="177">
        <f t="shared" ref="R537:R539" si="131">+P537-I537</f>
        <v>0</v>
      </c>
      <c r="S537" s="152">
        <f t="shared" ref="S537:S539" si="132">IF(R537=0,0,(P537-I537)/I537)</f>
        <v>0</v>
      </c>
    </row>
    <row r="538" spans="1:19" ht="14.1" customHeight="1" x14ac:dyDescent="0.35">
      <c r="A538" s="4">
        <v>37</v>
      </c>
      <c r="B538" s="4" t="s">
        <v>229</v>
      </c>
      <c r="E538" s="238">
        <f>+ROUND('ECCR Billing Determinants'!B290/1000,0)</f>
        <v>9791</v>
      </c>
      <c r="F538" s="4" t="s">
        <v>381</v>
      </c>
      <c r="G538" s="212">
        <f>+Rates!D272</f>
        <v>2.0100000000000002</v>
      </c>
      <c r="I538" s="181">
        <f t="shared" si="129"/>
        <v>19679.910000000003</v>
      </c>
      <c r="L538" s="238">
        <f t="shared" ref="L538" si="133">+E538</f>
        <v>9791</v>
      </c>
      <c r="M538" s="4" t="s">
        <v>381</v>
      </c>
      <c r="N538" s="212">
        <f>+G538*(1+$V$5)</f>
        <v>2.0263646754601217</v>
      </c>
      <c r="P538" s="238">
        <f t="shared" si="130"/>
        <v>19840.136537430051</v>
      </c>
      <c r="R538" s="177">
        <f t="shared" si="131"/>
        <v>160.22653743004776</v>
      </c>
      <c r="S538" s="152">
        <f t="shared" si="132"/>
        <v>8.1416295821499039E-3</v>
      </c>
    </row>
    <row r="539" spans="1:19" ht="14.1" customHeight="1" x14ac:dyDescent="0.2">
      <c r="A539" s="4">
        <v>38</v>
      </c>
      <c r="C539" s="4" t="s">
        <v>27</v>
      </c>
      <c r="E539" s="5">
        <f>SUM(E537:E538)</f>
        <v>9791</v>
      </c>
      <c r="I539" s="53">
        <f>SUM(I537:I538)</f>
        <v>19679.910000000003</v>
      </c>
      <c r="L539" s="5">
        <f>SUM(L537:L538)</f>
        <v>9791</v>
      </c>
      <c r="P539" s="38">
        <f>SUM(P537:P538)</f>
        <v>19840.136537430051</v>
      </c>
      <c r="R539" s="177">
        <f t="shared" si="131"/>
        <v>160.22653743004776</v>
      </c>
      <c r="S539" s="152">
        <f t="shared" si="132"/>
        <v>8.1416295821499039E-3</v>
      </c>
    </row>
    <row r="540" spans="1:19" ht="14.1" customHeight="1" thickBot="1" x14ac:dyDescent="0.25">
      <c r="A540" s="16">
        <v>39</v>
      </c>
      <c r="B540" s="16"/>
      <c r="C540" s="16"/>
      <c r="D540" s="16"/>
      <c r="E540" s="16"/>
      <c r="F540" s="16"/>
      <c r="G540" s="16"/>
      <c r="H540" s="16"/>
      <c r="I540" s="16"/>
      <c r="J540" s="16"/>
      <c r="K540" s="151"/>
      <c r="L540" s="16"/>
      <c r="M540" s="16"/>
      <c r="N540" s="16"/>
      <c r="O540" s="16"/>
      <c r="P540" s="16"/>
      <c r="Q540" s="16"/>
      <c r="R540" s="16"/>
      <c r="S540" s="150"/>
    </row>
    <row r="541" spans="1:19" ht="14.25" customHeight="1" x14ac:dyDescent="0.2">
      <c r="S541" s="4" t="str">
        <f>+$S$109</f>
        <v>Recap Schedules:  E-13a</v>
      </c>
    </row>
    <row r="542" spans="1:19" ht="14.25" customHeight="1" x14ac:dyDescent="0.2">
      <c r="H542" s="292" t="s">
        <v>768</v>
      </c>
      <c r="I542" s="292"/>
      <c r="J542" s="292"/>
      <c r="K542" s="292"/>
      <c r="L542" s="292"/>
    </row>
    <row r="543" spans="1:19" ht="14.1" customHeight="1" thickBot="1" x14ac:dyDescent="0.25">
      <c r="A543" s="16" t="s">
        <v>7</v>
      </c>
      <c r="B543" s="16"/>
      <c r="C543" s="16"/>
      <c r="D543" s="16"/>
      <c r="E543" s="16"/>
      <c r="F543" s="16"/>
      <c r="G543" s="16"/>
      <c r="H543" s="301" t="s">
        <v>380</v>
      </c>
      <c r="I543" s="301"/>
      <c r="J543" s="301"/>
      <c r="K543" s="301"/>
      <c r="L543" s="301"/>
      <c r="M543" s="16"/>
      <c r="N543" s="16"/>
      <c r="O543" s="16"/>
      <c r="P543" s="16"/>
      <c r="Q543" s="16"/>
      <c r="R543" s="16"/>
      <c r="S543" s="150" t="str">
        <f>"Page " &amp; INT(ROW()/$R$1 +1)  &amp; "  of " &amp; S$1</f>
        <v>Page 11  of 19</v>
      </c>
    </row>
    <row r="544" spans="1:19" ht="14.1" customHeight="1" x14ac:dyDescent="0.2">
      <c r="A544" s="4" t="s">
        <v>21</v>
      </c>
      <c r="E544" s="4" t="s">
        <v>761</v>
      </c>
      <c r="G544" s="4" t="s">
        <v>766</v>
      </c>
      <c r="K544" s="285"/>
      <c r="L544" s="56"/>
      <c r="N544" s="56"/>
      <c r="O544" s="56"/>
      <c r="P544" s="56" t="s">
        <v>663</v>
      </c>
      <c r="S544" s="22"/>
    </row>
    <row r="545" spans="1:19" ht="14.1" customHeight="1" x14ac:dyDescent="0.2">
      <c r="G545" s="4" t="s">
        <v>767</v>
      </c>
      <c r="K545" s="284"/>
      <c r="L545" s="22"/>
      <c r="O545" s="21"/>
      <c r="P545" s="21"/>
      <c r="Q545" s="22" t="s">
        <v>764</v>
      </c>
      <c r="S545" s="21"/>
    </row>
    <row r="546" spans="1:19" ht="14.1" customHeight="1" x14ac:dyDescent="0.2">
      <c r="A546" s="4" t="s">
        <v>29</v>
      </c>
      <c r="G546" s="4" t="s">
        <v>770</v>
      </c>
      <c r="K546" s="284"/>
      <c r="L546" s="22"/>
      <c r="M546" s="21"/>
      <c r="P546" s="21"/>
      <c r="Q546" s="22" t="s">
        <v>765</v>
      </c>
      <c r="S546" s="21"/>
    </row>
    <row r="547" spans="1:19" ht="14.1" customHeight="1" x14ac:dyDescent="0.2">
      <c r="G547" s="4" t="s">
        <v>769</v>
      </c>
      <c r="K547" s="284"/>
      <c r="L547" s="22"/>
      <c r="M547" s="21"/>
      <c r="P547" s="21"/>
      <c r="Q547" s="22"/>
      <c r="S547" s="21"/>
    </row>
    <row r="548" spans="1:19" ht="14.1" customHeight="1" x14ac:dyDescent="0.2">
      <c r="C548" s="21"/>
      <c r="H548" s="10"/>
      <c r="I548" s="10"/>
      <c r="J548" s="10"/>
      <c r="K548" s="284"/>
      <c r="Q548" s="4" t="s">
        <v>738</v>
      </c>
    </row>
    <row r="549" spans="1:19" ht="14.1" customHeight="1" thickBot="1" x14ac:dyDescent="0.25">
      <c r="A549" s="16"/>
      <c r="B549" s="16"/>
      <c r="C549" s="150"/>
      <c r="D549" s="101"/>
      <c r="E549" s="101"/>
      <c r="F549" s="101"/>
      <c r="G549" s="102"/>
      <c r="H549" s="101"/>
      <c r="I549" s="101"/>
      <c r="J549" s="101"/>
      <c r="K549" s="101"/>
      <c r="L549" s="101"/>
      <c r="M549" s="101"/>
      <c r="N549" s="101"/>
      <c r="O549" s="101"/>
      <c r="P549" s="101"/>
      <c r="Q549" s="101"/>
      <c r="R549" s="101"/>
      <c r="S549" s="101"/>
    </row>
    <row r="550" spans="1:19" ht="14.1" customHeight="1" x14ac:dyDescent="0.2">
      <c r="E550" s="10"/>
      <c r="G550" s="10"/>
      <c r="H550" s="103"/>
      <c r="I550" s="10"/>
      <c r="K550" s="10"/>
      <c r="M550" s="103"/>
    </row>
    <row r="551" spans="1:19" ht="14.1" customHeight="1" x14ac:dyDescent="0.2">
      <c r="A551" s="9"/>
      <c r="B551" s="92"/>
      <c r="C551" s="92"/>
      <c r="D551" s="1"/>
      <c r="E551" s="39"/>
      <c r="F551" s="1"/>
      <c r="G551" s="1"/>
      <c r="H551" s="39"/>
      <c r="I551" s="1"/>
      <c r="J551" s="1"/>
      <c r="K551" s="3"/>
      <c r="L551" s="1"/>
      <c r="M551" s="39"/>
      <c r="N551" s="1"/>
      <c r="O551" s="1"/>
      <c r="P551" s="1"/>
      <c r="Q551" s="1"/>
      <c r="R551" s="1"/>
      <c r="S551" s="1"/>
    </row>
    <row r="552" spans="1:19" ht="14.1" customHeight="1" x14ac:dyDescent="0.2">
      <c r="A552" s="9"/>
      <c r="B552" s="92"/>
      <c r="C552" s="1"/>
      <c r="D552" s="1"/>
      <c r="E552" s="1"/>
      <c r="F552" s="39"/>
      <c r="G552" s="39"/>
      <c r="H552" s="40"/>
      <c r="I552" s="40" t="s">
        <v>14</v>
      </c>
      <c r="J552" s="3"/>
      <c r="K552" s="41" t="str">
        <f>K498</f>
        <v>SBLDPR,SBLDTPR</v>
      </c>
      <c r="L552" s="39"/>
      <c r="M552" s="1"/>
      <c r="N552" s="39"/>
      <c r="O552" s="39"/>
      <c r="P552" s="39"/>
      <c r="Q552" s="39"/>
      <c r="R552" s="39"/>
      <c r="S552" s="1"/>
    </row>
    <row r="553" spans="1:19" ht="14.1" customHeight="1" x14ac:dyDescent="0.2">
      <c r="A553" s="9"/>
      <c r="B553" s="92"/>
      <c r="C553" s="1"/>
      <c r="D553" s="1"/>
      <c r="E553" s="1"/>
      <c r="F553" s="39"/>
      <c r="G553" s="39"/>
      <c r="H553" s="39"/>
      <c r="I553" s="39"/>
      <c r="J553" s="39"/>
      <c r="K553" s="3"/>
      <c r="L553" s="39"/>
      <c r="M553" s="39"/>
      <c r="N553" s="39"/>
      <c r="O553" s="39"/>
      <c r="P553" s="39"/>
      <c r="Q553" s="39"/>
      <c r="R553" s="39"/>
      <c r="S553" s="39"/>
    </row>
    <row r="554" spans="1:19" ht="14.1" customHeight="1" x14ac:dyDescent="0.2">
      <c r="A554" s="149" t="s">
        <v>26</v>
      </c>
      <c r="B554" s="176" t="s">
        <v>5</v>
      </c>
      <c r="C554" s="216"/>
      <c r="D554" s="213"/>
      <c r="E554" s="192"/>
      <c r="F554" s="192"/>
      <c r="G554" s="267" t="s">
        <v>8</v>
      </c>
      <c r="H554" s="192"/>
      <c r="I554" s="192"/>
      <c r="J554" s="216"/>
      <c r="K554" s="187"/>
      <c r="L554" s="192"/>
      <c r="M554" s="267"/>
      <c r="N554" s="267" t="s">
        <v>9</v>
      </c>
      <c r="O554" s="192"/>
      <c r="P554" s="192"/>
      <c r="Q554" s="216"/>
      <c r="R554" s="290" t="s">
        <v>750</v>
      </c>
      <c r="S554" s="290" t="s">
        <v>752</v>
      </c>
    </row>
    <row r="555" spans="1:19" ht="14.1" customHeight="1" thickBot="1" x14ac:dyDescent="0.25">
      <c r="A555" s="151" t="s">
        <v>28</v>
      </c>
      <c r="B555" s="175" t="s">
        <v>10</v>
      </c>
      <c r="C555" s="215"/>
      <c r="D555" s="44"/>
      <c r="E555" s="151" t="s">
        <v>11</v>
      </c>
      <c r="F555" s="194"/>
      <c r="G555" s="194" t="s">
        <v>12</v>
      </c>
      <c r="H555" s="194"/>
      <c r="I555" s="194" t="s">
        <v>13</v>
      </c>
      <c r="J555" s="194"/>
      <c r="K555" s="194"/>
      <c r="L555" s="194" t="s">
        <v>11</v>
      </c>
      <c r="M555" s="194"/>
      <c r="N555" s="194" t="s">
        <v>12</v>
      </c>
      <c r="O555" s="194"/>
      <c r="P555" s="194" t="s">
        <v>13</v>
      </c>
      <c r="Q555" s="215"/>
      <c r="R555" s="291" t="s">
        <v>751</v>
      </c>
      <c r="S555" s="291" t="s">
        <v>4</v>
      </c>
    </row>
    <row r="556" spans="1:19" ht="14.1" customHeight="1" x14ac:dyDescent="0.2">
      <c r="A556" s="4">
        <v>1</v>
      </c>
      <c r="B556" s="302" t="str">
        <f>"Continued from " &amp; "Page " &amp; INT(ROW()/$R$1)</f>
        <v>Continued from Page 10</v>
      </c>
      <c r="C556" s="302"/>
      <c r="D556" s="302"/>
      <c r="F556" s="188"/>
      <c r="G556" s="188"/>
      <c r="H556" s="188"/>
      <c r="I556" s="188"/>
      <c r="J556" s="186"/>
      <c r="K556" s="187"/>
      <c r="L556" s="186"/>
      <c r="M556" s="188"/>
      <c r="N556" s="188"/>
      <c r="O556" s="188"/>
      <c r="P556" s="188"/>
      <c r="Q556" s="188"/>
      <c r="R556" s="188"/>
      <c r="S556" s="188"/>
    </row>
    <row r="557" spans="1:19" ht="14.1" customHeight="1" x14ac:dyDescent="0.2">
      <c r="A557" s="4">
        <v>2</v>
      </c>
      <c r="K557" s="4"/>
    </row>
    <row r="558" spans="1:19" ht="14.1" customHeight="1" x14ac:dyDescent="0.2">
      <c r="A558" s="4">
        <v>3</v>
      </c>
      <c r="B558" s="186" t="s">
        <v>363</v>
      </c>
      <c r="I558" s="183"/>
      <c r="P558" s="183"/>
    </row>
    <row r="559" spans="1:19" ht="14.1" customHeight="1" x14ac:dyDescent="0.2">
      <c r="A559" s="4">
        <v>4</v>
      </c>
      <c r="B559" s="43" t="s">
        <v>58</v>
      </c>
      <c r="E559" s="4">
        <f>+ROUND('ECCR Billing Determinants'!B263/1000,0)</f>
        <v>0</v>
      </c>
      <c r="F559" s="4" t="s">
        <v>381</v>
      </c>
      <c r="G559" s="212">
        <f>+Rates!D275</f>
        <v>-1.01</v>
      </c>
      <c r="I559" s="183">
        <f t="shared" ref="I559:I560" si="134">+G559*E559</f>
        <v>0</v>
      </c>
      <c r="L559" s="4">
        <f>+E559</f>
        <v>0</v>
      </c>
      <c r="M559" s="4" t="s">
        <v>381</v>
      </c>
      <c r="N559" s="212">
        <f>+G559*(1+$V$5)</f>
        <v>-1.0182230458779715</v>
      </c>
      <c r="P559" s="183">
        <f t="shared" ref="P559:P560" si="135">+N559*L559</f>
        <v>0</v>
      </c>
      <c r="R559" s="177">
        <f t="shared" ref="R559:R561" si="136">+P559-I559</f>
        <v>0</v>
      </c>
      <c r="S559" s="152">
        <f t="shared" ref="S559:S561" si="137">IF(R559=0,0,(P559-I559)/I559)</f>
        <v>0</v>
      </c>
    </row>
    <row r="560" spans="1:19" ht="14.1" customHeight="1" x14ac:dyDescent="0.2">
      <c r="A560" s="4">
        <v>5</v>
      </c>
      <c r="B560" s="4" t="s">
        <v>229</v>
      </c>
      <c r="E560" s="18">
        <f>+ROUND('ECCR Billing Determinants'!B291/1000,0)</f>
        <v>0</v>
      </c>
      <c r="F560" s="4" t="s">
        <v>381</v>
      </c>
      <c r="G560" s="212">
        <f>+Rates!D276</f>
        <v>-1.01</v>
      </c>
      <c r="I560" s="183">
        <f t="shared" si="134"/>
        <v>0</v>
      </c>
      <c r="L560" s="18">
        <f t="shared" ref="L560" si="138">+E560</f>
        <v>0</v>
      </c>
      <c r="M560" s="4" t="s">
        <v>381</v>
      </c>
      <c r="N560" s="212">
        <f>+G560*(1+$V$5)</f>
        <v>-1.0182230458779715</v>
      </c>
      <c r="P560" s="183">
        <f t="shared" si="135"/>
        <v>0</v>
      </c>
      <c r="R560" s="177">
        <f t="shared" si="136"/>
        <v>0</v>
      </c>
      <c r="S560" s="152">
        <f t="shared" si="137"/>
        <v>0</v>
      </c>
    </row>
    <row r="561" spans="1:19" ht="14.1" customHeight="1" x14ac:dyDescent="0.2">
      <c r="A561" s="4">
        <v>6</v>
      </c>
      <c r="B561" s="186" t="s">
        <v>16</v>
      </c>
      <c r="C561" s="186"/>
      <c r="E561" s="4">
        <f>SUM(E559:E560)</f>
        <v>0</v>
      </c>
      <c r="F561" s="4" t="s">
        <v>381</v>
      </c>
      <c r="I561" s="185">
        <f>SUM(I559:I560)</f>
        <v>0</v>
      </c>
      <c r="L561" s="4">
        <f>SUM(L559:L560)</f>
        <v>0</v>
      </c>
      <c r="M561" s="4" t="s">
        <v>381</v>
      </c>
      <c r="P561" s="185">
        <f>SUM(P559:P560)</f>
        <v>0</v>
      </c>
      <c r="R561" s="177">
        <f t="shared" si="136"/>
        <v>0</v>
      </c>
      <c r="S561" s="152">
        <f t="shared" si="137"/>
        <v>0</v>
      </c>
    </row>
    <row r="562" spans="1:19" ht="14.1" customHeight="1" x14ac:dyDescent="0.2">
      <c r="A562" s="4">
        <v>7</v>
      </c>
      <c r="I562" s="183"/>
      <c r="P562" s="183"/>
      <c r="S562" s="9"/>
    </row>
    <row r="563" spans="1:19" ht="14.1" customHeight="1" x14ac:dyDescent="0.2">
      <c r="A563" s="4">
        <v>8</v>
      </c>
      <c r="B563" s="186" t="s">
        <v>366</v>
      </c>
      <c r="D563" s="9"/>
      <c r="E563" s="6"/>
      <c r="F563" s="177"/>
      <c r="G563" s="177"/>
      <c r="H563" s="177"/>
      <c r="I563" s="177"/>
      <c r="J563" s="177"/>
      <c r="K563" s="173"/>
      <c r="L563" s="6"/>
      <c r="M563" s="177"/>
      <c r="N563" s="177"/>
      <c r="O563" s="177"/>
      <c r="P563" s="177"/>
      <c r="S563" s="180"/>
    </row>
    <row r="564" spans="1:19" ht="14.1" customHeight="1" x14ac:dyDescent="0.2">
      <c r="A564" s="4">
        <v>9</v>
      </c>
      <c r="B564" s="43" t="s">
        <v>58</v>
      </c>
      <c r="C564" s="186"/>
      <c r="D564" s="9"/>
      <c r="E564" s="4">
        <f>+ROUND('ECCR Billing Determinants'!B260,0)</f>
        <v>0</v>
      </c>
      <c r="F564" s="177" t="s">
        <v>44</v>
      </c>
      <c r="G564" s="179">
        <f>+Rates!D279</f>
        <v>0.67480378207017755</v>
      </c>
      <c r="H564" s="177"/>
      <c r="I564" s="177">
        <f t="shared" ref="I564:I565" si="139">+G564*E564</f>
        <v>0</v>
      </c>
      <c r="J564" s="177"/>
      <c r="K564" s="173"/>
      <c r="L564" s="4">
        <f>+E564</f>
        <v>0</v>
      </c>
      <c r="M564" s="177" t="str">
        <f t="shared" ref="M564:M565" si="140">+F564</f>
        <v>kW</v>
      </c>
      <c r="N564" s="179">
        <f>+G564*(1+$V$5)</f>
        <v>0.68029778450442679</v>
      </c>
      <c r="O564" s="177"/>
      <c r="P564" s="177">
        <f t="shared" ref="P564:P565" si="141">+N564*L564</f>
        <v>0</v>
      </c>
      <c r="R564" s="177">
        <f t="shared" ref="R564:R566" si="142">+P564-I564</f>
        <v>0</v>
      </c>
      <c r="S564" s="152">
        <f t="shared" ref="S564:S566" si="143">IF(R564=0,0,(P564-I564)/I564)</f>
        <v>0</v>
      </c>
    </row>
    <row r="565" spans="1:19" ht="14.1" customHeight="1" x14ac:dyDescent="0.35">
      <c r="A565" s="4">
        <v>10</v>
      </c>
      <c r="B565" s="4" t="s">
        <v>229</v>
      </c>
      <c r="D565" s="9"/>
      <c r="E565" s="65">
        <f>+ROUND('ECCR Billing Determinants'!B288,0)</f>
        <v>98312</v>
      </c>
      <c r="F565" s="177" t="s">
        <v>44</v>
      </c>
      <c r="G565" s="179">
        <f>+Rates!D280</f>
        <v>0.67480378207017755</v>
      </c>
      <c r="H565" s="177"/>
      <c r="I565" s="237">
        <f t="shared" si="139"/>
        <v>66341.309422883292</v>
      </c>
      <c r="J565" s="177"/>
      <c r="K565" s="173"/>
      <c r="L565" s="65">
        <f t="shared" ref="L565" si="144">+E565</f>
        <v>98312</v>
      </c>
      <c r="M565" s="177" t="str">
        <f t="shared" si="140"/>
        <v>kW</v>
      </c>
      <c r="N565" s="179">
        <f>+G565*(1+$V$5)</f>
        <v>0.68029778450442679</v>
      </c>
      <c r="O565" s="177"/>
      <c r="P565" s="237">
        <f t="shared" si="141"/>
        <v>66881.435790199204</v>
      </c>
      <c r="R565" s="177">
        <f t="shared" si="142"/>
        <v>540.12636731591192</v>
      </c>
      <c r="S565" s="152">
        <f t="shared" si="143"/>
        <v>8.1416295821499819E-3</v>
      </c>
    </row>
    <row r="566" spans="1:19" ht="14.1" customHeight="1" x14ac:dyDescent="0.2">
      <c r="A566" s="4">
        <v>11</v>
      </c>
      <c r="B566" s="4" t="s">
        <v>27</v>
      </c>
      <c r="E566" s="5">
        <f>SUM(E564:E565)</f>
        <v>98312</v>
      </c>
      <c r="I566" s="38">
        <f>SUM(I564:I565)</f>
        <v>66341.309422883292</v>
      </c>
      <c r="L566" s="5">
        <f>SUM(L564:L565)</f>
        <v>98312</v>
      </c>
      <c r="P566" s="38">
        <f>SUM(P564:P565)</f>
        <v>66881.435790199204</v>
      </c>
      <c r="R566" s="177">
        <f t="shared" si="142"/>
        <v>540.12636731591192</v>
      </c>
      <c r="S566" s="152">
        <f t="shared" si="143"/>
        <v>8.1416295821499819E-3</v>
      </c>
    </row>
    <row r="567" spans="1:19" ht="14.1" customHeight="1" x14ac:dyDescent="0.2">
      <c r="A567" s="4">
        <v>12</v>
      </c>
      <c r="K567" s="4"/>
      <c r="S567" s="180"/>
    </row>
    <row r="568" spans="1:19" ht="14.1" customHeight="1" x14ac:dyDescent="0.2">
      <c r="A568" s="4">
        <v>13</v>
      </c>
      <c r="B568" s="186"/>
      <c r="C568" s="186"/>
      <c r="D568" s="186"/>
      <c r="I568" s="183"/>
      <c r="P568" s="183"/>
    </row>
    <row r="569" spans="1:19" ht="14.1" customHeight="1" x14ac:dyDescent="0.35">
      <c r="A569" s="4">
        <v>14</v>
      </c>
      <c r="B569" s="43"/>
      <c r="E569" s="158"/>
      <c r="F569" s="177"/>
      <c r="G569" s="155"/>
      <c r="I569" s="177"/>
      <c r="L569" s="238"/>
      <c r="M569" s="177"/>
      <c r="N569" s="277"/>
      <c r="P569" s="177"/>
      <c r="R569" s="177"/>
      <c r="S569" s="152"/>
    </row>
    <row r="570" spans="1:19" ht="14.1" customHeight="1" thickBot="1" x14ac:dyDescent="0.25">
      <c r="A570" s="4">
        <v>15</v>
      </c>
      <c r="B570" s="45" t="s">
        <v>50</v>
      </c>
      <c r="I570" s="247">
        <f>+I571+I566+I539+I533+I518+I506+I524+I512+I561</f>
        <v>2494334.0478111627</v>
      </c>
      <c r="J570" s="177"/>
      <c r="K570" s="173"/>
      <c r="L570" s="177"/>
      <c r="P570" s="247">
        <f>+P571+P566+P561+P539+P533+P518+P524+P512+P506</f>
        <v>2514641.9916825858</v>
      </c>
      <c r="R570" s="177">
        <f>+P570-I570</f>
        <v>20307.943871423136</v>
      </c>
      <c r="S570" s="152">
        <f>IF(R570=0,0,(P570-I570)/I570)</f>
        <v>8.1416295821499281E-3</v>
      </c>
    </row>
    <row r="571" spans="1:19" ht="14.1" customHeight="1" thickTop="1" x14ac:dyDescent="0.2">
      <c r="A571" s="4">
        <v>16</v>
      </c>
      <c r="B571" s="186"/>
      <c r="C571" s="188"/>
      <c r="D571" s="9"/>
      <c r="E571" s="177"/>
      <c r="F571" s="177"/>
      <c r="G571" s="177"/>
      <c r="H571" s="177"/>
      <c r="K571" s="4"/>
    </row>
    <row r="572" spans="1:19" ht="14.1" customHeight="1" x14ac:dyDescent="0.2">
      <c r="A572" s="4">
        <v>17</v>
      </c>
      <c r="B572" s="186"/>
      <c r="C572" s="188"/>
      <c r="D572" s="9"/>
      <c r="E572" s="6"/>
      <c r="F572" s="177"/>
      <c r="G572" s="177"/>
      <c r="H572" s="177"/>
      <c r="K572" s="4"/>
    </row>
    <row r="573" spans="1:19" ht="14.1" customHeight="1" x14ac:dyDescent="0.2">
      <c r="A573" s="4">
        <v>18</v>
      </c>
      <c r="K573" s="4"/>
    </row>
    <row r="574" spans="1:19" ht="14.1" customHeight="1" x14ac:dyDescent="0.2">
      <c r="A574" s="4">
        <v>19</v>
      </c>
      <c r="K574" s="4"/>
    </row>
    <row r="575" spans="1:19" ht="14.1" customHeight="1" x14ac:dyDescent="0.2">
      <c r="A575" s="4">
        <v>20</v>
      </c>
    </row>
    <row r="576" spans="1:19" ht="14.1" customHeight="1" x14ac:dyDescent="0.2">
      <c r="A576" s="4">
        <v>21</v>
      </c>
      <c r="K576" s="4"/>
    </row>
    <row r="577" spans="1:19" ht="14.1" customHeight="1" x14ac:dyDescent="0.2">
      <c r="A577" s="4">
        <v>22</v>
      </c>
      <c r="E577" s="5"/>
      <c r="I577" s="5"/>
      <c r="L577" s="5"/>
      <c r="P577" s="9"/>
      <c r="S577" s="180"/>
    </row>
    <row r="578" spans="1:19" ht="14.1" customHeight="1" x14ac:dyDescent="0.2">
      <c r="A578" s="4">
        <v>23</v>
      </c>
      <c r="E578" s="5"/>
      <c r="I578" s="5"/>
      <c r="L578" s="5"/>
      <c r="P578" s="9"/>
      <c r="S578" s="180"/>
    </row>
    <row r="579" spans="1:19" ht="14.1" customHeight="1" x14ac:dyDescent="0.2">
      <c r="A579" s="4">
        <v>24</v>
      </c>
      <c r="E579" s="5"/>
      <c r="I579" s="5"/>
      <c r="L579" s="5"/>
      <c r="P579" s="9"/>
      <c r="S579" s="180"/>
    </row>
    <row r="580" spans="1:19" ht="14.1" customHeight="1" x14ac:dyDescent="0.2">
      <c r="A580" s="4">
        <v>25</v>
      </c>
      <c r="E580" s="5"/>
      <c r="I580" s="5"/>
      <c r="L580" s="5"/>
      <c r="P580" s="9"/>
      <c r="S580" s="180"/>
    </row>
    <row r="581" spans="1:19" ht="14.1" customHeight="1" x14ac:dyDescent="0.2">
      <c r="A581" s="4">
        <v>26</v>
      </c>
      <c r="E581" s="5"/>
      <c r="I581" s="5"/>
      <c r="L581" s="5"/>
      <c r="P581" s="9"/>
      <c r="S581" s="180"/>
    </row>
    <row r="582" spans="1:19" ht="14.1" customHeight="1" x14ac:dyDescent="0.2">
      <c r="A582" s="4">
        <v>27</v>
      </c>
      <c r="E582" s="5"/>
      <c r="I582" s="5"/>
      <c r="L582" s="5"/>
      <c r="P582" s="9"/>
      <c r="S582" s="180"/>
    </row>
    <row r="583" spans="1:19" ht="14.1" customHeight="1" x14ac:dyDescent="0.2">
      <c r="A583" s="4">
        <v>28</v>
      </c>
      <c r="E583" s="5"/>
      <c r="I583" s="5"/>
      <c r="L583" s="5"/>
      <c r="P583" s="9"/>
      <c r="S583" s="180"/>
    </row>
    <row r="584" spans="1:19" ht="14.1" customHeight="1" x14ac:dyDescent="0.2">
      <c r="A584" s="4">
        <v>29</v>
      </c>
      <c r="E584" s="5"/>
      <c r="I584" s="5"/>
      <c r="L584" s="5"/>
      <c r="P584" s="9"/>
      <c r="S584" s="180"/>
    </row>
    <row r="585" spans="1:19" ht="14.1" customHeight="1" x14ac:dyDescent="0.2">
      <c r="A585" s="4">
        <v>30</v>
      </c>
      <c r="E585" s="5"/>
      <c r="I585" s="5"/>
      <c r="L585" s="5"/>
      <c r="P585" s="9"/>
      <c r="S585" s="180"/>
    </row>
    <row r="586" spans="1:19" ht="14.1" customHeight="1" x14ac:dyDescent="0.2">
      <c r="A586" s="4">
        <v>31</v>
      </c>
      <c r="E586" s="5"/>
      <c r="I586" s="5"/>
      <c r="L586" s="5"/>
      <c r="P586" s="9"/>
      <c r="S586" s="180"/>
    </row>
    <row r="587" spans="1:19" ht="14.1" customHeight="1" x14ac:dyDescent="0.2">
      <c r="A587" s="4">
        <v>32</v>
      </c>
      <c r="E587" s="5"/>
      <c r="I587" s="5"/>
      <c r="L587" s="5"/>
      <c r="P587" s="9"/>
      <c r="S587" s="180"/>
    </row>
    <row r="588" spans="1:19" ht="14.1" customHeight="1" x14ac:dyDescent="0.2">
      <c r="A588" s="4">
        <v>33</v>
      </c>
      <c r="E588" s="5"/>
      <c r="I588" s="5"/>
      <c r="L588" s="5"/>
      <c r="P588" s="9"/>
      <c r="S588" s="180"/>
    </row>
    <row r="589" spans="1:19" ht="14.1" customHeight="1" x14ac:dyDescent="0.2">
      <c r="A589" s="4">
        <v>34</v>
      </c>
      <c r="E589" s="5"/>
      <c r="I589" s="5"/>
      <c r="L589" s="5"/>
      <c r="P589" s="9"/>
      <c r="S589" s="180"/>
    </row>
    <row r="590" spans="1:19" ht="14.1" customHeight="1" x14ac:dyDescent="0.2">
      <c r="A590" s="4">
        <v>35</v>
      </c>
    </row>
    <row r="591" spans="1:19" ht="14.1" customHeight="1" x14ac:dyDescent="0.2">
      <c r="A591" s="4">
        <v>36</v>
      </c>
      <c r="C591" s="188"/>
      <c r="D591" s="9"/>
      <c r="E591" s="9"/>
      <c r="F591" s="177"/>
      <c r="G591" s="177"/>
      <c r="H591" s="177"/>
      <c r="I591" s="179"/>
      <c r="J591" s="177"/>
      <c r="K591" s="173"/>
      <c r="L591" s="177"/>
      <c r="M591" s="177"/>
      <c r="N591" s="177"/>
      <c r="O591" s="177"/>
      <c r="P591" s="179"/>
      <c r="Q591" s="177"/>
      <c r="R591" s="177"/>
      <c r="S591" s="240"/>
    </row>
    <row r="592" spans="1:19" ht="14.1" customHeight="1" x14ac:dyDescent="0.2">
      <c r="A592" s="4">
        <v>37</v>
      </c>
      <c r="C592" s="188"/>
      <c r="D592" s="9"/>
      <c r="E592" s="9"/>
      <c r="F592" s="177"/>
      <c r="G592" s="177"/>
      <c r="H592" s="177"/>
      <c r="I592" s="179"/>
      <c r="J592" s="177"/>
      <c r="K592" s="173"/>
      <c r="L592" s="177"/>
      <c r="M592" s="177"/>
      <c r="N592" s="177"/>
      <c r="O592" s="177"/>
      <c r="P592" s="179"/>
      <c r="Q592" s="177"/>
      <c r="R592" s="177"/>
      <c r="S592" s="240"/>
    </row>
    <row r="593" spans="1:19" ht="14.1" customHeight="1" x14ac:dyDescent="0.2">
      <c r="A593" s="4">
        <v>38</v>
      </c>
      <c r="C593" s="188"/>
      <c r="D593" s="9"/>
      <c r="E593" s="9"/>
      <c r="F593" s="177"/>
      <c r="G593" s="177"/>
      <c r="H593" s="177"/>
      <c r="I593" s="179"/>
      <c r="J593" s="177"/>
      <c r="K593" s="173"/>
      <c r="L593" s="177"/>
      <c r="M593" s="177"/>
      <c r="N593" s="177"/>
      <c r="O593" s="177"/>
      <c r="P593" s="179"/>
      <c r="Q593" s="177"/>
      <c r="R593" s="177"/>
      <c r="S593" s="240"/>
    </row>
    <row r="594" spans="1:19" ht="14.1" customHeight="1" thickBot="1" x14ac:dyDescent="0.25">
      <c r="A594" s="16">
        <v>39</v>
      </c>
      <c r="B594" s="16"/>
      <c r="C594" s="16"/>
      <c r="D594" s="16"/>
      <c r="E594" s="16"/>
      <c r="F594" s="16"/>
      <c r="G594" s="16"/>
      <c r="H594" s="16"/>
      <c r="I594" s="16"/>
      <c r="J594" s="16"/>
      <c r="K594" s="151"/>
      <c r="L594" s="16"/>
      <c r="M594" s="16"/>
      <c r="N594" s="16"/>
      <c r="O594" s="16"/>
      <c r="P594" s="16"/>
      <c r="Q594" s="16"/>
      <c r="R594" s="16"/>
      <c r="S594" s="150"/>
    </row>
    <row r="595" spans="1:19" ht="14.1" customHeight="1" x14ac:dyDescent="0.2">
      <c r="S595" s="4" t="str">
        <f>+$S$109</f>
        <v>Recap Schedules:  E-13a</v>
      </c>
    </row>
    <row r="596" spans="1:19" ht="14.1" customHeight="1" x14ac:dyDescent="0.2">
      <c r="H596" s="292" t="s">
        <v>768</v>
      </c>
      <c r="I596" s="292"/>
      <c r="J596" s="292"/>
      <c r="K596" s="292"/>
      <c r="L596" s="292"/>
    </row>
    <row r="597" spans="1:19" ht="14.1" customHeight="1" thickBot="1" x14ac:dyDescent="0.25">
      <c r="A597" s="16" t="s">
        <v>7</v>
      </c>
      <c r="B597" s="16"/>
      <c r="C597" s="16"/>
      <c r="D597" s="16"/>
      <c r="E597" s="16"/>
      <c r="F597" s="16"/>
      <c r="G597" s="16"/>
      <c r="H597" s="301" t="s">
        <v>380</v>
      </c>
      <c r="I597" s="301"/>
      <c r="J597" s="301"/>
      <c r="K597" s="301"/>
      <c r="L597" s="301"/>
      <c r="M597" s="16"/>
      <c r="N597" s="16"/>
      <c r="O597" s="16"/>
      <c r="P597" s="16"/>
      <c r="Q597" s="16"/>
      <c r="R597" s="16"/>
      <c r="S597" s="150" t="str">
        <f>"Page " &amp; INT(ROW()/$R$1 +1)  &amp; "  of " &amp; S$1</f>
        <v>Page 12  of 19</v>
      </c>
    </row>
    <row r="598" spans="1:19" ht="14.1" customHeight="1" x14ac:dyDescent="0.2">
      <c r="A598" s="4" t="s">
        <v>21</v>
      </c>
      <c r="E598" s="4" t="s">
        <v>761</v>
      </c>
      <c r="G598" s="4" t="s">
        <v>766</v>
      </c>
      <c r="K598" s="285"/>
      <c r="L598" s="56"/>
      <c r="N598" s="56"/>
      <c r="O598" s="56"/>
      <c r="P598" s="56" t="s">
        <v>663</v>
      </c>
      <c r="S598" s="22"/>
    </row>
    <row r="599" spans="1:19" ht="14.1" customHeight="1" x14ac:dyDescent="0.2">
      <c r="G599" s="4" t="s">
        <v>767</v>
      </c>
      <c r="K599" s="284"/>
      <c r="L599" s="22"/>
      <c r="O599" s="21"/>
      <c r="P599" s="21"/>
      <c r="Q599" s="22" t="s">
        <v>764</v>
      </c>
      <c r="S599" s="21"/>
    </row>
    <row r="600" spans="1:19" ht="14.1" customHeight="1" x14ac:dyDescent="0.2">
      <c r="A600" s="4" t="s">
        <v>29</v>
      </c>
      <c r="G600" s="4" t="s">
        <v>770</v>
      </c>
      <c r="K600" s="284"/>
      <c r="L600" s="22"/>
      <c r="M600" s="21"/>
      <c r="P600" s="21"/>
      <c r="Q600" s="22" t="s">
        <v>765</v>
      </c>
      <c r="S600" s="21"/>
    </row>
    <row r="601" spans="1:19" ht="14.1" customHeight="1" x14ac:dyDescent="0.2">
      <c r="G601" s="4" t="s">
        <v>769</v>
      </c>
      <c r="K601" s="284"/>
      <c r="L601" s="22"/>
      <c r="M601" s="21"/>
      <c r="P601" s="21"/>
      <c r="Q601" s="22"/>
      <c r="S601" s="21"/>
    </row>
    <row r="602" spans="1:19" ht="14.1" customHeight="1" x14ac:dyDescent="0.2">
      <c r="C602" s="21"/>
      <c r="H602" s="10"/>
      <c r="I602" s="10"/>
      <c r="J602" s="10"/>
      <c r="K602" s="284"/>
      <c r="Q602" s="4" t="s">
        <v>738</v>
      </c>
    </row>
    <row r="603" spans="1:19" ht="14.1" customHeight="1" thickBot="1" x14ac:dyDescent="0.25">
      <c r="A603" s="16"/>
      <c r="B603" s="16"/>
      <c r="C603" s="150"/>
      <c r="D603" s="101"/>
      <c r="E603" s="101"/>
      <c r="F603" s="101"/>
      <c r="G603" s="102"/>
      <c r="H603" s="101"/>
      <c r="I603" s="101"/>
      <c r="J603" s="101"/>
      <c r="K603" s="101"/>
      <c r="L603" s="101"/>
      <c r="M603" s="101"/>
      <c r="N603" s="101"/>
      <c r="O603" s="101"/>
      <c r="P603" s="101"/>
      <c r="Q603" s="101"/>
      <c r="R603" s="101"/>
      <c r="S603" s="101"/>
    </row>
    <row r="604" spans="1:19" ht="14.1" customHeight="1" x14ac:dyDescent="0.2">
      <c r="E604" s="10"/>
      <c r="G604" s="10"/>
      <c r="H604" s="103"/>
      <c r="I604" s="10"/>
      <c r="K604" s="10"/>
      <c r="M604" s="103"/>
    </row>
    <row r="605" spans="1:19" ht="14.1" customHeight="1" x14ac:dyDescent="0.2">
      <c r="A605" s="9"/>
      <c r="B605" s="92"/>
      <c r="C605" s="92"/>
      <c r="D605" s="1"/>
      <c r="E605" s="39"/>
      <c r="F605" s="1"/>
      <c r="G605" s="1"/>
      <c r="H605" s="39"/>
      <c r="I605" s="1"/>
      <c r="J605" s="1"/>
      <c r="K605" s="3"/>
      <c r="L605" s="1"/>
      <c r="M605" s="39"/>
      <c r="N605" s="1"/>
      <c r="O605" s="1"/>
      <c r="P605" s="1"/>
      <c r="Q605" s="1"/>
      <c r="R605" s="1"/>
      <c r="S605" s="1"/>
    </row>
    <row r="606" spans="1:19" ht="14.1" customHeight="1" x14ac:dyDescent="0.2">
      <c r="A606" s="9"/>
      <c r="B606" s="92"/>
      <c r="C606" s="1"/>
      <c r="D606" s="1"/>
      <c r="E606" s="1"/>
      <c r="F606" s="39"/>
      <c r="G606" s="39"/>
      <c r="H606" s="40"/>
      <c r="I606" s="40" t="s">
        <v>14</v>
      </c>
      <c r="J606" s="3"/>
      <c r="K606" s="41" t="s">
        <v>579</v>
      </c>
      <c r="L606" s="39"/>
      <c r="M606" s="1"/>
      <c r="N606" s="39"/>
      <c r="O606" s="39"/>
      <c r="P606" s="39"/>
      <c r="Q606" s="39"/>
      <c r="R606" s="39"/>
      <c r="S606" s="1"/>
    </row>
    <row r="607" spans="1:19" ht="14.1" customHeight="1" x14ac:dyDescent="0.2">
      <c r="A607" s="9"/>
      <c r="B607" s="92"/>
      <c r="C607" s="1"/>
      <c r="D607" s="1"/>
      <c r="E607" s="1"/>
      <c r="F607" s="39"/>
      <c r="G607" s="39"/>
      <c r="H607" s="39"/>
      <c r="I607" s="39"/>
      <c r="J607" s="39"/>
      <c r="K607" s="3"/>
      <c r="L607" s="39"/>
      <c r="M607" s="39"/>
      <c r="N607" s="39"/>
      <c r="O607" s="39"/>
      <c r="P607" s="39"/>
      <c r="Q607" s="39"/>
      <c r="R607" s="39"/>
      <c r="S607" s="39"/>
    </row>
    <row r="608" spans="1:19" ht="14.1" customHeight="1" x14ac:dyDescent="0.2">
      <c r="A608" s="149" t="s">
        <v>26</v>
      </c>
      <c r="B608" s="176" t="s">
        <v>5</v>
      </c>
      <c r="C608" s="216"/>
      <c r="D608" s="213"/>
      <c r="E608" s="192"/>
      <c r="F608" s="192"/>
      <c r="G608" s="267" t="s">
        <v>8</v>
      </c>
      <c r="H608" s="192"/>
      <c r="I608" s="192"/>
      <c r="J608" s="216"/>
      <c r="K608" s="187"/>
      <c r="L608" s="192"/>
      <c r="M608" s="267"/>
      <c r="N608" s="267" t="s">
        <v>9</v>
      </c>
      <c r="O608" s="192"/>
      <c r="P608" s="192"/>
      <c r="Q608" s="216"/>
      <c r="R608" s="290" t="s">
        <v>750</v>
      </c>
      <c r="S608" s="290" t="s">
        <v>752</v>
      </c>
    </row>
    <row r="609" spans="1:19" ht="14.1" customHeight="1" thickBot="1" x14ac:dyDescent="0.25">
      <c r="A609" s="151" t="s">
        <v>28</v>
      </c>
      <c r="B609" s="175" t="s">
        <v>10</v>
      </c>
      <c r="C609" s="215"/>
      <c r="D609" s="44"/>
      <c r="E609" s="151" t="s">
        <v>11</v>
      </c>
      <c r="F609" s="194"/>
      <c r="G609" s="194" t="s">
        <v>12</v>
      </c>
      <c r="H609" s="194"/>
      <c r="I609" s="194" t="s">
        <v>13</v>
      </c>
      <c r="J609" s="194"/>
      <c r="K609" s="194"/>
      <c r="L609" s="194" t="s">
        <v>11</v>
      </c>
      <c r="M609" s="194"/>
      <c r="N609" s="194" t="s">
        <v>12</v>
      </c>
      <c r="O609" s="194"/>
      <c r="P609" s="194" t="s">
        <v>13</v>
      </c>
      <c r="Q609" s="215"/>
      <c r="R609" s="291" t="s">
        <v>751</v>
      </c>
      <c r="S609" s="291" t="s">
        <v>4</v>
      </c>
    </row>
    <row r="610" spans="1:19" ht="14.1" customHeight="1" x14ac:dyDescent="0.2">
      <c r="A610" s="4">
        <v>1</v>
      </c>
      <c r="B610" s="169"/>
      <c r="C610" s="186"/>
      <c r="F610" s="188"/>
      <c r="G610" s="188"/>
      <c r="H610" s="188"/>
      <c r="I610" s="188"/>
      <c r="J610" s="186"/>
      <c r="K610" s="187"/>
      <c r="L610" s="186"/>
      <c r="M610" s="188"/>
      <c r="N610" s="188"/>
      <c r="O610" s="188"/>
      <c r="P610" s="188"/>
      <c r="Q610" s="188"/>
      <c r="R610" s="188"/>
      <c r="S610" s="188"/>
    </row>
    <row r="611" spans="1:19" ht="14.1" customHeight="1" x14ac:dyDescent="0.2">
      <c r="A611" s="4">
        <v>2</v>
      </c>
      <c r="B611" s="186" t="s">
        <v>393</v>
      </c>
    </row>
    <row r="612" spans="1:19" ht="14.1" customHeight="1" x14ac:dyDescent="0.2">
      <c r="A612" s="4">
        <v>3</v>
      </c>
      <c r="B612" s="43" t="s">
        <v>59</v>
      </c>
      <c r="E612" s="158">
        <f>+'ECCR Billing Determinants'!C272</f>
        <v>0</v>
      </c>
      <c r="F612" s="177" t="s">
        <v>611</v>
      </c>
      <c r="G612" s="212">
        <f>+Rates!D288</f>
        <v>84.044497087897327</v>
      </c>
      <c r="I612" s="183">
        <f t="shared" ref="I612:I613" si="145">+G612*E612</f>
        <v>0</v>
      </c>
      <c r="L612" s="158">
        <f>+E612</f>
        <v>0</v>
      </c>
      <c r="M612" s="177" t="s">
        <v>611</v>
      </c>
      <c r="N612" s="212">
        <f>+G612*(1+$V$5)</f>
        <v>84.728756251605063</v>
      </c>
      <c r="P612" s="183">
        <f t="shared" ref="P612:P613" si="146">+N612*L612</f>
        <v>0</v>
      </c>
      <c r="R612" s="177">
        <f t="shared" ref="R612:R614" si="147">+P612-I612</f>
        <v>0</v>
      </c>
      <c r="S612" s="152">
        <f t="shared" ref="S612:S614" si="148">IF(R612=0,0,(P612-I612)/I612)</f>
        <v>0</v>
      </c>
    </row>
    <row r="613" spans="1:19" ht="14.1" customHeight="1" x14ac:dyDescent="0.35">
      <c r="A613" s="4">
        <v>4</v>
      </c>
      <c r="B613" s="4" t="s">
        <v>230</v>
      </c>
      <c r="C613" s="186"/>
      <c r="E613" s="238">
        <f>+'ECCR Billing Determinants'!C307</f>
        <v>2562.2999999999997</v>
      </c>
      <c r="F613" s="177" t="s">
        <v>611</v>
      </c>
      <c r="G613" s="212">
        <f>+Rates!D289</f>
        <v>84.044497087897327</v>
      </c>
      <c r="H613" s="177"/>
      <c r="I613" s="183">
        <f t="shared" si="145"/>
        <v>215347.21488831929</v>
      </c>
      <c r="J613" s="183"/>
      <c r="K613" s="173"/>
      <c r="L613" s="238">
        <f t="shared" ref="L613" si="149">+E613</f>
        <v>2562.2999999999997</v>
      </c>
      <c r="M613" s="177" t="s">
        <v>611</v>
      </c>
      <c r="N613" s="212">
        <f>+G613*(1+$V$5)</f>
        <v>84.728756251605063</v>
      </c>
      <c r="O613" s="177"/>
      <c r="P613" s="183">
        <f t="shared" si="146"/>
        <v>217100.49214348762</v>
      </c>
      <c r="R613" s="177">
        <f t="shared" si="147"/>
        <v>1753.2772551683302</v>
      </c>
      <c r="S613" s="152">
        <f t="shared" si="148"/>
        <v>8.1416295821498934E-3</v>
      </c>
    </row>
    <row r="614" spans="1:19" ht="14.1" customHeight="1" x14ac:dyDescent="0.2">
      <c r="A614" s="4">
        <v>5</v>
      </c>
      <c r="B614" s="186" t="s">
        <v>16</v>
      </c>
      <c r="C614" s="186"/>
      <c r="E614" s="177">
        <f>SUM(E612:E613)</f>
        <v>2562.2999999999997</v>
      </c>
      <c r="F614" s="177" t="s">
        <v>612</v>
      </c>
      <c r="G614" s="212"/>
      <c r="H614" s="177"/>
      <c r="I614" s="185">
        <f>SUM(I612:I613)</f>
        <v>215347.21488831929</v>
      </c>
      <c r="J614" s="177"/>
      <c r="K614" s="173"/>
      <c r="L614" s="177">
        <f>SUM(L612:L613)</f>
        <v>2562.2999999999997</v>
      </c>
      <c r="M614" s="177" t="s">
        <v>612</v>
      </c>
      <c r="N614" s="212"/>
      <c r="O614" s="177"/>
      <c r="P614" s="185">
        <f>SUM(P612:P613)</f>
        <v>217100.49214348762</v>
      </c>
      <c r="R614" s="177">
        <f t="shared" si="147"/>
        <v>1753.2772551683302</v>
      </c>
      <c r="S614" s="152">
        <f t="shared" si="148"/>
        <v>8.1416295821498934E-3</v>
      </c>
    </row>
    <row r="615" spans="1:19" ht="14.1" customHeight="1" x14ac:dyDescent="0.2">
      <c r="A615" s="4">
        <v>6</v>
      </c>
      <c r="I615" s="183"/>
      <c r="P615" s="183"/>
      <c r="S615" s="9"/>
    </row>
    <row r="616" spans="1:19" ht="14.1" customHeight="1" x14ac:dyDescent="0.2">
      <c r="A616" s="4">
        <v>7</v>
      </c>
      <c r="B616" s="186" t="s">
        <v>51</v>
      </c>
      <c r="I616" s="183"/>
      <c r="P616" s="183"/>
      <c r="S616" s="9"/>
    </row>
    <row r="617" spans="1:19" ht="14.1" customHeight="1" x14ac:dyDescent="0.2">
      <c r="A617" s="4">
        <v>8</v>
      </c>
      <c r="B617" s="43" t="s">
        <v>59</v>
      </c>
      <c r="E617" s="4">
        <f>+ROUND('ECCR Billing Determinants'!B278/1000,0)</f>
        <v>0</v>
      </c>
      <c r="F617" s="177" t="s">
        <v>379</v>
      </c>
      <c r="G617" s="212">
        <f>+Rates!D291</f>
        <v>11.42</v>
      </c>
      <c r="I617" s="183">
        <f>+G617*E617</f>
        <v>0</v>
      </c>
      <c r="L617" s="4">
        <f>+E617</f>
        <v>0</v>
      </c>
      <c r="M617" s="177" t="s">
        <v>379</v>
      </c>
      <c r="N617" s="212">
        <f>+G617*(1+$V$5)</f>
        <v>11.512977409828151</v>
      </c>
      <c r="P617" s="183">
        <f>+N617*L617</f>
        <v>0</v>
      </c>
      <c r="R617" s="177">
        <f t="shared" ref="R617:R620" si="150">+P617-I617</f>
        <v>0</v>
      </c>
      <c r="S617" s="152">
        <f t="shared" ref="S617:S620" si="151">IF(R617=0,0,(P617-I617)/I617)</f>
        <v>0</v>
      </c>
    </row>
    <row r="618" spans="1:19" ht="14.1" customHeight="1" x14ac:dyDescent="0.2">
      <c r="A618" s="4">
        <v>9</v>
      </c>
      <c r="B618" s="4" t="s">
        <v>592</v>
      </c>
      <c r="E618" s="183">
        <f>+ROUND('ECCR Billing Determinants'!B315/1000,0)</f>
        <v>38373</v>
      </c>
      <c r="F618" s="177" t="s">
        <v>379</v>
      </c>
      <c r="G618" s="212">
        <f>+Rates!D292</f>
        <v>13.75</v>
      </c>
      <c r="I618" s="183">
        <f t="shared" ref="I618:I619" si="152">+G618*E618</f>
        <v>527628.75</v>
      </c>
      <c r="L618" s="183">
        <f t="shared" ref="L618:L619" si="153">+E618</f>
        <v>38373</v>
      </c>
      <c r="M618" s="177" t="s">
        <v>379</v>
      </c>
      <c r="N618" s="212">
        <f>+G618*(1+$V$5)</f>
        <v>13.861947406754561</v>
      </c>
      <c r="O618" s="177"/>
      <c r="P618" s="183">
        <f t="shared" ref="P618:P619" si="154">+N618*L618</f>
        <v>531924.50783939275</v>
      </c>
      <c r="R618" s="177">
        <f t="shared" si="150"/>
        <v>4295.7578393927542</v>
      </c>
      <c r="S618" s="152">
        <f t="shared" si="151"/>
        <v>8.1416295821498622E-3</v>
      </c>
    </row>
    <row r="619" spans="1:19" ht="14.1" customHeight="1" x14ac:dyDescent="0.35">
      <c r="A619" s="4">
        <v>10</v>
      </c>
      <c r="B619" s="4" t="s">
        <v>591</v>
      </c>
      <c r="C619" s="188"/>
      <c r="D619" s="9"/>
      <c r="E619" s="238">
        <f>+ROUND('ECCR Billing Determinants'!B316/1000,0)</f>
        <v>122628</v>
      </c>
      <c r="F619" s="177" t="s">
        <v>379</v>
      </c>
      <c r="G619" s="212">
        <f>+Rates!D293</f>
        <v>10.69</v>
      </c>
      <c r="H619" s="177"/>
      <c r="I619" s="181">
        <f t="shared" si="152"/>
        <v>1310893.3199999998</v>
      </c>
      <c r="J619" s="177"/>
      <c r="K619" s="173"/>
      <c r="L619" s="238">
        <f t="shared" si="153"/>
        <v>122628</v>
      </c>
      <c r="M619" s="177" t="s">
        <v>379</v>
      </c>
      <c r="N619" s="212">
        <f>+G619*(1+$V$5)</f>
        <v>10.777034020233183</v>
      </c>
      <c r="P619" s="181">
        <f t="shared" si="154"/>
        <v>1321566.1278331548</v>
      </c>
      <c r="R619" s="177">
        <f t="shared" si="150"/>
        <v>10672.807833154919</v>
      </c>
      <c r="S619" s="152">
        <f t="shared" si="151"/>
        <v>8.1416295821500721E-3</v>
      </c>
    </row>
    <row r="620" spans="1:19" ht="14.1" customHeight="1" x14ac:dyDescent="0.2">
      <c r="B620" s="4" t="s">
        <v>27</v>
      </c>
      <c r="C620" s="188"/>
      <c r="D620" s="9"/>
      <c r="E620" s="177">
        <f>SUM(E617:E619)</f>
        <v>161001</v>
      </c>
      <c r="F620" s="177" t="s">
        <v>379</v>
      </c>
      <c r="G620" s="212"/>
      <c r="H620" s="177"/>
      <c r="I620" s="177">
        <f>SUM(I617:I619)</f>
        <v>1838522.0699999998</v>
      </c>
      <c r="J620" s="177"/>
      <c r="K620" s="173"/>
      <c r="L620" s="177">
        <f>SUM(L617:L619)</f>
        <v>161001</v>
      </c>
      <c r="M620" s="177" t="s">
        <v>379</v>
      </c>
      <c r="N620" s="212"/>
      <c r="P620" s="177">
        <f>SUM(P617:P619)</f>
        <v>1853490.6356725474</v>
      </c>
      <c r="R620" s="177">
        <f t="shared" si="150"/>
        <v>14968.565672547556</v>
      </c>
      <c r="S620" s="152">
        <f t="shared" si="151"/>
        <v>8.141629582149949E-3</v>
      </c>
    </row>
    <row r="621" spans="1:19" ht="14.1" customHeight="1" x14ac:dyDescent="0.2">
      <c r="A621" s="4">
        <v>11</v>
      </c>
      <c r="C621" s="188"/>
      <c r="D621" s="9"/>
      <c r="E621" s="183"/>
      <c r="F621" s="177"/>
      <c r="G621" s="212"/>
      <c r="H621" s="177"/>
      <c r="I621" s="183"/>
      <c r="J621" s="177"/>
      <c r="K621" s="173"/>
      <c r="L621" s="183"/>
      <c r="M621" s="177"/>
      <c r="N621" s="212"/>
      <c r="P621" s="183"/>
      <c r="S621" s="180"/>
    </row>
    <row r="622" spans="1:19" ht="14.1" customHeight="1" x14ac:dyDescent="0.2">
      <c r="A622" s="4">
        <v>12</v>
      </c>
      <c r="B622" s="186" t="s">
        <v>133</v>
      </c>
      <c r="G622" s="212"/>
      <c r="I622" s="183"/>
      <c r="N622" s="212"/>
      <c r="P622" s="183"/>
      <c r="S622" s="9"/>
    </row>
    <row r="623" spans="1:19" ht="14.1" customHeight="1" x14ac:dyDescent="0.2">
      <c r="A623" s="4">
        <v>13</v>
      </c>
      <c r="B623" s="186" t="s">
        <v>616</v>
      </c>
      <c r="E623" s="4">
        <f>+ROUND('ECCR Billing Determinants'!B280/1000,0)</f>
        <v>0</v>
      </c>
      <c r="F623" s="177" t="s">
        <v>379</v>
      </c>
      <c r="G623" s="239">
        <f>+Rates!D295</f>
        <v>8.5</v>
      </c>
      <c r="I623" s="183">
        <f>G623*E623</f>
        <v>0</v>
      </c>
      <c r="L623" s="4">
        <f>+E623</f>
        <v>0</v>
      </c>
      <c r="M623" s="177" t="s">
        <v>379</v>
      </c>
      <c r="N623" s="212">
        <f>+G623*(1+$V$5)</f>
        <v>8.5692038514482736</v>
      </c>
      <c r="P623" s="183">
        <f>N623*L623</f>
        <v>0</v>
      </c>
      <c r="R623" s="177">
        <f t="shared" ref="R623:R626" si="155">+P623-I623</f>
        <v>0</v>
      </c>
      <c r="S623" s="152">
        <f t="shared" ref="S623:S626" si="156">IF(R623=0,0,(P623-I623)/I623)</f>
        <v>0</v>
      </c>
    </row>
    <row r="624" spans="1:19" ht="14.1" customHeight="1" x14ac:dyDescent="0.2">
      <c r="A624" s="4">
        <v>14</v>
      </c>
      <c r="B624" s="4" t="s">
        <v>592</v>
      </c>
      <c r="E624" s="183">
        <f>+ROUND('ECCR Billing Determinants'!B321/1000,0)</f>
        <v>76353</v>
      </c>
      <c r="F624" s="177" t="s">
        <v>379</v>
      </c>
      <c r="G624" s="239">
        <f>+Rates!D296</f>
        <v>8.5</v>
      </c>
      <c r="I624" s="183">
        <f t="shared" ref="I624:I625" si="157">+G624*E624</f>
        <v>649000.5</v>
      </c>
      <c r="L624" s="183">
        <f t="shared" ref="L624:L625" si="158">+E624</f>
        <v>76353</v>
      </c>
      <c r="M624" s="177" t="s">
        <v>379</v>
      </c>
      <c r="N624" s="212">
        <f>+G624*(1+$V$5)</f>
        <v>8.5692038514482736</v>
      </c>
      <c r="P624" s="183">
        <f t="shared" ref="P624:P625" si="159">+N624*L624</f>
        <v>654284.42166962998</v>
      </c>
      <c r="Q624" s="177"/>
      <c r="R624" s="177">
        <f t="shared" si="155"/>
        <v>5283.9216696299845</v>
      </c>
      <c r="S624" s="152">
        <f t="shared" si="156"/>
        <v>8.1416295821497581E-3</v>
      </c>
    </row>
    <row r="625" spans="1:19" ht="14.1" customHeight="1" x14ac:dyDescent="0.35">
      <c r="A625" s="4">
        <v>15</v>
      </c>
      <c r="B625" s="4" t="s">
        <v>591</v>
      </c>
      <c r="E625" s="238">
        <f>+ROUND('ECCR Billing Determinants'!B322/1000,0)</f>
        <v>238189</v>
      </c>
      <c r="F625" s="177" t="s">
        <v>379</v>
      </c>
      <c r="G625" s="239">
        <f>+Rates!D297</f>
        <v>8.5</v>
      </c>
      <c r="I625" s="238">
        <f t="shared" si="157"/>
        <v>2024606.5</v>
      </c>
      <c r="L625" s="238">
        <f t="shared" si="158"/>
        <v>238189</v>
      </c>
      <c r="M625" s="177" t="s">
        <v>379</v>
      </c>
      <c r="N625" s="212">
        <f>+G625*(1+$V$5)</f>
        <v>8.5692038514482736</v>
      </c>
      <c r="P625" s="238">
        <f t="shared" si="159"/>
        <v>2041090.0961726129</v>
      </c>
      <c r="R625" s="177">
        <f t="shared" si="155"/>
        <v>16483.596172612859</v>
      </c>
      <c r="S625" s="152">
        <f t="shared" si="156"/>
        <v>8.1416295821498449E-3</v>
      </c>
    </row>
    <row r="626" spans="1:19" ht="14.1" customHeight="1" x14ac:dyDescent="0.2">
      <c r="A626" s="4">
        <v>16</v>
      </c>
      <c r="B626" s="186" t="s">
        <v>16</v>
      </c>
      <c r="C626" s="188"/>
      <c r="D626" s="9"/>
      <c r="E626" s="177">
        <f>SUM(E617:E625)</f>
        <v>636544</v>
      </c>
      <c r="F626" s="177" t="s">
        <v>379</v>
      </c>
      <c r="G626" s="212"/>
      <c r="H626" s="177"/>
      <c r="I626" s="177">
        <f>SUM(I623:I625)</f>
        <v>2673607</v>
      </c>
      <c r="J626" s="177"/>
      <c r="K626" s="173"/>
      <c r="L626" s="177">
        <f>SUM(L617:L625)</f>
        <v>636544</v>
      </c>
      <c r="M626" s="177" t="s">
        <v>379</v>
      </c>
      <c r="N626" s="179"/>
      <c r="P626" s="177">
        <f>SUM(P623:P625)</f>
        <v>2695374.517842243</v>
      </c>
      <c r="R626" s="177">
        <f t="shared" si="155"/>
        <v>21767.51784224296</v>
      </c>
      <c r="S626" s="152">
        <f t="shared" si="156"/>
        <v>8.1416295821498674E-3</v>
      </c>
    </row>
    <row r="627" spans="1:19" ht="14.1" customHeight="1" x14ac:dyDescent="0.2">
      <c r="A627" s="4">
        <v>17</v>
      </c>
      <c r="S627" s="9"/>
    </row>
    <row r="628" spans="1:19" ht="14.1" customHeight="1" x14ac:dyDescent="0.2">
      <c r="A628" s="4">
        <v>18</v>
      </c>
      <c r="B628" s="186" t="s">
        <v>53</v>
      </c>
    </row>
    <row r="629" spans="1:19" ht="14.1" customHeight="1" x14ac:dyDescent="0.2">
      <c r="A629" s="4">
        <v>19</v>
      </c>
      <c r="B629" s="43" t="s">
        <v>59</v>
      </c>
      <c r="E629" s="4">
        <f>+ROUND('ECCR Billing Determinants'!B279,0)</f>
        <v>0</v>
      </c>
      <c r="F629" s="177" t="s">
        <v>44</v>
      </c>
      <c r="G629" s="179">
        <f>+Rates!D299</f>
        <v>8.99</v>
      </c>
      <c r="H629" s="220"/>
      <c r="I629" s="177">
        <f>+G629*E629</f>
        <v>0</v>
      </c>
      <c r="L629" s="4">
        <f>+E629</f>
        <v>0</v>
      </c>
      <c r="M629" s="177" t="s">
        <v>44</v>
      </c>
      <c r="N629" s="212">
        <f>+G629*(1+$V$5)</f>
        <v>9.0631932499435273</v>
      </c>
      <c r="P629" s="177">
        <f>+N629*L629</f>
        <v>0</v>
      </c>
      <c r="R629" s="177">
        <f t="shared" ref="R629:R632" si="160">+P629-I629</f>
        <v>0</v>
      </c>
      <c r="S629" s="152">
        <f t="shared" ref="S629:S632" si="161">IF(R629=0,0,(P629-I629)/I629)</f>
        <v>0</v>
      </c>
    </row>
    <row r="630" spans="1:19" ht="14.1" customHeight="1" x14ac:dyDescent="0.2">
      <c r="A630" s="4">
        <v>20</v>
      </c>
      <c r="B630" s="4" t="s">
        <v>593</v>
      </c>
      <c r="E630" s="183">
        <f>+ROUND('ECCR Billing Determinants'!B317,0)</f>
        <v>261750</v>
      </c>
      <c r="F630" s="177" t="s">
        <v>44</v>
      </c>
      <c r="G630" s="179">
        <f>+Rates!D300</f>
        <v>2.86</v>
      </c>
      <c r="H630" s="220"/>
      <c r="I630" s="177">
        <f t="shared" ref="I630:I631" si="162">+G630*E630</f>
        <v>748605</v>
      </c>
      <c r="J630" s="177"/>
      <c r="K630" s="173"/>
      <c r="L630" s="183">
        <f t="shared" ref="L630:L631" si="163">+E630</f>
        <v>261750</v>
      </c>
      <c r="M630" s="177" t="s">
        <v>44</v>
      </c>
      <c r="N630" s="212">
        <f>+G630*(1+$V$5)</f>
        <v>2.8832850606049485</v>
      </c>
      <c r="P630" s="177">
        <f t="shared" ref="P630:P631" si="164">+N630*L630</f>
        <v>754699.86461334524</v>
      </c>
      <c r="Q630" s="177"/>
      <c r="R630" s="177">
        <f t="shared" si="160"/>
        <v>6094.8646133452421</v>
      </c>
      <c r="S630" s="152">
        <f t="shared" si="161"/>
        <v>8.1416295821497876E-3</v>
      </c>
    </row>
    <row r="631" spans="1:19" ht="14.1" customHeight="1" x14ac:dyDescent="0.2">
      <c r="A631" s="4">
        <v>21</v>
      </c>
      <c r="B631" s="4" t="s">
        <v>130</v>
      </c>
      <c r="E631" s="183">
        <f>+ROUND('ECCR Billing Determinants'!B318,0)</f>
        <v>245811</v>
      </c>
      <c r="F631" s="177" t="s">
        <v>48</v>
      </c>
      <c r="G631" s="179">
        <f>+Rates!D301</f>
        <v>6.1</v>
      </c>
      <c r="H631" s="220"/>
      <c r="I631" s="181">
        <f t="shared" si="162"/>
        <v>1499447.0999999999</v>
      </c>
      <c r="L631" s="183">
        <f t="shared" si="163"/>
        <v>245811</v>
      </c>
      <c r="M631" s="177" t="s">
        <v>48</v>
      </c>
      <c r="N631" s="212">
        <f>+G631*(1+$V$5)</f>
        <v>6.1496639404511138</v>
      </c>
      <c r="P631" s="181">
        <f t="shared" si="164"/>
        <v>1511655.0428662286</v>
      </c>
      <c r="R631" s="177">
        <f t="shared" si="160"/>
        <v>12207.942866228754</v>
      </c>
      <c r="S631" s="152">
        <f t="shared" si="161"/>
        <v>8.1416295821498171E-3</v>
      </c>
    </row>
    <row r="632" spans="1:19" ht="14.1" customHeight="1" x14ac:dyDescent="0.2">
      <c r="A632" s="4">
        <v>22</v>
      </c>
      <c r="B632" s="4" t="s">
        <v>27</v>
      </c>
      <c r="E632" s="185">
        <f>SUM(E629:E630)</f>
        <v>261750</v>
      </c>
      <c r="F632" s="177"/>
      <c r="G632" s="179"/>
      <c r="H632" s="220"/>
      <c r="I632" s="185">
        <f>SUM(I629:I631)</f>
        <v>2248052.0999999996</v>
      </c>
      <c r="L632" s="185">
        <f>SUM(L629:L630)</f>
        <v>261750</v>
      </c>
      <c r="M632" s="177" t="s">
        <v>662</v>
      </c>
      <c r="N632" s="179"/>
      <c r="P632" s="185">
        <f>SUM(P629:P631)</f>
        <v>2266354.907479574</v>
      </c>
      <c r="R632" s="177">
        <f t="shared" si="160"/>
        <v>18302.807479574345</v>
      </c>
      <c r="S632" s="152">
        <f t="shared" si="161"/>
        <v>8.1416295821499628E-3</v>
      </c>
    </row>
    <row r="633" spans="1:19" ht="14.1" customHeight="1" x14ac:dyDescent="0.2">
      <c r="A633" s="4">
        <v>23</v>
      </c>
      <c r="E633" s="177"/>
      <c r="F633" s="177"/>
      <c r="G633" s="179"/>
      <c r="H633" s="220"/>
      <c r="I633" s="177"/>
      <c r="L633" s="177"/>
      <c r="M633" s="177"/>
      <c r="N633" s="179"/>
      <c r="P633" s="177"/>
      <c r="S633" s="180"/>
    </row>
    <row r="634" spans="1:19" ht="14.1" customHeight="1" x14ac:dyDescent="0.2">
      <c r="A634" s="4">
        <v>24</v>
      </c>
      <c r="B634" s="219" t="s">
        <v>52</v>
      </c>
      <c r="I634" s="183"/>
      <c r="P634" s="183"/>
    </row>
    <row r="635" spans="1:19" ht="14.1" customHeight="1" x14ac:dyDescent="0.2">
      <c r="A635" s="4">
        <v>25</v>
      </c>
      <c r="B635" s="219" t="s">
        <v>619</v>
      </c>
      <c r="E635" s="4">
        <f>+ROUND('ECCR Billing Determinants'!B281,0)</f>
        <v>0</v>
      </c>
      <c r="F635" s="177" t="s">
        <v>44</v>
      </c>
      <c r="G635" s="212">
        <f>+Rates!D303</f>
        <v>0.83</v>
      </c>
      <c r="I635" s="183">
        <f>G635*E635</f>
        <v>0</v>
      </c>
      <c r="L635" s="4">
        <f>+E635</f>
        <v>0</v>
      </c>
      <c r="M635" s="4" t="s">
        <v>44</v>
      </c>
      <c r="N635" s="212">
        <f t="shared" ref="N635:N640" si="165">+G635*(1+$V$5)</f>
        <v>0.8367575525531844</v>
      </c>
      <c r="P635" s="183"/>
      <c r="R635" s="177">
        <f t="shared" ref="R635:R641" si="166">+P635-I635</f>
        <v>0</v>
      </c>
      <c r="S635" s="152">
        <f t="shared" ref="S635:S641" si="167">IF(R635=0,0,(P635-I635)/I635)</f>
        <v>0</v>
      </c>
    </row>
    <row r="636" spans="1:19" ht="14.1" customHeight="1" x14ac:dyDescent="0.2">
      <c r="A636" s="4">
        <v>26</v>
      </c>
      <c r="B636" s="219" t="s">
        <v>618</v>
      </c>
      <c r="E636" s="4">
        <f>+ROUND('ECCR Billing Determinants'!B282,0)</f>
        <v>0</v>
      </c>
      <c r="F636" s="177" t="s">
        <v>44</v>
      </c>
      <c r="G636" s="212">
        <f>+Rates!D304</f>
        <v>1.0788</v>
      </c>
      <c r="I636" s="183">
        <f t="shared" ref="I636:I637" si="168">G636*E636</f>
        <v>0</v>
      </c>
      <c r="L636" s="4">
        <f t="shared" ref="L636:L640" si="169">+E636</f>
        <v>0</v>
      </c>
      <c r="M636" s="4" t="s">
        <v>44</v>
      </c>
      <c r="N636" s="212">
        <f t="shared" si="165"/>
        <v>1.0875831899932233</v>
      </c>
      <c r="P636" s="183"/>
      <c r="R636" s="177">
        <f t="shared" si="166"/>
        <v>0</v>
      </c>
      <c r="S636" s="152">
        <f t="shared" si="167"/>
        <v>0</v>
      </c>
    </row>
    <row r="637" spans="1:19" ht="14.1" customHeight="1" x14ac:dyDescent="0.2">
      <c r="A637" s="4">
        <v>27</v>
      </c>
      <c r="B637" s="219" t="s">
        <v>617</v>
      </c>
      <c r="E637" s="4">
        <f>+ROUND('ECCR Billing Determinants'!B283,0)</f>
        <v>0</v>
      </c>
      <c r="F637" s="177" t="s">
        <v>44</v>
      </c>
      <c r="G637" s="212">
        <f>+Rates!D305</f>
        <v>0.42792400000000003</v>
      </c>
      <c r="I637" s="183">
        <f t="shared" si="168"/>
        <v>0</v>
      </c>
      <c r="L637" s="4">
        <f t="shared" si="169"/>
        <v>0</v>
      </c>
      <c r="M637" s="4" t="s">
        <v>44</v>
      </c>
      <c r="N637" s="212">
        <f t="shared" si="165"/>
        <v>0.43140799869731195</v>
      </c>
      <c r="P637" s="183"/>
      <c r="R637" s="177">
        <f t="shared" si="166"/>
        <v>0</v>
      </c>
      <c r="S637" s="152">
        <f t="shared" si="167"/>
        <v>0</v>
      </c>
    </row>
    <row r="638" spans="1:19" ht="14.1" customHeight="1" x14ac:dyDescent="0.2">
      <c r="A638" s="4">
        <v>28</v>
      </c>
      <c r="B638" s="43" t="s">
        <v>594</v>
      </c>
      <c r="E638" s="183">
        <f>+ROUND('ECCR Billing Determinants'!B323,0)</f>
        <v>2366006</v>
      </c>
      <c r="F638" s="177" t="s">
        <v>44</v>
      </c>
      <c r="G638" s="212">
        <f>+Rates!D306</f>
        <v>0.83</v>
      </c>
      <c r="H638" s="220"/>
      <c r="I638" s="177">
        <f t="shared" ref="I638:I640" si="170">+G638*E638</f>
        <v>1963784.98</v>
      </c>
      <c r="L638" s="183">
        <f t="shared" si="169"/>
        <v>2366006</v>
      </c>
      <c r="M638" s="177" t="s">
        <v>44</v>
      </c>
      <c r="N638" s="212">
        <f t="shared" si="165"/>
        <v>0.8367575525531844</v>
      </c>
      <c r="O638" s="220"/>
      <c r="P638" s="177">
        <f t="shared" ref="P638:P640" si="171">+N638*L638</f>
        <v>1979773.3898861497</v>
      </c>
      <c r="Q638" s="177"/>
      <c r="R638" s="177">
        <f t="shared" si="166"/>
        <v>15988.40988614969</v>
      </c>
      <c r="S638" s="152">
        <f t="shared" si="167"/>
        <v>8.1416295821499212E-3</v>
      </c>
    </row>
    <row r="639" spans="1:19" ht="14.1" customHeight="1" x14ac:dyDescent="0.2">
      <c r="A639" s="4">
        <v>29</v>
      </c>
      <c r="B639" s="43" t="s">
        <v>595</v>
      </c>
      <c r="C639" s="188"/>
      <c r="D639" s="9"/>
      <c r="E639" s="183">
        <f>+ROUND('ECCR Billing Determinants'!B324,0)</f>
        <v>550975</v>
      </c>
      <c r="F639" s="177" t="s">
        <v>136</v>
      </c>
      <c r="G639" s="212">
        <f>+Rates!D307</f>
        <v>1.0788</v>
      </c>
      <c r="H639" s="220" t="s">
        <v>364</v>
      </c>
      <c r="I639" s="177">
        <f t="shared" si="170"/>
        <v>594391.82999999996</v>
      </c>
      <c r="J639" s="177"/>
      <c r="K639" s="173"/>
      <c r="L639" s="183">
        <f t="shared" si="169"/>
        <v>550975</v>
      </c>
      <c r="M639" s="177" t="s">
        <v>136</v>
      </c>
      <c r="N639" s="212">
        <f t="shared" si="165"/>
        <v>1.0875831899932233</v>
      </c>
      <c r="O639" s="220" t="s">
        <v>134</v>
      </c>
      <c r="P639" s="177">
        <f t="shared" si="171"/>
        <v>599231.14810651622</v>
      </c>
      <c r="Q639" s="177"/>
      <c r="R639" s="177">
        <f t="shared" si="166"/>
        <v>4839.3181065162644</v>
      </c>
      <c r="S639" s="152">
        <f t="shared" si="167"/>
        <v>8.1416295821499854E-3</v>
      </c>
    </row>
    <row r="640" spans="1:19" ht="14.1" customHeight="1" x14ac:dyDescent="0.2">
      <c r="A640" s="4">
        <v>30</v>
      </c>
      <c r="B640" s="43" t="s">
        <v>596</v>
      </c>
      <c r="E640" s="183">
        <f>+ROUND('ECCR Billing Determinants'!B325,0)</f>
        <v>10500073</v>
      </c>
      <c r="F640" s="177" t="s">
        <v>136</v>
      </c>
      <c r="G640" s="212">
        <f>+Rates!D308</f>
        <v>0.42792400000000003</v>
      </c>
      <c r="H640" s="220" t="s">
        <v>365</v>
      </c>
      <c r="I640" s="177">
        <f t="shared" si="170"/>
        <v>4493233.2384520005</v>
      </c>
      <c r="L640" s="183">
        <f t="shared" si="169"/>
        <v>10500073</v>
      </c>
      <c r="M640" s="177" t="s">
        <v>136</v>
      </c>
      <c r="N640" s="212">
        <f t="shared" si="165"/>
        <v>0.43140799869731195</v>
      </c>
      <c r="O640" s="220" t="s">
        <v>135</v>
      </c>
      <c r="P640" s="177">
        <f t="shared" si="171"/>
        <v>4529815.4791056802</v>
      </c>
      <c r="R640" s="177">
        <f t="shared" si="166"/>
        <v>36582.240653679706</v>
      </c>
      <c r="S640" s="152">
        <f t="shared" si="167"/>
        <v>8.1416295821498345E-3</v>
      </c>
    </row>
    <row r="641" spans="1:19" ht="14.1" customHeight="1" x14ac:dyDescent="0.2">
      <c r="A641" s="4">
        <v>31</v>
      </c>
      <c r="B641" s="186" t="s">
        <v>16</v>
      </c>
      <c r="C641" s="188"/>
      <c r="D641" s="9"/>
      <c r="E641" s="185">
        <f>SUM(E635:E638)</f>
        <v>2366006</v>
      </c>
      <c r="F641" s="177" t="s">
        <v>44</v>
      </c>
      <c r="G641" s="179"/>
      <c r="H641" s="177"/>
      <c r="I641" s="185">
        <f>SUM(I635:I640)</f>
        <v>7051410.0484520011</v>
      </c>
      <c r="J641" s="177"/>
      <c r="K641" s="173"/>
      <c r="L641" s="185">
        <f>SUM(L635:L638)</f>
        <v>2366006</v>
      </c>
      <c r="M641" s="177" t="s">
        <v>44</v>
      </c>
      <c r="N641" s="179"/>
      <c r="O641" s="177"/>
      <c r="P641" s="185">
        <f>SUM(P638:P640)</f>
        <v>7108820.0170983467</v>
      </c>
      <c r="R641" s="177">
        <f t="shared" si="166"/>
        <v>57409.96864634566</v>
      </c>
      <c r="S641" s="152">
        <f t="shared" si="167"/>
        <v>8.1416295821498692E-3</v>
      </c>
    </row>
    <row r="642" spans="1:19" ht="14.1" customHeight="1" x14ac:dyDescent="0.2">
      <c r="A642" s="4">
        <v>32</v>
      </c>
      <c r="I642" s="183"/>
      <c r="P642" s="183"/>
      <c r="S642" s="9"/>
    </row>
    <row r="643" spans="1:19" ht="14.1" customHeight="1" x14ac:dyDescent="0.2">
      <c r="A643" s="4">
        <v>33</v>
      </c>
      <c r="I643" s="183"/>
      <c r="P643" s="183"/>
    </row>
    <row r="644" spans="1:19" ht="14.1" customHeight="1" x14ac:dyDescent="0.2">
      <c r="A644" s="4">
        <v>34</v>
      </c>
      <c r="B644" s="186" t="s">
        <v>362</v>
      </c>
      <c r="I644" s="183"/>
      <c r="P644" s="183"/>
    </row>
    <row r="645" spans="1:19" ht="14.1" customHeight="1" x14ac:dyDescent="0.2">
      <c r="A645" s="4">
        <v>35</v>
      </c>
      <c r="B645" s="43" t="s">
        <v>59</v>
      </c>
      <c r="E645" s="4">
        <f>+ROUND('ECCR Billing Determinants'!B276/1000,0)</f>
        <v>0</v>
      </c>
      <c r="F645" s="4" t="s">
        <v>381</v>
      </c>
      <c r="G645" s="212">
        <f>+Rates!D311</f>
        <v>2.0100000000000002</v>
      </c>
      <c r="I645" s="183">
        <f t="shared" ref="I645:I646" si="172">+G645*E645</f>
        <v>0</v>
      </c>
      <c r="L645" s="4">
        <f t="shared" ref="L645:L646" si="173">+E645</f>
        <v>0</v>
      </c>
      <c r="M645" s="4" t="s">
        <v>381</v>
      </c>
      <c r="N645" s="212">
        <f>+G645*(1+$V$5)</f>
        <v>2.0263646754601217</v>
      </c>
      <c r="P645" s="183">
        <f t="shared" ref="P645:P646" si="174">+N645*L645</f>
        <v>0</v>
      </c>
      <c r="R645" s="177">
        <f t="shared" ref="R645:R647" si="175">+P645-I645</f>
        <v>0</v>
      </c>
      <c r="S645" s="152">
        <f t="shared" ref="S645:S647" si="176">IF(R645=0,0,(P645-I645)/I645)</f>
        <v>0</v>
      </c>
    </row>
    <row r="646" spans="1:19" ht="14.1" customHeight="1" x14ac:dyDescent="0.2">
      <c r="A646" s="4">
        <v>36</v>
      </c>
      <c r="B646" s="4" t="s">
        <v>230</v>
      </c>
      <c r="E646" s="181">
        <f>+ROUND('ECCR Billing Determinants'!B311/1000,0)</f>
        <v>39788</v>
      </c>
      <c r="F646" s="4" t="s">
        <v>381</v>
      </c>
      <c r="G646" s="212">
        <f>+Rates!D312</f>
        <v>2.0100000000000002</v>
      </c>
      <c r="I646" s="183">
        <f t="shared" si="172"/>
        <v>79973.88</v>
      </c>
      <c r="L646" s="181">
        <f t="shared" si="173"/>
        <v>39788</v>
      </c>
      <c r="M646" s="4" t="s">
        <v>381</v>
      </c>
      <c r="N646" s="212">
        <f>+G646*(1+$V$5)</f>
        <v>2.0263646754601217</v>
      </c>
      <c r="P646" s="183">
        <f t="shared" si="174"/>
        <v>80624.997707207323</v>
      </c>
      <c r="R646" s="177">
        <f t="shared" si="175"/>
        <v>651.11770720731874</v>
      </c>
      <c r="S646" s="152">
        <f t="shared" si="176"/>
        <v>8.1416295821500565E-3</v>
      </c>
    </row>
    <row r="647" spans="1:19" ht="14.1" customHeight="1" x14ac:dyDescent="0.2">
      <c r="A647" s="4">
        <v>37</v>
      </c>
      <c r="E647" s="5">
        <f>SUM(E645:E646)</f>
        <v>39788</v>
      </c>
      <c r="F647" s="4" t="s">
        <v>381</v>
      </c>
      <c r="I647" s="53">
        <f>SUM(I645:I646)</f>
        <v>79973.88</v>
      </c>
      <c r="L647" s="5">
        <f>SUM(L645:L646)</f>
        <v>39788</v>
      </c>
      <c r="M647" s="4" t="s">
        <v>381</v>
      </c>
      <c r="P647" s="53">
        <f>SUM(P645:P646)</f>
        <v>80624.997707207323</v>
      </c>
      <c r="R647" s="177">
        <f t="shared" si="175"/>
        <v>651.11770720731874</v>
      </c>
      <c r="S647" s="152">
        <f t="shared" si="176"/>
        <v>8.1416295821500565E-3</v>
      </c>
    </row>
    <row r="648" spans="1:19" ht="14.1" customHeight="1" x14ac:dyDescent="0.2">
      <c r="A648" s="4">
        <v>38</v>
      </c>
      <c r="B648" s="104"/>
      <c r="C648" s="266"/>
      <c r="D648" s="266"/>
      <c r="E648" s="266"/>
      <c r="F648" s="266"/>
      <c r="G648" s="266"/>
      <c r="H648" s="266"/>
      <c r="I648" s="266"/>
      <c r="J648" s="266"/>
      <c r="K648" s="266"/>
      <c r="L648" s="177"/>
      <c r="M648" s="177"/>
      <c r="N648" s="177"/>
      <c r="O648" s="177"/>
      <c r="P648" s="177"/>
      <c r="Q648" s="177"/>
      <c r="R648" s="177"/>
      <c r="S648" s="177"/>
    </row>
    <row r="649" spans="1:19" ht="14.1" customHeight="1" thickBot="1" x14ac:dyDescent="0.25">
      <c r="A649" s="16">
        <v>39</v>
      </c>
      <c r="B649" s="304" t="s">
        <v>178</v>
      </c>
      <c r="C649" s="304"/>
      <c r="D649" s="304"/>
      <c r="E649" s="304"/>
      <c r="F649" s="304"/>
      <c r="G649" s="304"/>
      <c r="H649" s="304"/>
      <c r="I649" s="304"/>
      <c r="J649" s="304"/>
      <c r="K649" s="304"/>
      <c r="L649" s="16"/>
      <c r="M649" s="16"/>
      <c r="N649" s="16"/>
      <c r="O649" s="16"/>
      <c r="P649" s="16"/>
      <c r="Q649" s="16"/>
      <c r="R649" s="16"/>
      <c r="S649" s="150"/>
    </row>
    <row r="650" spans="1:19" ht="14.1" customHeight="1" x14ac:dyDescent="0.2">
      <c r="S650" s="4" t="str">
        <f>+$S$109</f>
        <v>Recap Schedules:  E-13a</v>
      </c>
    </row>
    <row r="651" spans="1:19" ht="14.1" customHeight="1" x14ac:dyDescent="0.2">
      <c r="H651" s="292" t="s">
        <v>768</v>
      </c>
      <c r="I651" s="292"/>
      <c r="J651" s="292"/>
      <c r="K651" s="292"/>
      <c r="L651" s="292"/>
    </row>
    <row r="652" spans="1:19" ht="14.1" customHeight="1" thickBot="1" x14ac:dyDescent="0.25">
      <c r="A652" s="16" t="s">
        <v>7</v>
      </c>
      <c r="B652" s="16"/>
      <c r="C652" s="16"/>
      <c r="D652" s="16"/>
      <c r="E652" s="16"/>
      <c r="F652" s="16"/>
      <c r="G652" s="16"/>
      <c r="H652" s="301" t="s">
        <v>380</v>
      </c>
      <c r="I652" s="301"/>
      <c r="J652" s="301"/>
      <c r="K652" s="301"/>
      <c r="L652" s="301"/>
      <c r="M652" s="16"/>
      <c r="N652" s="16"/>
      <c r="O652" s="16"/>
      <c r="P652" s="16"/>
      <c r="Q652" s="16"/>
      <c r="R652" s="16"/>
      <c r="S652" s="150" t="str">
        <f>"Page " &amp; INT(ROW()/$R$1 +1)  &amp; "  of " &amp; S$1</f>
        <v>Page 13  of 19</v>
      </c>
    </row>
    <row r="653" spans="1:19" ht="14.1" customHeight="1" x14ac:dyDescent="0.2">
      <c r="A653" s="4" t="s">
        <v>21</v>
      </c>
      <c r="E653" s="4" t="s">
        <v>761</v>
      </c>
      <c r="G653" s="4" t="s">
        <v>766</v>
      </c>
      <c r="K653" s="285"/>
      <c r="L653" s="56"/>
      <c r="N653" s="56"/>
      <c r="O653" s="56"/>
      <c r="P653" s="56" t="s">
        <v>663</v>
      </c>
      <c r="S653" s="22"/>
    </row>
    <row r="654" spans="1:19" ht="14.1" customHeight="1" x14ac:dyDescent="0.2">
      <c r="G654" s="4" t="s">
        <v>767</v>
      </c>
      <c r="K654" s="284"/>
      <c r="L654" s="22"/>
      <c r="O654" s="21"/>
      <c r="P654" s="21"/>
      <c r="Q654" s="22" t="s">
        <v>764</v>
      </c>
      <c r="S654" s="21"/>
    </row>
    <row r="655" spans="1:19" ht="14.1" customHeight="1" x14ac:dyDescent="0.2">
      <c r="A655" s="4" t="s">
        <v>29</v>
      </c>
      <c r="G655" s="4" t="s">
        <v>770</v>
      </c>
      <c r="K655" s="284"/>
      <c r="L655" s="22"/>
      <c r="M655" s="21"/>
      <c r="P655" s="21"/>
      <c r="Q655" s="22" t="s">
        <v>765</v>
      </c>
      <c r="S655" s="21"/>
    </row>
    <row r="656" spans="1:19" ht="14.1" customHeight="1" x14ac:dyDescent="0.2">
      <c r="G656" s="4" t="s">
        <v>769</v>
      </c>
      <c r="K656" s="284"/>
      <c r="L656" s="22"/>
      <c r="M656" s="21"/>
      <c r="P656" s="21"/>
      <c r="Q656" s="22"/>
      <c r="S656" s="21"/>
    </row>
    <row r="657" spans="1:19" ht="14.1" customHeight="1" x14ac:dyDescent="0.2">
      <c r="C657" s="21"/>
      <c r="H657" s="10"/>
      <c r="I657" s="10"/>
      <c r="J657" s="10"/>
      <c r="K657" s="284"/>
      <c r="Q657" s="4" t="s">
        <v>738</v>
      </c>
    </row>
    <row r="658" spans="1:19" ht="14.1" customHeight="1" thickBot="1" x14ac:dyDescent="0.25">
      <c r="A658" s="16"/>
      <c r="B658" s="16"/>
      <c r="C658" s="150"/>
      <c r="D658" s="101"/>
      <c r="E658" s="101"/>
      <c r="F658" s="101"/>
      <c r="G658" s="102"/>
      <c r="H658" s="101"/>
      <c r="I658" s="101"/>
      <c r="J658" s="101"/>
      <c r="K658" s="101"/>
      <c r="L658" s="101"/>
      <c r="M658" s="101"/>
      <c r="N658" s="101"/>
      <c r="O658" s="101"/>
      <c r="P658" s="101"/>
      <c r="Q658" s="101"/>
      <c r="R658" s="101"/>
      <c r="S658" s="101"/>
    </row>
    <row r="659" spans="1:19" ht="14.1" customHeight="1" x14ac:dyDescent="0.2">
      <c r="E659" s="10"/>
      <c r="G659" s="10"/>
      <c r="H659" s="103"/>
      <c r="I659" s="10"/>
      <c r="K659" s="10"/>
      <c r="M659" s="103"/>
    </row>
    <row r="660" spans="1:19" ht="14.1" customHeight="1" x14ac:dyDescent="0.2">
      <c r="A660" s="9"/>
      <c r="B660" s="92"/>
      <c r="C660" s="92"/>
      <c r="D660" s="1"/>
      <c r="E660" s="39"/>
      <c r="F660" s="1"/>
      <c r="G660" s="1"/>
      <c r="H660" s="39"/>
      <c r="I660" s="1"/>
      <c r="J660" s="1"/>
      <c r="K660" s="3"/>
      <c r="L660" s="1"/>
      <c r="M660" s="39"/>
      <c r="N660" s="1"/>
      <c r="O660" s="1"/>
      <c r="P660" s="1"/>
      <c r="Q660" s="1"/>
      <c r="R660" s="1"/>
      <c r="S660" s="1"/>
    </row>
    <row r="661" spans="1:19" ht="14.1" customHeight="1" x14ac:dyDescent="0.2">
      <c r="A661" s="9"/>
      <c r="B661" s="92"/>
      <c r="C661" s="1"/>
      <c r="D661" s="1"/>
      <c r="E661" s="1"/>
      <c r="F661" s="39"/>
      <c r="G661" s="39"/>
      <c r="H661" s="40"/>
      <c r="I661" s="40" t="s">
        <v>14</v>
      </c>
      <c r="J661" s="3"/>
      <c r="K661" s="41" t="str">
        <f>K606</f>
        <v>SBLDSU,SBLDTSU</v>
      </c>
      <c r="L661" s="39"/>
      <c r="M661" s="1"/>
      <c r="N661" s="39"/>
      <c r="O661" s="39"/>
      <c r="P661" s="39"/>
      <c r="Q661" s="39"/>
      <c r="R661" s="39"/>
      <c r="S661" s="1"/>
    </row>
    <row r="662" spans="1:19" ht="14.1" customHeight="1" x14ac:dyDescent="0.2">
      <c r="A662" s="9"/>
      <c r="B662" s="92"/>
      <c r="C662" s="1"/>
      <c r="D662" s="1"/>
      <c r="E662" s="1"/>
      <c r="F662" s="39"/>
      <c r="G662" s="39"/>
      <c r="H662" s="39"/>
      <c r="I662" s="39"/>
      <c r="J662" s="39"/>
      <c r="K662" s="3"/>
      <c r="L662" s="39"/>
      <c r="M662" s="39"/>
      <c r="N662" s="39"/>
      <c r="O662" s="39"/>
      <c r="P662" s="39"/>
      <c r="Q662" s="39"/>
      <c r="R662" s="39"/>
      <c r="S662" s="39"/>
    </row>
    <row r="663" spans="1:19" ht="14.1" customHeight="1" x14ac:dyDescent="0.2">
      <c r="A663" s="149" t="s">
        <v>26</v>
      </c>
      <c r="B663" s="176" t="s">
        <v>5</v>
      </c>
      <c r="C663" s="216"/>
      <c r="D663" s="213"/>
      <c r="E663" s="192"/>
      <c r="F663" s="192"/>
      <c r="G663" s="267" t="s">
        <v>8</v>
      </c>
      <c r="H663" s="192"/>
      <c r="I663" s="192"/>
      <c r="J663" s="216"/>
      <c r="K663" s="187"/>
      <c r="L663" s="192"/>
      <c r="M663" s="267"/>
      <c r="N663" s="267" t="s">
        <v>9</v>
      </c>
      <c r="O663" s="192"/>
      <c r="P663" s="192"/>
      <c r="Q663" s="216"/>
      <c r="R663" s="290" t="s">
        <v>750</v>
      </c>
      <c r="S663" s="290" t="s">
        <v>752</v>
      </c>
    </row>
    <row r="664" spans="1:19" ht="14.1" customHeight="1" thickBot="1" x14ac:dyDescent="0.25">
      <c r="A664" s="151" t="s">
        <v>28</v>
      </c>
      <c r="B664" s="175" t="s">
        <v>10</v>
      </c>
      <c r="C664" s="215"/>
      <c r="D664" s="44"/>
      <c r="E664" s="151" t="s">
        <v>11</v>
      </c>
      <c r="F664" s="194"/>
      <c r="G664" s="194" t="s">
        <v>12</v>
      </c>
      <c r="H664" s="194"/>
      <c r="I664" s="194" t="s">
        <v>13</v>
      </c>
      <c r="J664" s="194"/>
      <c r="K664" s="194"/>
      <c r="L664" s="194" t="s">
        <v>11</v>
      </c>
      <c r="M664" s="194"/>
      <c r="N664" s="194" t="s">
        <v>12</v>
      </c>
      <c r="O664" s="194"/>
      <c r="P664" s="194" t="s">
        <v>13</v>
      </c>
      <c r="Q664" s="215"/>
      <c r="R664" s="291" t="s">
        <v>751</v>
      </c>
      <c r="S664" s="291" t="s">
        <v>4</v>
      </c>
    </row>
    <row r="665" spans="1:19" ht="14.1" customHeight="1" x14ac:dyDescent="0.2">
      <c r="A665" s="4">
        <v>1</v>
      </c>
      <c r="B665" s="302" t="str">
        <f>"Continued from " &amp; "Page " &amp; INT(ROW()/$R$1)</f>
        <v>Continued from Page 12</v>
      </c>
      <c r="C665" s="302"/>
      <c r="D665" s="302"/>
      <c r="F665" s="188"/>
      <c r="G665" s="188"/>
      <c r="H665" s="188"/>
      <c r="I665" s="188"/>
      <c r="J665" s="186"/>
      <c r="K665" s="187"/>
      <c r="L665" s="186"/>
      <c r="M665" s="188"/>
      <c r="N665" s="188"/>
      <c r="O665" s="188"/>
      <c r="P665" s="188"/>
      <c r="Q665" s="188"/>
      <c r="R665" s="188"/>
      <c r="S665" s="188"/>
    </row>
    <row r="666" spans="1:19" ht="14.1" customHeight="1" x14ac:dyDescent="0.2">
      <c r="A666" s="4">
        <v>2</v>
      </c>
      <c r="B666" s="303"/>
      <c r="C666" s="303"/>
      <c r="D666" s="303"/>
      <c r="F666" s="188"/>
      <c r="G666" s="188"/>
      <c r="H666" s="188"/>
      <c r="I666" s="188"/>
      <c r="J666" s="186"/>
      <c r="K666" s="187"/>
      <c r="L666" s="186"/>
      <c r="M666" s="188"/>
      <c r="N666" s="188"/>
      <c r="O666" s="188"/>
      <c r="P666" s="188"/>
      <c r="Q666" s="188"/>
      <c r="R666" s="188"/>
      <c r="S666" s="188"/>
    </row>
    <row r="667" spans="1:19" ht="14.1" customHeight="1" x14ac:dyDescent="0.2">
      <c r="A667" s="4">
        <v>3</v>
      </c>
      <c r="B667" s="186" t="s">
        <v>363</v>
      </c>
      <c r="I667" s="183"/>
      <c r="P667" s="183"/>
    </row>
    <row r="668" spans="1:19" ht="14.1" customHeight="1" x14ac:dyDescent="0.2">
      <c r="A668" s="4">
        <v>4</v>
      </c>
      <c r="B668" s="43" t="s">
        <v>59</v>
      </c>
      <c r="E668" s="4">
        <f>+ROUND('ECCR Billing Determinants'!B277/1000,0)</f>
        <v>0</v>
      </c>
      <c r="F668" s="4" t="s">
        <v>381</v>
      </c>
      <c r="G668" s="212">
        <f>+Rates!D314</f>
        <v>-1.01</v>
      </c>
      <c r="I668" s="183">
        <f>+G668*E668</f>
        <v>0</v>
      </c>
      <c r="L668" s="4">
        <f>+E668</f>
        <v>0</v>
      </c>
      <c r="M668" s="4" t="s">
        <v>381</v>
      </c>
      <c r="N668" s="212">
        <f>+G668*(1+$V$5)</f>
        <v>-1.0182230458779715</v>
      </c>
      <c r="P668" s="183">
        <f>+N668*L668</f>
        <v>0</v>
      </c>
      <c r="R668" s="177">
        <f t="shared" ref="R668:R670" si="177">+P668-I668</f>
        <v>0</v>
      </c>
      <c r="S668" s="152">
        <f t="shared" ref="S668:S670" si="178">IF(R668=0,0,(P668-I668)/I668)</f>
        <v>0</v>
      </c>
    </row>
    <row r="669" spans="1:19" ht="14.1" customHeight="1" x14ac:dyDescent="0.2">
      <c r="A669" s="4">
        <v>5</v>
      </c>
      <c r="B669" s="4" t="s">
        <v>230</v>
      </c>
      <c r="E669" s="181">
        <f>+ROUND('ECCR Billing Determinants'!B312/1000,0)</f>
        <v>61836</v>
      </c>
      <c r="F669" s="4" t="s">
        <v>381</v>
      </c>
      <c r="G669" s="212">
        <f>+Rates!D315</f>
        <v>-1.01</v>
      </c>
      <c r="I669" s="183">
        <f>+G669*E669</f>
        <v>-62454.36</v>
      </c>
      <c r="L669" s="181">
        <f t="shared" ref="L669" si="179">+E669</f>
        <v>61836</v>
      </c>
      <c r="M669" s="4" t="s">
        <v>381</v>
      </c>
      <c r="N669" s="212">
        <f>+G669*(1+$V$5)</f>
        <v>-1.0182230458779715</v>
      </c>
      <c r="P669" s="183">
        <f>+N669*L669</f>
        <v>-62962.84026491025</v>
      </c>
      <c r="R669" s="177">
        <f t="shared" si="177"/>
        <v>-508.48026491024939</v>
      </c>
      <c r="S669" s="152">
        <f t="shared" si="178"/>
        <v>8.14162958215006E-3</v>
      </c>
    </row>
    <row r="670" spans="1:19" ht="14.1" customHeight="1" x14ac:dyDescent="0.2">
      <c r="A670" s="4">
        <v>6</v>
      </c>
      <c r="B670" s="186" t="s">
        <v>16</v>
      </c>
      <c r="C670" s="186"/>
      <c r="E670" s="183">
        <f>SUM(E668:E669)</f>
        <v>61836</v>
      </c>
      <c r="F670" s="4" t="s">
        <v>381</v>
      </c>
      <c r="I670" s="185">
        <f>SUM(I668:I669)</f>
        <v>-62454.36</v>
      </c>
      <c r="L670" s="183">
        <f>SUM(L668:L669)</f>
        <v>61836</v>
      </c>
      <c r="M670" s="4" t="s">
        <v>381</v>
      </c>
      <c r="P670" s="185">
        <f>SUM(P668:P669)</f>
        <v>-62962.84026491025</v>
      </c>
      <c r="R670" s="177">
        <f t="shared" si="177"/>
        <v>-508.48026491024939</v>
      </c>
      <c r="S670" s="152">
        <f t="shared" si="178"/>
        <v>8.14162958215006E-3</v>
      </c>
    </row>
    <row r="671" spans="1:19" ht="14.1" customHeight="1" x14ac:dyDescent="0.2">
      <c r="A671" s="4">
        <v>7</v>
      </c>
      <c r="I671" s="183"/>
      <c r="P671" s="183"/>
      <c r="S671" s="9"/>
    </row>
    <row r="672" spans="1:19" ht="14.1" customHeight="1" x14ac:dyDescent="0.2">
      <c r="A672" s="4">
        <v>8</v>
      </c>
      <c r="B672" s="186" t="s">
        <v>366</v>
      </c>
      <c r="D672" s="9"/>
      <c r="E672" s="6"/>
      <c r="F672" s="177"/>
      <c r="G672" s="177"/>
      <c r="H672" s="177"/>
      <c r="I672" s="177"/>
      <c r="J672" s="177"/>
      <c r="K672" s="173"/>
      <c r="L672" s="6"/>
      <c r="M672" s="177"/>
      <c r="N672" s="177"/>
      <c r="O672" s="177"/>
      <c r="P672" s="177"/>
      <c r="S672" s="180"/>
    </row>
    <row r="673" spans="1:19" ht="14.1" customHeight="1" x14ac:dyDescent="0.2">
      <c r="A673" s="4">
        <v>9</v>
      </c>
      <c r="B673" s="43" t="s">
        <v>59</v>
      </c>
      <c r="C673" s="186"/>
      <c r="D673" s="9"/>
      <c r="E673" s="4">
        <f>+ROUND('ECCR Billing Determinants'!B274,0)</f>
        <v>0</v>
      </c>
      <c r="F673" s="179" t="s">
        <v>44</v>
      </c>
      <c r="G673" s="179">
        <f>+Rates!D318</f>
        <v>0.67480378207017755</v>
      </c>
      <c r="H673" s="177"/>
      <c r="I673" s="177">
        <f>E673*G673</f>
        <v>0</v>
      </c>
      <c r="J673" s="177"/>
      <c r="K673" s="173"/>
      <c r="L673" s="4">
        <f>+E673</f>
        <v>0</v>
      </c>
      <c r="M673" s="177" t="str">
        <f>+F673</f>
        <v>kW</v>
      </c>
      <c r="N673" s="212">
        <f>+G673*(1+$V$5)</f>
        <v>0.68029778450442679</v>
      </c>
      <c r="O673" s="177"/>
      <c r="P673" s="177">
        <f>+N673*L673</f>
        <v>0</v>
      </c>
      <c r="R673" s="177">
        <f t="shared" ref="R673:R675" si="180">+P673-I673</f>
        <v>0</v>
      </c>
      <c r="S673" s="152">
        <f t="shared" ref="S673:S675" si="181">IF(R673=0,0,(P673-I673)/I673)</f>
        <v>0</v>
      </c>
    </row>
    <row r="674" spans="1:19" ht="14.1" customHeight="1" x14ac:dyDescent="0.2">
      <c r="A674" s="4">
        <v>10</v>
      </c>
      <c r="B674" s="4" t="s">
        <v>230</v>
      </c>
      <c r="D674" s="9"/>
      <c r="E674" s="18">
        <f>+ROUND('ECCR Billing Determinants'!B309,0)</f>
        <v>0</v>
      </c>
      <c r="F674" s="179" t="s">
        <v>44</v>
      </c>
      <c r="G674" s="179">
        <f>+Rates!D319</f>
        <v>0.67480378207017755</v>
      </c>
      <c r="H674" s="177"/>
      <c r="I674" s="177">
        <f>E674*G674</f>
        <v>0</v>
      </c>
      <c r="J674" s="177"/>
      <c r="K674" s="173"/>
      <c r="L674" s="18">
        <f t="shared" ref="L674" si="182">+E674</f>
        <v>0</v>
      </c>
      <c r="M674" s="177" t="str">
        <f>+F674</f>
        <v>kW</v>
      </c>
      <c r="N674" s="212">
        <f>+G674*(1+$V$5)</f>
        <v>0.68029778450442679</v>
      </c>
      <c r="O674" s="177"/>
      <c r="P674" s="177">
        <f>+N674*L674</f>
        <v>0</v>
      </c>
      <c r="R674" s="177">
        <f t="shared" si="180"/>
        <v>0</v>
      </c>
      <c r="S674" s="152">
        <f t="shared" si="181"/>
        <v>0</v>
      </c>
    </row>
    <row r="675" spans="1:19" ht="14.1" customHeight="1" x14ac:dyDescent="0.2">
      <c r="A675" s="4">
        <v>11</v>
      </c>
      <c r="E675" s="4">
        <f>SUM(E673:E674)</f>
        <v>0</v>
      </c>
      <c r="F675" s="179" t="s">
        <v>44</v>
      </c>
      <c r="I675" s="53">
        <f>SUM(I673:I674)</f>
        <v>0</v>
      </c>
      <c r="L675" s="4">
        <f>SUM(L673:L674)</f>
        <v>0</v>
      </c>
      <c r="M675" s="177" t="str">
        <f>+F675</f>
        <v>kW</v>
      </c>
      <c r="P675" s="53">
        <f>SUM(P673:P674)</f>
        <v>0</v>
      </c>
      <c r="R675" s="177">
        <f t="shared" si="180"/>
        <v>0</v>
      </c>
      <c r="S675" s="152">
        <f t="shared" si="181"/>
        <v>0</v>
      </c>
    </row>
    <row r="676" spans="1:19" ht="14.1" customHeight="1" x14ac:dyDescent="0.2">
      <c r="A676" s="4">
        <v>12</v>
      </c>
      <c r="K676" s="4"/>
      <c r="S676" s="180"/>
    </row>
    <row r="677" spans="1:19" ht="14.1" customHeight="1" x14ac:dyDescent="0.2">
      <c r="A677" s="4">
        <v>13</v>
      </c>
      <c r="K677" s="4"/>
    </row>
    <row r="678" spans="1:19" ht="14.1" customHeight="1" thickBot="1" x14ac:dyDescent="0.25">
      <c r="A678" s="4">
        <v>14</v>
      </c>
      <c r="B678" s="45" t="s">
        <v>50</v>
      </c>
      <c r="I678" s="247">
        <f>+I675+I670+I647+I641+I626+I614+I620+I632</f>
        <v>14044457.95334032</v>
      </c>
      <c r="J678" s="177"/>
      <c r="K678" s="173"/>
      <c r="L678" s="177"/>
      <c r="P678" s="247">
        <f>+P675+P670+P647+P641+P626+P614+P620+P632</f>
        <v>14158802.727678496</v>
      </c>
      <c r="R678" s="177">
        <f t="shared" ref="R678" si="183">+P678-I678</f>
        <v>114344.77433817647</v>
      </c>
      <c r="S678" s="152">
        <f t="shared" ref="S678" si="184">IF(R678=0,0,(P678-I678)/I678)</f>
        <v>8.1416295821499351E-3</v>
      </c>
    </row>
    <row r="679" spans="1:19" ht="14.1" customHeight="1" thickTop="1" x14ac:dyDescent="0.2">
      <c r="A679" s="4">
        <v>15</v>
      </c>
      <c r="K679" s="4"/>
      <c r="S679" s="180"/>
    </row>
    <row r="680" spans="1:19" ht="14.1" customHeight="1" x14ac:dyDescent="0.2">
      <c r="A680" s="4">
        <v>16</v>
      </c>
      <c r="B680" s="186"/>
      <c r="C680" s="188"/>
      <c r="K680" s="4"/>
      <c r="S680" s="180"/>
    </row>
    <row r="681" spans="1:19" ht="14.1" customHeight="1" x14ac:dyDescent="0.2">
      <c r="A681" s="4">
        <v>17</v>
      </c>
      <c r="B681" s="186"/>
      <c r="C681" s="188"/>
      <c r="D681" s="9"/>
      <c r="E681" s="6"/>
      <c r="F681" s="177"/>
      <c r="G681" s="177"/>
      <c r="H681" s="177"/>
      <c r="I681" s="177"/>
      <c r="J681" s="177"/>
      <c r="K681" s="173"/>
      <c r="L681" s="6"/>
      <c r="M681" s="177"/>
      <c r="N681" s="177"/>
      <c r="O681" s="177"/>
      <c r="P681" s="177"/>
      <c r="S681" s="180"/>
    </row>
    <row r="682" spans="1:19" ht="14.1" customHeight="1" x14ac:dyDescent="0.2">
      <c r="A682" s="4">
        <v>18</v>
      </c>
    </row>
    <row r="683" spans="1:19" ht="14.1" customHeight="1" x14ac:dyDescent="0.2">
      <c r="A683" s="4">
        <v>19</v>
      </c>
    </row>
    <row r="684" spans="1:19" ht="14.1" customHeight="1" x14ac:dyDescent="0.2">
      <c r="A684" s="4">
        <v>20</v>
      </c>
    </row>
    <row r="685" spans="1:19" ht="14.1" customHeight="1" x14ac:dyDescent="0.2">
      <c r="A685" s="4">
        <v>21</v>
      </c>
    </row>
    <row r="686" spans="1:19" ht="14.1" customHeight="1" x14ac:dyDescent="0.2">
      <c r="A686" s="4">
        <v>22</v>
      </c>
    </row>
    <row r="687" spans="1:19" ht="14.1" customHeight="1" x14ac:dyDescent="0.2">
      <c r="A687" s="4">
        <v>23</v>
      </c>
      <c r="B687" s="186"/>
      <c r="C687" s="186"/>
      <c r="D687" s="186"/>
      <c r="I687" s="183"/>
      <c r="P687" s="183"/>
    </row>
    <row r="688" spans="1:19" ht="14.1" customHeight="1" x14ac:dyDescent="0.2">
      <c r="A688" s="4">
        <v>24</v>
      </c>
      <c r="B688" s="43"/>
      <c r="K688" s="4"/>
      <c r="S688" s="180"/>
    </row>
    <row r="689" spans="1:19" ht="14.1" customHeight="1" x14ac:dyDescent="0.2">
      <c r="A689" s="4">
        <v>25</v>
      </c>
      <c r="K689" s="4"/>
      <c r="S689" s="180"/>
    </row>
    <row r="690" spans="1:19" ht="14.1" customHeight="1" x14ac:dyDescent="0.2">
      <c r="A690" s="4">
        <v>26</v>
      </c>
      <c r="B690" s="186"/>
      <c r="K690" s="4"/>
      <c r="R690" s="177"/>
      <c r="S690" s="180"/>
    </row>
    <row r="691" spans="1:19" ht="14.1" customHeight="1" x14ac:dyDescent="0.2">
      <c r="A691" s="4">
        <v>27</v>
      </c>
      <c r="B691" s="9"/>
      <c r="K691" s="4"/>
      <c r="R691" s="9"/>
      <c r="S691" s="9"/>
    </row>
    <row r="692" spans="1:19" ht="14.1" customHeight="1" x14ac:dyDescent="0.2">
      <c r="A692" s="4">
        <v>28</v>
      </c>
      <c r="B692" s="9"/>
      <c r="C692" s="9"/>
      <c r="D692" s="9"/>
      <c r="E692" s="9"/>
      <c r="F692" s="9"/>
      <c r="G692" s="9"/>
      <c r="H692" s="9"/>
      <c r="I692" s="9"/>
      <c r="J692" s="9"/>
      <c r="K692" s="149"/>
      <c r="L692" s="9"/>
      <c r="M692" s="9"/>
      <c r="N692" s="9"/>
      <c r="O692" s="9"/>
      <c r="P692" s="9"/>
      <c r="Q692" s="9"/>
      <c r="R692" s="9"/>
      <c r="S692" s="9"/>
    </row>
    <row r="693" spans="1:19" ht="14.1" customHeight="1" x14ac:dyDescent="0.2">
      <c r="A693" s="4">
        <v>29</v>
      </c>
      <c r="B693" s="169"/>
      <c r="C693" s="169"/>
      <c r="D693" s="169"/>
      <c r="E693" s="9"/>
      <c r="F693" s="9"/>
      <c r="G693" s="9"/>
      <c r="H693" s="9"/>
      <c r="I693" s="9"/>
      <c r="J693" s="9"/>
      <c r="K693" s="149"/>
      <c r="L693" s="9"/>
      <c r="M693" s="9"/>
      <c r="N693" s="9"/>
      <c r="O693" s="9"/>
      <c r="P693" s="9"/>
      <c r="Q693" s="9"/>
      <c r="R693" s="9"/>
      <c r="S693" s="9"/>
    </row>
    <row r="694" spans="1:19" ht="14.1" customHeight="1" x14ac:dyDescent="0.2">
      <c r="A694" s="4">
        <v>30</v>
      </c>
    </row>
    <row r="695" spans="1:19" ht="14.1" customHeight="1" x14ac:dyDescent="0.2">
      <c r="A695" s="4">
        <v>31</v>
      </c>
      <c r="E695" s="5"/>
      <c r="I695" s="5"/>
      <c r="L695" s="5"/>
      <c r="P695" s="9"/>
      <c r="S695" s="180"/>
    </row>
    <row r="696" spans="1:19" ht="14.1" customHeight="1" x14ac:dyDescent="0.2">
      <c r="A696" s="4">
        <v>32</v>
      </c>
      <c r="E696" s="5"/>
      <c r="I696" s="5"/>
      <c r="L696" s="5"/>
      <c r="P696" s="9"/>
      <c r="S696" s="180"/>
    </row>
    <row r="697" spans="1:19" ht="14.1" customHeight="1" x14ac:dyDescent="0.2">
      <c r="A697" s="4">
        <v>33</v>
      </c>
      <c r="E697" s="5"/>
      <c r="I697" s="5"/>
      <c r="L697" s="5"/>
      <c r="P697" s="9"/>
      <c r="S697" s="180"/>
    </row>
    <row r="698" spans="1:19" ht="14.1" customHeight="1" x14ac:dyDescent="0.2">
      <c r="A698" s="4">
        <v>34</v>
      </c>
      <c r="E698" s="5"/>
      <c r="I698" s="5"/>
      <c r="L698" s="5"/>
      <c r="P698" s="9"/>
      <c r="S698" s="180"/>
    </row>
    <row r="699" spans="1:19" ht="14.1" customHeight="1" x14ac:dyDescent="0.2">
      <c r="A699" s="4">
        <v>35</v>
      </c>
      <c r="E699" s="5"/>
      <c r="I699" s="5"/>
      <c r="L699" s="5"/>
      <c r="P699" s="9"/>
      <c r="S699" s="180"/>
    </row>
    <row r="700" spans="1:19" ht="14.1" customHeight="1" x14ac:dyDescent="0.2">
      <c r="A700" s="4">
        <v>36</v>
      </c>
    </row>
    <row r="701" spans="1:19" ht="14.1" customHeight="1" x14ac:dyDescent="0.2">
      <c r="A701" s="4">
        <v>37</v>
      </c>
    </row>
    <row r="702" spans="1:19" ht="14.1" customHeight="1" x14ac:dyDescent="0.2">
      <c r="A702" s="4">
        <v>38</v>
      </c>
    </row>
    <row r="703" spans="1:19" ht="14.1" customHeight="1" thickBot="1" x14ac:dyDescent="0.25">
      <c r="A703" s="16">
        <v>39</v>
      </c>
      <c r="B703" s="16"/>
      <c r="C703" s="16"/>
      <c r="D703" s="16"/>
      <c r="E703" s="16"/>
      <c r="F703" s="16"/>
      <c r="G703" s="16"/>
      <c r="H703" s="16"/>
      <c r="I703" s="16"/>
      <c r="J703" s="16"/>
      <c r="K703" s="151"/>
      <c r="L703" s="16"/>
      <c r="M703" s="16"/>
      <c r="N703" s="16"/>
      <c r="O703" s="16"/>
      <c r="P703" s="16"/>
      <c r="Q703" s="16"/>
      <c r="R703" s="16"/>
      <c r="S703" s="150"/>
    </row>
    <row r="704" spans="1:19" ht="14.1" customHeight="1" x14ac:dyDescent="0.2">
      <c r="S704" s="4" t="str">
        <f>+$S$109</f>
        <v>Recap Schedules:  E-13a</v>
      </c>
    </row>
    <row r="705" spans="1:19" ht="14.1" customHeight="1" x14ac:dyDescent="0.2">
      <c r="H705" s="292" t="s">
        <v>768</v>
      </c>
      <c r="I705" s="292"/>
      <c r="J705" s="292"/>
      <c r="K705" s="292"/>
      <c r="L705" s="292"/>
    </row>
    <row r="706" spans="1:19" ht="14.1" customHeight="1" thickBot="1" x14ac:dyDescent="0.25">
      <c r="A706" s="16" t="s">
        <v>7</v>
      </c>
      <c r="B706" s="16"/>
      <c r="C706" s="16"/>
      <c r="D706" s="16"/>
      <c r="E706" s="16"/>
      <c r="F706" s="16"/>
      <c r="G706" s="16"/>
      <c r="H706" s="301" t="s">
        <v>380</v>
      </c>
      <c r="I706" s="301"/>
      <c r="J706" s="301"/>
      <c r="K706" s="301"/>
      <c r="L706" s="301"/>
      <c r="M706" s="16"/>
      <c r="N706" s="16"/>
      <c r="O706" s="16"/>
      <c r="P706" s="16"/>
      <c r="Q706" s="16"/>
      <c r="R706" s="16"/>
      <c r="S706" s="150" t="str">
        <f>"Page " &amp; INT(ROW()/$R$1 +1)  &amp; "  of " &amp; S$1</f>
        <v>Page 14  of 19</v>
      </c>
    </row>
    <row r="707" spans="1:19" ht="14.1" customHeight="1" x14ac:dyDescent="0.2">
      <c r="A707" s="4" t="s">
        <v>21</v>
      </c>
      <c r="E707" s="4" t="s">
        <v>761</v>
      </c>
      <c r="G707" s="4" t="s">
        <v>766</v>
      </c>
      <c r="K707" s="285"/>
      <c r="L707" s="56"/>
      <c r="N707" s="56"/>
      <c r="O707" s="56"/>
      <c r="P707" s="56" t="s">
        <v>663</v>
      </c>
      <c r="S707" s="22"/>
    </row>
    <row r="708" spans="1:19" ht="14.1" customHeight="1" x14ac:dyDescent="0.2">
      <c r="G708" s="4" t="s">
        <v>767</v>
      </c>
      <c r="K708" s="284"/>
      <c r="L708" s="22"/>
      <c r="O708" s="21"/>
      <c r="P708" s="21"/>
      <c r="Q708" s="22" t="s">
        <v>764</v>
      </c>
      <c r="S708" s="21"/>
    </row>
    <row r="709" spans="1:19" ht="14.1" customHeight="1" x14ac:dyDescent="0.2">
      <c r="A709" s="4" t="s">
        <v>29</v>
      </c>
      <c r="G709" s="4" t="s">
        <v>770</v>
      </c>
      <c r="K709" s="284"/>
      <c r="L709" s="22"/>
      <c r="M709" s="21"/>
      <c r="P709" s="21"/>
      <c r="Q709" s="22" t="s">
        <v>765</v>
      </c>
      <c r="S709" s="21"/>
    </row>
    <row r="710" spans="1:19" ht="14.1" customHeight="1" x14ac:dyDescent="0.2">
      <c r="G710" s="4" t="s">
        <v>769</v>
      </c>
      <c r="K710" s="284"/>
      <c r="L710" s="22"/>
      <c r="M710" s="21"/>
      <c r="P710" s="21"/>
      <c r="Q710" s="22"/>
      <c r="S710" s="21"/>
    </row>
    <row r="711" spans="1:19" ht="14.1" customHeight="1" x14ac:dyDescent="0.2">
      <c r="C711" s="21"/>
      <c r="H711" s="10"/>
      <c r="I711" s="10"/>
      <c r="J711" s="10"/>
      <c r="K711" s="284"/>
      <c r="Q711" s="4" t="s">
        <v>738</v>
      </c>
    </row>
    <row r="712" spans="1:19" ht="14.1" customHeight="1" thickBot="1" x14ac:dyDescent="0.25">
      <c r="A712" s="16"/>
      <c r="B712" s="16"/>
      <c r="C712" s="150"/>
      <c r="D712" s="101"/>
      <c r="E712" s="101"/>
      <c r="F712" s="101"/>
      <c r="G712" s="102"/>
      <c r="H712" s="101"/>
      <c r="I712" s="101"/>
      <c r="J712" s="101"/>
      <c r="K712" s="101"/>
      <c r="L712" s="101"/>
      <c r="M712" s="101"/>
      <c r="N712" s="101"/>
      <c r="O712" s="101"/>
      <c r="P712" s="101"/>
      <c r="Q712" s="101"/>
      <c r="R712" s="101"/>
      <c r="S712" s="101"/>
    </row>
    <row r="713" spans="1:19" ht="14.1" customHeight="1" x14ac:dyDescent="0.2">
      <c r="E713" s="10"/>
      <c r="G713" s="10"/>
      <c r="H713" s="103"/>
      <c r="I713" s="10"/>
      <c r="K713" s="10"/>
      <c r="M713" s="103"/>
    </row>
    <row r="714" spans="1:19" ht="14.1" customHeight="1" x14ac:dyDescent="0.2">
      <c r="A714" s="9"/>
      <c r="B714" s="92"/>
      <c r="C714" s="92"/>
      <c r="D714" s="1"/>
      <c r="E714" s="39"/>
      <c r="F714" s="1"/>
      <c r="G714" s="1"/>
      <c r="H714" s="39"/>
      <c r="I714" s="1"/>
      <c r="J714" s="1"/>
      <c r="K714" s="3"/>
      <c r="L714" s="1"/>
      <c r="M714" s="39"/>
      <c r="N714" s="1"/>
      <c r="O714" s="1"/>
      <c r="P714" s="1"/>
      <c r="Q714" s="1"/>
      <c r="R714" s="1"/>
      <c r="S714" s="1"/>
    </row>
    <row r="715" spans="1:19" ht="14.1" customHeight="1" x14ac:dyDescent="0.2">
      <c r="A715" s="9"/>
      <c r="B715" s="92"/>
      <c r="C715" s="1"/>
      <c r="D715" s="1"/>
      <c r="E715" s="1"/>
      <c r="F715" s="39"/>
      <c r="G715" s="39"/>
      <c r="H715" s="40"/>
      <c r="I715" s="40" t="s">
        <v>14</v>
      </c>
      <c r="J715" s="3"/>
      <c r="K715" s="41" t="s">
        <v>401</v>
      </c>
      <c r="L715" s="39"/>
      <c r="M715" s="1"/>
      <c r="N715" s="39"/>
      <c r="O715" s="39"/>
      <c r="P715" s="39"/>
      <c r="Q715" s="39"/>
      <c r="R715" s="39"/>
      <c r="S715" s="1"/>
    </row>
    <row r="716" spans="1:19" ht="14.1" customHeight="1" x14ac:dyDescent="0.2">
      <c r="A716" s="9"/>
      <c r="B716" s="92"/>
      <c r="C716" s="1"/>
      <c r="D716" s="1"/>
      <c r="E716" s="1"/>
      <c r="F716" s="39"/>
      <c r="G716" s="39"/>
      <c r="H716" s="39"/>
      <c r="I716" s="39"/>
      <c r="J716" s="39"/>
      <c r="K716" s="3"/>
      <c r="L716" s="39"/>
      <c r="M716" s="39"/>
      <c r="N716" s="39"/>
      <c r="O716" s="39"/>
      <c r="P716" s="39"/>
      <c r="Q716" s="39"/>
      <c r="R716" s="39"/>
      <c r="S716" s="39"/>
    </row>
    <row r="717" spans="1:19" ht="14.1" customHeight="1" x14ac:dyDescent="0.2">
      <c r="A717" s="149" t="s">
        <v>26</v>
      </c>
      <c r="B717" s="176" t="s">
        <v>5</v>
      </c>
      <c r="C717" s="216"/>
      <c r="D717" s="213"/>
      <c r="E717" s="192"/>
      <c r="F717" s="192"/>
      <c r="G717" s="267" t="s">
        <v>8</v>
      </c>
      <c r="H717" s="192"/>
      <c r="I717" s="192"/>
      <c r="J717" s="216"/>
      <c r="K717" s="187"/>
      <c r="L717" s="192"/>
      <c r="M717" s="267"/>
      <c r="N717" s="267" t="s">
        <v>9</v>
      </c>
      <c r="O717" s="192"/>
      <c r="P717" s="192"/>
      <c r="Q717" s="216"/>
      <c r="R717" s="290" t="s">
        <v>750</v>
      </c>
      <c r="S717" s="290" t="s">
        <v>752</v>
      </c>
    </row>
    <row r="718" spans="1:19" ht="14.1" customHeight="1" thickBot="1" x14ac:dyDescent="0.25">
      <c r="A718" s="151" t="s">
        <v>28</v>
      </c>
      <c r="B718" s="175" t="s">
        <v>10</v>
      </c>
      <c r="C718" s="215"/>
      <c r="D718" s="44"/>
      <c r="E718" s="151" t="s">
        <v>11</v>
      </c>
      <c r="F718" s="194"/>
      <c r="G718" s="194" t="s">
        <v>12</v>
      </c>
      <c r="H718" s="194"/>
      <c r="I718" s="194" t="s">
        <v>13</v>
      </c>
      <c r="J718" s="194"/>
      <c r="K718" s="194"/>
      <c r="L718" s="194" t="s">
        <v>11</v>
      </c>
      <c r="M718" s="194"/>
      <c r="N718" s="194" t="s">
        <v>12</v>
      </c>
      <c r="O718" s="194"/>
      <c r="P718" s="194" t="s">
        <v>13</v>
      </c>
      <c r="Q718" s="215"/>
      <c r="R718" s="291" t="s">
        <v>751</v>
      </c>
      <c r="S718" s="291" t="s">
        <v>4</v>
      </c>
    </row>
    <row r="719" spans="1:19" ht="14.1" customHeight="1" x14ac:dyDescent="0.2">
      <c r="A719" s="4">
        <v>1</v>
      </c>
      <c r="B719" s="169"/>
      <c r="C719" s="186"/>
      <c r="F719" s="188"/>
      <c r="G719" s="188"/>
      <c r="H719" s="188"/>
      <c r="I719" s="188"/>
      <c r="J719" s="186"/>
      <c r="K719" s="187"/>
      <c r="L719" s="186"/>
      <c r="M719" s="188"/>
      <c r="N719" s="188"/>
      <c r="O719" s="188"/>
      <c r="P719" s="188"/>
      <c r="Q719" s="188"/>
      <c r="R719" s="188"/>
      <c r="S719" s="188"/>
    </row>
    <row r="720" spans="1:19" ht="14.1" customHeight="1" x14ac:dyDescent="0.2">
      <c r="A720" s="4">
        <v>2</v>
      </c>
      <c r="B720" s="186" t="s">
        <v>393</v>
      </c>
    </row>
    <row r="721" spans="1:20" ht="14.1" customHeight="1" x14ac:dyDescent="0.2">
      <c r="A721" s="4">
        <v>3</v>
      </c>
      <c r="B721" s="43" t="s">
        <v>189</v>
      </c>
      <c r="E721" s="4">
        <f>+'ECCR Billing Determinants'!C111</f>
        <v>0</v>
      </c>
      <c r="F721" s="177" t="s">
        <v>611</v>
      </c>
      <c r="G721" s="212">
        <f>+Rates!D99</f>
        <v>1.8946628469481879</v>
      </c>
      <c r="I721" s="183">
        <f t="shared" ref="I721:I726" si="185">+G721*E721</f>
        <v>0</v>
      </c>
      <c r="L721" s="4">
        <f t="shared" ref="L721:L726" si="186">+E721</f>
        <v>0</v>
      </c>
      <c r="M721" s="177" t="s">
        <v>611</v>
      </c>
      <c r="N721" s="212">
        <f t="shared" ref="N721:N726" si="187">+G721*(1+$V$5)</f>
        <v>1.9100884900311017</v>
      </c>
      <c r="P721" s="183">
        <f t="shared" ref="P721:P726" si="188">+N721*L721</f>
        <v>0</v>
      </c>
      <c r="R721" s="177">
        <f t="shared" ref="R721:R727" si="189">+P721-I721</f>
        <v>0</v>
      </c>
      <c r="S721" s="152">
        <f t="shared" ref="S721:S727" si="190">IF(R721=0,0,(P721-I721)/I721)</f>
        <v>0</v>
      </c>
    </row>
    <row r="722" spans="1:20" ht="14.1" customHeight="1" x14ac:dyDescent="0.2">
      <c r="A722" s="4">
        <v>4</v>
      </c>
      <c r="B722" s="43" t="s">
        <v>58</v>
      </c>
      <c r="E722" s="4">
        <f>+'ECCR Billing Determinants'!C112</f>
        <v>0</v>
      </c>
      <c r="F722" s="177" t="s">
        <v>611</v>
      </c>
      <c r="G722" s="212">
        <f>+Rates!D100</f>
        <v>6.7494921031099304</v>
      </c>
      <c r="I722" s="183">
        <f t="shared" si="185"/>
        <v>0</v>
      </c>
      <c r="L722" s="4">
        <f t="shared" si="186"/>
        <v>0</v>
      </c>
      <c r="M722" s="177" t="s">
        <v>611</v>
      </c>
      <c r="N722" s="212">
        <f t="shared" si="187"/>
        <v>6.8044439676810979</v>
      </c>
      <c r="P722" s="183">
        <f t="shared" si="188"/>
        <v>0</v>
      </c>
      <c r="R722" s="177">
        <f t="shared" si="189"/>
        <v>0</v>
      </c>
      <c r="S722" s="152">
        <f t="shared" si="190"/>
        <v>0</v>
      </c>
    </row>
    <row r="723" spans="1:20" ht="14.1" customHeight="1" x14ac:dyDescent="0.2">
      <c r="A723" s="4">
        <v>5</v>
      </c>
      <c r="B723" s="43" t="s">
        <v>59</v>
      </c>
      <c r="E723" s="4">
        <f>+'ECCR Billing Determinants'!C113</f>
        <v>0</v>
      </c>
      <c r="F723" s="177" t="s">
        <v>611</v>
      </c>
      <c r="G723" s="212">
        <f>+Rates!D101</f>
        <v>18.157787011765748</v>
      </c>
      <c r="I723" s="183">
        <f t="shared" si="185"/>
        <v>0</v>
      </c>
      <c r="L723" s="4">
        <f t="shared" si="186"/>
        <v>0</v>
      </c>
      <c r="M723" s="177" t="s">
        <v>611</v>
      </c>
      <c r="N723" s="212">
        <f t="shared" si="187"/>
        <v>18.305620987647117</v>
      </c>
      <c r="P723" s="183">
        <f t="shared" si="188"/>
        <v>0</v>
      </c>
      <c r="R723" s="177">
        <f t="shared" si="189"/>
        <v>0</v>
      </c>
      <c r="S723" s="152">
        <f t="shared" si="190"/>
        <v>0</v>
      </c>
    </row>
    <row r="724" spans="1:20" ht="14.1" customHeight="1" x14ac:dyDescent="0.2">
      <c r="A724" s="4">
        <v>6</v>
      </c>
      <c r="B724" s="4" t="s">
        <v>228</v>
      </c>
      <c r="E724" s="4">
        <f>+'ECCR Billing Determinants'!C155</f>
        <v>0</v>
      </c>
      <c r="F724" s="177" t="s">
        <v>611</v>
      </c>
      <c r="G724" s="212">
        <f>+Rates!D102</f>
        <v>1.8946628469481879</v>
      </c>
      <c r="I724" s="183">
        <f t="shared" si="185"/>
        <v>0</v>
      </c>
      <c r="L724" s="4">
        <f t="shared" si="186"/>
        <v>0</v>
      </c>
      <c r="M724" s="177" t="s">
        <v>611</v>
      </c>
      <c r="N724" s="212">
        <f t="shared" si="187"/>
        <v>1.9100884900311017</v>
      </c>
      <c r="P724" s="183">
        <f t="shared" si="188"/>
        <v>0</v>
      </c>
      <c r="R724" s="177">
        <f t="shared" si="189"/>
        <v>0</v>
      </c>
      <c r="S724" s="152">
        <f t="shared" si="190"/>
        <v>0</v>
      </c>
    </row>
    <row r="725" spans="1:20" ht="14.1" customHeight="1" x14ac:dyDescent="0.2">
      <c r="A725" s="4">
        <v>7</v>
      </c>
      <c r="B725" s="4" t="s">
        <v>229</v>
      </c>
      <c r="C725" s="186"/>
      <c r="E725" s="4">
        <f>+'ECCR Billing Determinants'!C156</f>
        <v>0</v>
      </c>
      <c r="F725" s="177" t="s">
        <v>611</v>
      </c>
      <c r="G725" s="212">
        <f>+Rates!D103</f>
        <v>6.7494921031099304</v>
      </c>
      <c r="H725" s="177"/>
      <c r="I725" s="183">
        <f t="shared" si="185"/>
        <v>0</v>
      </c>
      <c r="J725" s="183"/>
      <c r="K725" s="173"/>
      <c r="L725" s="4">
        <f>+E725</f>
        <v>0</v>
      </c>
      <c r="M725" s="177" t="s">
        <v>611</v>
      </c>
      <c r="N725" s="212">
        <f t="shared" si="187"/>
        <v>6.8044439676810979</v>
      </c>
      <c r="O725" s="177"/>
      <c r="P725" s="183">
        <f t="shared" si="188"/>
        <v>0</v>
      </c>
      <c r="R725" s="177">
        <f t="shared" si="189"/>
        <v>0</v>
      </c>
      <c r="S725" s="152">
        <f t="shared" si="190"/>
        <v>0</v>
      </c>
    </row>
    <row r="726" spans="1:20" ht="14.1" customHeight="1" x14ac:dyDescent="0.2">
      <c r="A726" s="4">
        <v>8</v>
      </c>
      <c r="B726" s="4" t="s">
        <v>230</v>
      </c>
      <c r="E726" s="18">
        <f>+'ECCR Billing Determinants'!C157</f>
        <v>0</v>
      </c>
      <c r="F726" s="177" t="s">
        <v>611</v>
      </c>
      <c r="G726" s="212">
        <f>+Rates!D104</f>
        <v>18.157787011765748</v>
      </c>
      <c r="I726" s="183">
        <f t="shared" si="185"/>
        <v>0</v>
      </c>
      <c r="L726" s="18">
        <f t="shared" si="186"/>
        <v>0</v>
      </c>
      <c r="M726" s="177" t="s">
        <v>611</v>
      </c>
      <c r="N726" s="212">
        <f t="shared" si="187"/>
        <v>18.305620987647117</v>
      </c>
      <c r="P726" s="183">
        <f t="shared" si="188"/>
        <v>0</v>
      </c>
      <c r="R726" s="177">
        <f t="shared" si="189"/>
        <v>0</v>
      </c>
      <c r="S726" s="152">
        <f t="shared" si="190"/>
        <v>0</v>
      </c>
    </row>
    <row r="727" spans="1:20" ht="14.1" customHeight="1" x14ac:dyDescent="0.2">
      <c r="A727" s="4">
        <v>9</v>
      </c>
      <c r="B727" s="186" t="s">
        <v>16</v>
      </c>
      <c r="C727" s="186"/>
      <c r="E727" s="4">
        <f>SUM(E721:E726)</f>
        <v>0</v>
      </c>
      <c r="F727" s="177" t="s">
        <v>612</v>
      </c>
      <c r="G727" s="212"/>
      <c r="H727" s="177"/>
      <c r="I727" s="185">
        <f>SUM(I721:I726)</f>
        <v>0</v>
      </c>
      <c r="J727" s="177"/>
      <c r="K727" s="173"/>
      <c r="L727" s="4">
        <f>SUM(L721:L726)</f>
        <v>0</v>
      </c>
      <c r="M727" s="177" t="s">
        <v>612</v>
      </c>
      <c r="N727" s="212"/>
      <c r="O727" s="177"/>
      <c r="P727" s="185">
        <f>SUM(P721:P726)</f>
        <v>0</v>
      </c>
      <c r="R727" s="177">
        <f t="shared" si="189"/>
        <v>0</v>
      </c>
      <c r="S727" s="152">
        <f t="shared" si="190"/>
        <v>0</v>
      </c>
      <c r="T727" s="9"/>
    </row>
    <row r="728" spans="1:20" ht="14.1" customHeight="1" x14ac:dyDescent="0.2">
      <c r="A728" s="4">
        <v>10</v>
      </c>
      <c r="I728" s="183"/>
      <c r="P728" s="183"/>
      <c r="S728" s="9"/>
      <c r="T728" s="9"/>
    </row>
    <row r="729" spans="1:20" ht="14.1" customHeight="1" x14ac:dyDescent="0.2">
      <c r="A729" s="4">
        <v>11</v>
      </c>
      <c r="B729" s="186" t="s">
        <v>51</v>
      </c>
      <c r="I729" s="183"/>
      <c r="P729" s="183"/>
      <c r="S729" s="9"/>
      <c r="T729" s="9"/>
    </row>
    <row r="730" spans="1:20" ht="14.1" customHeight="1" x14ac:dyDescent="0.2">
      <c r="A730" s="4">
        <v>12</v>
      </c>
      <c r="B730" s="43" t="s">
        <v>189</v>
      </c>
      <c r="E730" s="4">
        <f>+ROUND('ECCR Billing Determinants'!B123/1000,0)</f>
        <v>0</v>
      </c>
      <c r="F730" s="177" t="s">
        <v>379</v>
      </c>
      <c r="G730" s="212">
        <f>+Rates!D106</f>
        <v>7.3</v>
      </c>
      <c r="I730" s="183">
        <f>+G730*E730</f>
        <v>0</v>
      </c>
      <c r="L730" s="4">
        <f>+E730</f>
        <v>0</v>
      </c>
      <c r="M730" s="177" t="s">
        <v>379</v>
      </c>
      <c r="N730" s="212">
        <f t="shared" ref="N730:N738" si="191">+G730*(1+$V$5)</f>
        <v>7.3594338959496941</v>
      </c>
      <c r="P730" s="183">
        <f>+N730*L730</f>
        <v>0</v>
      </c>
      <c r="R730" s="177">
        <f t="shared" ref="R730:R739" si="192">+P730-I730</f>
        <v>0</v>
      </c>
      <c r="S730" s="152">
        <f t="shared" ref="S730:S739" si="193">IF(R730=0,0,(P730-I730)/I730)</f>
        <v>0</v>
      </c>
      <c r="T730" s="9"/>
    </row>
    <row r="731" spans="1:20" ht="14.1" customHeight="1" x14ac:dyDescent="0.2">
      <c r="A731" s="4">
        <v>13</v>
      </c>
      <c r="B731" s="43" t="s">
        <v>58</v>
      </c>
      <c r="E731" s="4">
        <f>+ROUND('ECCR Billing Determinants'!B124/1000,0)</f>
        <v>0</v>
      </c>
      <c r="F731" s="177" t="s">
        <v>379</v>
      </c>
      <c r="G731" s="212">
        <f>+Rates!D107</f>
        <v>7.3</v>
      </c>
      <c r="I731" s="183">
        <f>+G731*E731</f>
        <v>0</v>
      </c>
      <c r="L731" s="4">
        <f t="shared" ref="L731:L738" si="194">+E731</f>
        <v>0</v>
      </c>
      <c r="M731" s="177" t="s">
        <v>379</v>
      </c>
      <c r="N731" s="212">
        <f t="shared" si="191"/>
        <v>7.3594338959496941</v>
      </c>
      <c r="P731" s="183">
        <f>+N731*L731</f>
        <v>0</v>
      </c>
      <c r="R731" s="177">
        <f t="shared" si="192"/>
        <v>0</v>
      </c>
      <c r="S731" s="152">
        <f t="shared" si="193"/>
        <v>0</v>
      </c>
    </row>
    <row r="732" spans="1:20" ht="14.1" customHeight="1" x14ac:dyDescent="0.2">
      <c r="A732" s="4">
        <v>14</v>
      </c>
      <c r="B732" s="43" t="s">
        <v>59</v>
      </c>
      <c r="E732" s="4">
        <f>+ROUND('ECCR Billing Determinants'!B125/1000,0)</f>
        <v>0</v>
      </c>
      <c r="F732" s="177" t="s">
        <v>379</v>
      </c>
      <c r="G732" s="212">
        <f>+Rates!D108</f>
        <v>7.3</v>
      </c>
      <c r="I732" s="183">
        <f>+G732*E732</f>
        <v>0</v>
      </c>
      <c r="L732" s="4">
        <f t="shared" si="194"/>
        <v>0</v>
      </c>
      <c r="M732" s="177" t="s">
        <v>379</v>
      </c>
      <c r="N732" s="212">
        <f t="shared" si="191"/>
        <v>7.3594338959496941</v>
      </c>
      <c r="P732" s="183">
        <f>+N732*L732</f>
        <v>0</v>
      </c>
      <c r="R732" s="177">
        <f t="shared" si="192"/>
        <v>0</v>
      </c>
      <c r="S732" s="152">
        <f t="shared" si="193"/>
        <v>0</v>
      </c>
    </row>
    <row r="733" spans="1:20" ht="14.1" customHeight="1" x14ac:dyDescent="0.2">
      <c r="A733" s="4">
        <v>15</v>
      </c>
      <c r="B733" s="4" t="s">
        <v>123</v>
      </c>
      <c r="E733" s="4">
        <f>+ROUND('ECCR Billing Determinants'!B171/1000,0)</f>
        <v>0</v>
      </c>
      <c r="F733" s="177" t="s">
        <v>379</v>
      </c>
      <c r="G733" s="212">
        <f>+Rates!D109</f>
        <v>11.83</v>
      </c>
      <c r="I733" s="183">
        <f t="shared" ref="I733:I738" si="195">+G733*E733</f>
        <v>0</v>
      </c>
      <c r="L733" s="4">
        <f t="shared" si="194"/>
        <v>0</v>
      </c>
      <c r="M733" s="177" t="s">
        <v>379</v>
      </c>
      <c r="N733" s="212">
        <f t="shared" si="191"/>
        <v>11.926315477956834</v>
      </c>
      <c r="P733" s="183">
        <f t="shared" ref="P733:P738" si="196">+N733*L733</f>
        <v>0</v>
      </c>
      <c r="R733" s="177">
        <f t="shared" si="192"/>
        <v>0</v>
      </c>
      <c r="S733" s="152">
        <f t="shared" si="193"/>
        <v>0</v>
      </c>
    </row>
    <row r="734" spans="1:20" ht="14.1" customHeight="1" x14ac:dyDescent="0.2">
      <c r="A734" s="4">
        <v>16</v>
      </c>
      <c r="B734" s="4" t="s">
        <v>125</v>
      </c>
      <c r="E734" s="4">
        <f>+ROUND('ECCR Billing Determinants'!B172/1000,0)</f>
        <v>0</v>
      </c>
      <c r="F734" s="177" t="s">
        <v>379</v>
      </c>
      <c r="G734" s="212">
        <f>+Rates!D110</f>
        <v>11.83</v>
      </c>
      <c r="I734" s="183">
        <f t="shared" si="195"/>
        <v>0</v>
      </c>
      <c r="L734" s="4">
        <f t="shared" si="194"/>
        <v>0</v>
      </c>
      <c r="M734" s="177" t="s">
        <v>379</v>
      </c>
      <c r="N734" s="212">
        <f t="shared" si="191"/>
        <v>11.926315477956834</v>
      </c>
      <c r="O734" s="177"/>
      <c r="P734" s="183">
        <f t="shared" si="196"/>
        <v>0</v>
      </c>
      <c r="R734" s="177">
        <f t="shared" si="192"/>
        <v>0</v>
      </c>
      <c r="S734" s="152">
        <f t="shared" si="193"/>
        <v>0</v>
      </c>
    </row>
    <row r="735" spans="1:20" ht="14.1" customHeight="1" x14ac:dyDescent="0.2">
      <c r="A735" s="4">
        <v>17</v>
      </c>
      <c r="B735" s="4" t="s">
        <v>126</v>
      </c>
      <c r="C735" s="188"/>
      <c r="D735" s="9"/>
      <c r="E735" s="4">
        <f>+ROUND('ECCR Billing Determinants'!B173/1000,0)</f>
        <v>0</v>
      </c>
      <c r="F735" s="177" t="s">
        <v>379</v>
      </c>
      <c r="G735" s="212">
        <f>+Rates!D111</f>
        <v>11.83</v>
      </c>
      <c r="H735" s="177"/>
      <c r="I735" s="183">
        <f t="shared" si="195"/>
        <v>0</v>
      </c>
      <c r="J735" s="177"/>
      <c r="K735" s="173"/>
      <c r="L735" s="4">
        <f t="shared" si="194"/>
        <v>0</v>
      </c>
      <c r="M735" s="177" t="s">
        <v>379</v>
      </c>
      <c r="N735" s="212">
        <f t="shared" si="191"/>
        <v>11.926315477956834</v>
      </c>
      <c r="P735" s="183">
        <f t="shared" si="196"/>
        <v>0</v>
      </c>
      <c r="R735" s="177">
        <f t="shared" si="192"/>
        <v>0</v>
      </c>
      <c r="S735" s="152">
        <f t="shared" si="193"/>
        <v>0</v>
      </c>
    </row>
    <row r="736" spans="1:20" ht="14.1" customHeight="1" x14ac:dyDescent="0.2">
      <c r="A736" s="4">
        <v>18</v>
      </c>
      <c r="B736" s="4" t="s">
        <v>127</v>
      </c>
      <c r="E736" s="4">
        <f>+ROUND('ECCR Billing Determinants'!B175/1000,0)</f>
        <v>0</v>
      </c>
      <c r="F736" s="177" t="s">
        <v>379</v>
      </c>
      <c r="G736" s="212">
        <f>+Rates!D112</f>
        <v>5.6646000000000001</v>
      </c>
      <c r="I736" s="183">
        <f t="shared" si="195"/>
        <v>0</v>
      </c>
      <c r="L736" s="4">
        <f t="shared" si="194"/>
        <v>0</v>
      </c>
      <c r="M736" s="177" t="s">
        <v>379</v>
      </c>
      <c r="N736" s="212">
        <f t="shared" si="191"/>
        <v>5.7107190749310464</v>
      </c>
      <c r="P736" s="183">
        <f t="shared" si="196"/>
        <v>0</v>
      </c>
      <c r="R736" s="177">
        <f t="shared" si="192"/>
        <v>0</v>
      </c>
      <c r="S736" s="152">
        <f t="shared" si="193"/>
        <v>0</v>
      </c>
    </row>
    <row r="737" spans="1:19" ht="14.1" customHeight="1" x14ac:dyDescent="0.2">
      <c r="A737" s="4">
        <v>19</v>
      </c>
      <c r="B737" s="4" t="s">
        <v>128</v>
      </c>
      <c r="C737" s="188"/>
      <c r="D737" s="9"/>
      <c r="E737" s="4">
        <f>+ROUND('ECCR Billing Determinants'!B176/1000,0)</f>
        <v>0</v>
      </c>
      <c r="F737" s="177" t="s">
        <v>379</v>
      </c>
      <c r="G737" s="212">
        <f>+Rates!D113</f>
        <v>5.6646000000000001</v>
      </c>
      <c r="H737" s="177"/>
      <c r="I737" s="183">
        <f t="shared" si="195"/>
        <v>0</v>
      </c>
      <c r="J737" s="177"/>
      <c r="K737" s="173"/>
      <c r="L737" s="4">
        <f t="shared" si="194"/>
        <v>0</v>
      </c>
      <c r="M737" s="177" t="s">
        <v>379</v>
      </c>
      <c r="N737" s="212">
        <f t="shared" si="191"/>
        <v>5.7107190749310464</v>
      </c>
      <c r="P737" s="183">
        <f t="shared" si="196"/>
        <v>0</v>
      </c>
      <c r="R737" s="177">
        <f t="shared" si="192"/>
        <v>0</v>
      </c>
      <c r="S737" s="152">
        <f t="shared" si="193"/>
        <v>0</v>
      </c>
    </row>
    <row r="738" spans="1:19" ht="14.1" customHeight="1" x14ac:dyDescent="0.2">
      <c r="A738" s="4">
        <v>20</v>
      </c>
      <c r="B738" s="4" t="s">
        <v>129</v>
      </c>
      <c r="E738" s="18">
        <f>+ROUND('ECCR Billing Determinants'!B177/1000,0)</f>
        <v>0</v>
      </c>
      <c r="F738" s="177" t="s">
        <v>379</v>
      </c>
      <c r="G738" s="212">
        <f>+Rates!D114</f>
        <v>5.6646000000000001</v>
      </c>
      <c r="I738" s="181">
        <f t="shared" si="195"/>
        <v>0</v>
      </c>
      <c r="L738" s="18">
        <f t="shared" si="194"/>
        <v>0</v>
      </c>
      <c r="M738" s="177" t="s">
        <v>379</v>
      </c>
      <c r="N738" s="212">
        <f t="shared" si="191"/>
        <v>5.7107190749310464</v>
      </c>
      <c r="P738" s="181">
        <f t="shared" si="196"/>
        <v>0</v>
      </c>
      <c r="R738" s="177">
        <f t="shared" si="192"/>
        <v>0</v>
      </c>
      <c r="S738" s="152">
        <f t="shared" si="193"/>
        <v>0</v>
      </c>
    </row>
    <row r="739" spans="1:19" ht="14.1" customHeight="1" x14ac:dyDescent="0.2">
      <c r="A739" s="4">
        <v>21</v>
      </c>
      <c r="B739" s="4" t="s">
        <v>27</v>
      </c>
      <c r="E739" s="4">
        <f>SUM(E730:E738)</f>
        <v>0</v>
      </c>
      <c r="F739" s="177"/>
      <c r="G739" s="212"/>
      <c r="I739" s="185">
        <f>SUM(I730:I738)</f>
        <v>0</v>
      </c>
      <c r="L739" s="4">
        <f>SUM(L730:L738)</f>
        <v>0</v>
      </c>
      <c r="M739" s="177"/>
      <c r="N739" s="212"/>
      <c r="P739" s="185"/>
      <c r="R739" s="177">
        <f t="shared" si="192"/>
        <v>0</v>
      </c>
      <c r="S739" s="152">
        <f t="shared" si="193"/>
        <v>0</v>
      </c>
    </row>
    <row r="740" spans="1:19" ht="14.1" customHeight="1" x14ac:dyDescent="0.2">
      <c r="A740" s="4">
        <v>22</v>
      </c>
      <c r="E740" s="183"/>
      <c r="F740" s="177"/>
      <c r="G740" s="212"/>
      <c r="I740" s="183"/>
      <c r="L740" s="183"/>
      <c r="M740" s="177"/>
      <c r="N740" s="212"/>
      <c r="P740" s="183"/>
      <c r="S740" s="180"/>
    </row>
    <row r="741" spans="1:19" ht="14.1" customHeight="1" x14ac:dyDescent="0.2">
      <c r="A741" s="4">
        <v>23</v>
      </c>
      <c r="B741" s="186" t="s">
        <v>133</v>
      </c>
      <c r="G741" s="212"/>
      <c r="I741" s="183"/>
      <c r="N741" s="212"/>
      <c r="P741" s="183"/>
      <c r="S741" s="9"/>
    </row>
    <row r="742" spans="1:19" ht="14.1" customHeight="1" x14ac:dyDescent="0.2">
      <c r="A742" s="4">
        <v>24</v>
      </c>
      <c r="B742" s="186" t="s">
        <v>197</v>
      </c>
      <c r="E742" s="4">
        <f>+ROUND('ECCR Billing Determinants'!B135/1000,0)</f>
        <v>0</v>
      </c>
      <c r="F742" s="177" t="s">
        <v>379</v>
      </c>
      <c r="G742" s="212">
        <f>+Rates!D116</f>
        <v>8.5</v>
      </c>
      <c r="I742" s="183">
        <f t="shared" ref="I742:I744" si="197">+G742*E742</f>
        <v>0</v>
      </c>
      <c r="L742" s="4">
        <f t="shared" ref="L742:L750" si="198">+E742</f>
        <v>0</v>
      </c>
      <c r="M742" s="177" t="s">
        <v>379</v>
      </c>
      <c r="N742" s="212">
        <f t="shared" ref="N742:N750" si="199">+G742*(1+$V$5)</f>
        <v>8.5692038514482736</v>
      </c>
      <c r="P742" s="183">
        <f t="shared" ref="P742:P744" si="200">+N742*L742</f>
        <v>0</v>
      </c>
      <c r="R742" s="177">
        <f t="shared" ref="R742:R751" si="201">+P742-I742</f>
        <v>0</v>
      </c>
      <c r="S742" s="152">
        <f t="shared" ref="S742:S751" si="202">IF(R742=0,0,(P742-I742)/I742)</f>
        <v>0</v>
      </c>
    </row>
    <row r="743" spans="1:19" ht="14.1" customHeight="1" x14ac:dyDescent="0.2">
      <c r="A743" s="4">
        <v>25</v>
      </c>
      <c r="B743" s="186" t="s">
        <v>633</v>
      </c>
      <c r="E743" s="4">
        <f>+ROUND('ECCR Billing Determinants'!B136/1000,0)</f>
        <v>0</v>
      </c>
      <c r="F743" s="177" t="s">
        <v>379</v>
      </c>
      <c r="G743" s="212">
        <f>+Rates!D117</f>
        <v>8.5</v>
      </c>
      <c r="I743" s="183">
        <f t="shared" si="197"/>
        <v>0</v>
      </c>
      <c r="L743" s="4">
        <f t="shared" si="198"/>
        <v>0</v>
      </c>
      <c r="M743" s="177" t="s">
        <v>379</v>
      </c>
      <c r="N743" s="212">
        <f t="shared" si="199"/>
        <v>8.5692038514482736</v>
      </c>
      <c r="P743" s="183">
        <f t="shared" si="200"/>
        <v>0</v>
      </c>
      <c r="R743" s="177">
        <f t="shared" si="201"/>
        <v>0</v>
      </c>
      <c r="S743" s="152">
        <f t="shared" si="202"/>
        <v>0</v>
      </c>
    </row>
    <row r="744" spans="1:19" ht="14.1" customHeight="1" x14ac:dyDescent="0.2">
      <c r="A744" s="4">
        <v>26</v>
      </c>
      <c r="B744" s="186" t="s">
        <v>645</v>
      </c>
      <c r="E744" s="4">
        <f>+ROUND('ECCR Billing Determinants'!B137/1000,0)</f>
        <v>0</v>
      </c>
      <c r="F744" s="177" t="s">
        <v>379</v>
      </c>
      <c r="G744" s="212">
        <f>+Rates!D118</f>
        <v>8.5</v>
      </c>
      <c r="I744" s="183">
        <f t="shared" si="197"/>
        <v>0</v>
      </c>
      <c r="L744" s="4">
        <f t="shared" si="198"/>
        <v>0</v>
      </c>
      <c r="M744" s="177" t="s">
        <v>379</v>
      </c>
      <c r="N744" s="212">
        <f t="shared" si="199"/>
        <v>8.5692038514482736</v>
      </c>
      <c r="P744" s="183">
        <f t="shared" si="200"/>
        <v>0</v>
      </c>
      <c r="R744" s="177">
        <f t="shared" si="201"/>
        <v>0</v>
      </c>
      <c r="S744" s="152">
        <f t="shared" si="202"/>
        <v>0</v>
      </c>
    </row>
    <row r="745" spans="1:19" ht="14.1" customHeight="1" x14ac:dyDescent="0.2">
      <c r="A745" s="4">
        <v>27</v>
      </c>
      <c r="B745" s="4" t="s">
        <v>131</v>
      </c>
      <c r="E745" s="4">
        <f>+ROUND('ECCR Billing Determinants'!B195/1000,0)</f>
        <v>0</v>
      </c>
      <c r="F745" s="177" t="s">
        <v>379</v>
      </c>
      <c r="G745" s="212">
        <f>+Rates!D119</f>
        <v>8.5</v>
      </c>
      <c r="I745" s="183">
        <f t="shared" ref="I745:I750" si="203">+G745*E745</f>
        <v>0</v>
      </c>
      <c r="L745" s="4">
        <f t="shared" si="198"/>
        <v>0</v>
      </c>
      <c r="M745" s="177" t="s">
        <v>379</v>
      </c>
      <c r="N745" s="212">
        <f t="shared" si="199"/>
        <v>8.5692038514482736</v>
      </c>
      <c r="P745" s="183">
        <f t="shared" ref="P745:P750" si="204">+N745*L745</f>
        <v>0</v>
      </c>
      <c r="Q745" s="177"/>
      <c r="R745" s="177">
        <f t="shared" si="201"/>
        <v>0</v>
      </c>
      <c r="S745" s="152">
        <f t="shared" si="202"/>
        <v>0</v>
      </c>
    </row>
    <row r="746" spans="1:19" ht="14.1" customHeight="1" x14ac:dyDescent="0.2">
      <c r="A746" s="4">
        <v>28</v>
      </c>
      <c r="B746" s="4" t="s">
        <v>125</v>
      </c>
      <c r="E746" s="4">
        <f>+ROUND('ECCR Billing Determinants'!B196/1000,0)</f>
        <v>0</v>
      </c>
      <c r="F746" s="177" t="s">
        <v>379</v>
      </c>
      <c r="G746" s="212">
        <f>+Rates!D120</f>
        <v>8.5</v>
      </c>
      <c r="I746" s="183">
        <f t="shared" si="203"/>
        <v>0</v>
      </c>
      <c r="L746" s="4">
        <f t="shared" si="198"/>
        <v>0</v>
      </c>
      <c r="M746" s="177" t="s">
        <v>379</v>
      </c>
      <c r="N746" s="212">
        <f t="shared" si="199"/>
        <v>8.5692038514482736</v>
      </c>
      <c r="P746" s="183">
        <f t="shared" si="204"/>
        <v>0</v>
      </c>
      <c r="Q746" s="177"/>
      <c r="R746" s="177">
        <f t="shared" si="201"/>
        <v>0</v>
      </c>
      <c r="S746" s="152">
        <f t="shared" si="202"/>
        <v>0</v>
      </c>
    </row>
    <row r="747" spans="1:19" ht="14.1" customHeight="1" x14ac:dyDescent="0.2">
      <c r="A747" s="4">
        <v>29</v>
      </c>
      <c r="B747" s="4" t="s">
        <v>126</v>
      </c>
      <c r="C747" s="188"/>
      <c r="D747" s="9"/>
      <c r="E747" s="4">
        <f>+ROUND('ECCR Billing Determinants'!B197/1000,0)</f>
        <v>0</v>
      </c>
      <c r="F747" s="177" t="s">
        <v>379</v>
      </c>
      <c r="G747" s="212">
        <f>+Rates!D121</f>
        <v>8.5</v>
      </c>
      <c r="H747" s="177"/>
      <c r="I747" s="183">
        <f t="shared" si="203"/>
        <v>0</v>
      </c>
      <c r="J747" s="177"/>
      <c r="K747" s="173"/>
      <c r="L747" s="4">
        <f t="shared" si="198"/>
        <v>0</v>
      </c>
      <c r="M747" s="177" t="s">
        <v>379</v>
      </c>
      <c r="N747" s="212">
        <f t="shared" si="199"/>
        <v>8.5692038514482736</v>
      </c>
      <c r="P747" s="183">
        <f t="shared" si="204"/>
        <v>0</v>
      </c>
      <c r="R747" s="177">
        <f t="shared" si="201"/>
        <v>0</v>
      </c>
      <c r="S747" s="152">
        <f t="shared" si="202"/>
        <v>0</v>
      </c>
    </row>
    <row r="748" spans="1:19" ht="14.1" customHeight="1" x14ac:dyDescent="0.2">
      <c r="A748" s="4">
        <v>30</v>
      </c>
      <c r="B748" s="4" t="s">
        <v>132</v>
      </c>
      <c r="E748" s="4">
        <f>+ROUND('ECCR Billing Determinants'!B199/1000,0)</f>
        <v>0</v>
      </c>
      <c r="F748" s="177" t="s">
        <v>379</v>
      </c>
      <c r="G748" s="212">
        <f>+Rates!D122</f>
        <v>8.5</v>
      </c>
      <c r="I748" s="183">
        <f t="shared" si="203"/>
        <v>0</v>
      </c>
      <c r="L748" s="4">
        <f t="shared" si="198"/>
        <v>0</v>
      </c>
      <c r="M748" s="177" t="s">
        <v>379</v>
      </c>
      <c r="N748" s="212">
        <f t="shared" si="199"/>
        <v>8.5692038514482736</v>
      </c>
      <c r="P748" s="183">
        <f t="shared" si="204"/>
        <v>0</v>
      </c>
      <c r="R748" s="177">
        <f t="shared" si="201"/>
        <v>0</v>
      </c>
      <c r="S748" s="152">
        <f t="shared" si="202"/>
        <v>0</v>
      </c>
    </row>
    <row r="749" spans="1:19" ht="14.1" customHeight="1" x14ac:dyDescent="0.2">
      <c r="A749" s="4">
        <v>31</v>
      </c>
      <c r="B749" s="4" t="s">
        <v>128</v>
      </c>
      <c r="E749" s="4">
        <f>+ROUND('ECCR Billing Determinants'!B200/1000,0)</f>
        <v>0</v>
      </c>
      <c r="F749" s="177" t="s">
        <v>379</v>
      </c>
      <c r="G749" s="212">
        <f>+Rates!D123</f>
        <v>8.5</v>
      </c>
      <c r="I749" s="183">
        <f t="shared" si="203"/>
        <v>0</v>
      </c>
      <c r="L749" s="4">
        <f t="shared" si="198"/>
        <v>0</v>
      </c>
      <c r="M749" s="177" t="s">
        <v>379</v>
      </c>
      <c r="N749" s="212">
        <f t="shared" si="199"/>
        <v>8.5692038514482736</v>
      </c>
      <c r="P749" s="183">
        <f t="shared" si="204"/>
        <v>0</v>
      </c>
      <c r="R749" s="177">
        <f t="shared" si="201"/>
        <v>0</v>
      </c>
      <c r="S749" s="152">
        <f t="shared" si="202"/>
        <v>0</v>
      </c>
    </row>
    <row r="750" spans="1:19" ht="14.1" customHeight="1" x14ac:dyDescent="0.2">
      <c r="A750" s="4">
        <v>32</v>
      </c>
      <c r="B750" s="4" t="s">
        <v>129</v>
      </c>
      <c r="E750" s="18">
        <f>+ROUND('ECCR Billing Determinants'!B201/1000,0)</f>
        <v>0</v>
      </c>
      <c r="F750" s="177" t="s">
        <v>379</v>
      </c>
      <c r="G750" s="212">
        <f>+Rates!D124</f>
        <v>8.5</v>
      </c>
      <c r="I750" s="183">
        <f t="shared" si="203"/>
        <v>0</v>
      </c>
      <c r="L750" s="18">
        <f t="shared" si="198"/>
        <v>0</v>
      </c>
      <c r="M750" s="177" t="s">
        <v>379</v>
      </c>
      <c r="N750" s="212">
        <f t="shared" si="199"/>
        <v>8.5692038514482736</v>
      </c>
      <c r="P750" s="183">
        <f t="shared" si="204"/>
        <v>0</v>
      </c>
      <c r="Q750" s="177"/>
      <c r="R750" s="177">
        <f t="shared" si="201"/>
        <v>0</v>
      </c>
      <c r="S750" s="152">
        <f t="shared" si="202"/>
        <v>0</v>
      </c>
    </row>
    <row r="751" spans="1:19" ht="14.1" customHeight="1" x14ac:dyDescent="0.2">
      <c r="A751" s="4">
        <v>33</v>
      </c>
      <c r="B751" s="186" t="s">
        <v>16</v>
      </c>
      <c r="C751" s="188"/>
      <c r="D751" s="9"/>
      <c r="E751" s="4">
        <f>SUM(E742:E750)</f>
        <v>0</v>
      </c>
      <c r="F751" s="177" t="s">
        <v>379</v>
      </c>
      <c r="G751" s="212"/>
      <c r="H751" s="177"/>
      <c r="I751" s="185">
        <f>SUM(I742:I750)</f>
        <v>0</v>
      </c>
      <c r="J751" s="177"/>
      <c r="K751" s="173"/>
      <c r="L751" s="4">
        <f>SUM(L742:L750)</f>
        <v>0</v>
      </c>
      <c r="M751" s="177" t="s">
        <v>379</v>
      </c>
      <c r="N751" s="179"/>
      <c r="P751" s="185">
        <f>SUM(P730:P750)</f>
        <v>0</v>
      </c>
      <c r="R751" s="177">
        <f t="shared" si="201"/>
        <v>0</v>
      </c>
      <c r="S751" s="152">
        <f t="shared" si="202"/>
        <v>0</v>
      </c>
    </row>
    <row r="752" spans="1:19" ht="14.1" customHeight="1" x14ac:dyDescent="0.2">
      <c r="A752" s="4">
        <v>34</v>
      </c>
    </row>
    <row r="753" spans="1:19" ht="14.1" customHeight="1" x14ac:dyDescent="0.2">
      <c r="A753" s="4">
        <v>35</v>
      </c>
    </row>
    <row r="754" spans="1:19" ht="14.1" customHeight="1" x14ac:dyDescent="0.2">
      <c r="A754" s="4">
        <v>36</v>
      </c>
      <c r="B754" s="104"/>
      <c r="C754" s="266"/>
      <c r="D754" s="266"/>
      <c r="E754" s="266"/>
      <c r="F754" s="266"/>
      <c r="G754" s="266"/>
      <c r="H754" s="266"/>
      <c r="I754" s="266"/>
      <c r="J754" s="266"/>
      <c r="K754" s="266"/>
      <c r="L754" s="177"/>
      <c r="M754" s="177"/>
      <c r="N754" s="177"/>
      <c r="O754" s="177"/>
      <c r="P754" s="177"/>
      <c r="Q754" s="177"/>
      <c r="R754" s="177"/>
      <c r="S754" s="177"/>
    </row>
    <row r="755" spans="1:19" ht="14.1" customHeight="1" x14ac:dyDescent="0.2">
      <c r="A755" s="4">
        <v>37</v>
      </c>
      <c r="B755" s="104"/>
      <c r="C755" s="266"/>
      <c r="D755" s="266"/>
      <c r="E755" s="266"/>
      <c r="F755" s="266"/>
      <c r="G755" s="266"/>
      <c r="H755" s="266"/>
      <c r="I755" s="266"/>
      <c r="J755" s="266"/>
      <c r="K755" s="266"/>
      <c r="L755" s="177"/>
      <c r="M755" s="177"/>
      <c r="N755" s="177"/>
      <c r="O755" s="177"/>
      <c r="P755" s="177"/>
      <c r="Q755" s="177"/>
      <c r="R755" s="177"/>
      <c r="S755" s="177"/>
    </row>
    <row r="756" spans="1:19" ht="14.1" customHeight="1" x14ac:dyDescent="0.2">
      <c r="A756" s="4">
        <v>38</v>
      </c>
      <c r="B756" s="104"/>
      <c r="C756" s="266"/>
      <c r="D756" s="266"/>
      <c r="E756" s="266"/>
      <c r="F756" s="266"/>
      <c r="G756" s="266"/>
      <c r="H756" s="266"/>
      <c r="I756" s="266"/>
      <c r="J756" s="266"/>
      <c r="K756" s="266"/>
      <c r="L756" s="177"/>
      <c r="M756" s="177"/>
      <c r="N756" s="177"/>
      <c r="O756" s="177"/>
      <c r="P756" s="177"/>
      <c r="Q756" s="177"/>
      <c r="R756" s="177"/>
      <c r="S756" s="177"/>
    </row>
    <row r="757" spans="1:19" ht="14.1" customHeight="1" thickBot="1" x14ac:dyDescent="0.25">
      <c r="A757" s="16">
        <v>39</v>
      </c>
      <c r="B757" s="16"/>
      <c r="C757" s="16"/>
      <c r="D757" s="16"/>
      <c r="E757" s="16"/>
      <c r="F757" s="16"/>
      <c r="G757" s="16"/>
      <c r="H757" s="16"/>
      <c r="I757" s="16"/>
      <c r="J757" s="16"/>
      <c r="K757" s="151"/>
      <c r="L757" s="16"/>
      <c r="M757" s="16"/>
      <c r="N757" s="16"/>
      <c r="O757" s="16"/>
      <c r="P757" s="16"/>
      <c r="Q757" s="16"/>
      <c r="R757" s="16"/>
      <c r="S757" s="150"/>
    </row>
    <row r="758" spans="1:19" ht="14.1" customHeight="1" x14ac:dyDescent="0.2">
      <c r="S758" s="4" t="str">
        <f>+$S$109</f>
        <v>Recap Schedules:  E-13a</v>
      </c>
    </row>
    <row r="759" spans="1:19" ht="14.1" customHeight="1" x14ac:dyDescent="0.2">
      <c r="H759" s="292" t="s">
        <v>768</v>
      </c>
      <c r="I759" s="292"/>
      <c r="J759" s="292"/>
      <c r="K759" s="292"/>
      <c r="L759" s="292"/>
    </row>
    <row r="760" spans="1:19" ht="14.1" customHeight="1" thickBot="1" x14ac:dyDescent="0.25">
      <c r="A760" s="16" t="s">
        <v>7</v>
      </c>
      <c r="B760" s="16"/>
      <c r="C760" s="16"/>
      <c r="D760" s="16"/>
      <c r="E760" s="16"/>
      <c r="F760" s="16"/>
      <c r="G760" s="16"/>
      <c r="H760" s="301" t="s">
        <v>380</v>
      </c>
      <c r="I760" s="301"/>
      <c r="J760" s="301"/>
      <c r="K760" s="301"/>
      <c r="L760" s="301"/>
      <c r="M760" s="16"/>
      <c r="N760" s="16"/>
      <c r="O760" s="16"/>
      <c r="P760" s="16"/>
      <c r="Q760" s="16"/>
      <c r="R760" s="16"/>
      <c r="S760" s="150" t="str">
        <f>"Page " &amp; INT(ROW()/$R$1 +1)  &amp; "  of " &amp; S$1</f>
        <v>Page 15  of 19</v>
      </c>
    </row>
    <row r="761" spans="1:19" ht="14.1" customHeight="1" x14ac:dyDescent="0.2">
      <c r="A761" s="4" t="s">
        <v>21</v>
      </c>
      <c r="E761" s="4" t="s">
        <v>761</v>
      </c>
      <c r="G761" s="4" t="s">
        <v>766</v>
      </c>
      <c r="K761" s="285"/>
      <c r="L761" s="56"/>
      <c r="N761" s="56"/>
      <c r="O761" s="56"/>
      <c r="P761" s="56" t="s">
        <v>663</v>
      </c>
      <c r="S761" s="22"/>
    </row>
    <row r="762" spans="1:19" ht="14.1" customHeight="1" x14ac:dyDescent="0.2">
      <c r="G762" s="4" t="s">
        <v>767</v>
      </c>
      <c r="K762" s="284"/>
      <c r="L762" s="22"/>
      <c r="O762" s="21"/>
      <c r="P762" s="21"/>
      <c r="Q762" s="22" t="s">
        <v>764</v>
      </c>
      <c r="S762" s="21"/>
    </row>
    <row r="763" spans="1:19" ht="14.1" customHeight="1" x14ac:dyDescent="0.2">
      <c r="A763" s="4" t="s">
        <v>29</v>
      </c>
      <c r="G763" s="4" t="s">
        <v>770</v>
      </c>
      <c r="K763" s="284"/>
      <c r="L763" s="22"/>
      <c r="M763" s="21"/>
      <c r="P763" s="21"/>
      <c r="Q763" s="22" t="s">
        <v>765</v>
      </c>
      <c r="S763" s="21"/>
    </row>
    <row r="764" spans="1:19" ht="14.1" customHeight="1" x14ac:dyDescent="0.2">
      <c r="G764" s="4" t="s">
        <v>769</v>
      </c>
      <c r="K764" s="284"/>
      <c r="L764" s="22"/>
      <c r="M764" s="21"/>
      <c r="P764" s="21"/>
      <c r="Q764" s="22"/>
      <c r="S764" s="21"/>
    </row>
    <row r="765" spans="1:19" ht="14.1" customHeight="1" x14ac:dyDescent="0.2">
      <c r="C765" s="21"/>
      <c r="H765" s="10"/>
      <c r="I765" s="10"/>
      <c r="J765" s="10"/>
      <c r="K765" s="284"/>
      <c r="Q765" s="4" t="s">
        <v>738</v>
      </c>
    </row>
    <row r="766" spans="1:19" ht="14.1" customHeight="1" thickBot="1" x14ac:dyDescent="0.25">
      <c r="A766" s="16"/>
      <c r="B766" s="16"/>
      <c r="C766" s="150"/>
      <c r="D766" s="101"/>
      <c r="E766" s="101"/>
      <c r="F766" s="101"/>
      <c r="G766" s="102"/>
      <c r="H766" s="101"/>
      <c r="I766" s="101"/>
      <c r="J766" s="101"/>
      <c r="K766" s="101"/>
      <c r="L766" s="101"/>
      <c r="M766" s="101"/>
      <c r="N766" s="101"/>
      <c r="O766" s="101"/>
      <c r="P766" s="101"/>
      <c r="Q766" s="101"/>
      <c r="R766" s="101"/>
      <c r="S766" s="101"/>
    </row>
    <row r="767" spans="1:19" ht="14.1" customHeight="1" x14ac:dyDescent="0.2">
      <c r="E767" s="10"/>
      <c r="G767" s="10"/>
      <c r="H767" s="103"/>
      <c r="I767" s="10"/>
      <c r="K767" s="10"/>
      <c r="M767" s="103"/>
    </row>
    <row r="768" spans="1:19" ht="14.1" customHeight="1" x14ac:dyDescent="0.2">
      <c r="A768" s="9"/>
      <c r="B768" s="92"/>
      <c r="C768" s="92"/>
      <c r="D768" s="1"/>
      <c r="E768" s="39"/>
      <c r="F768" s="1"/>
      <c r="G768" s="1"/>
      <c r="H768" s="39"/>
      <c r="I768" s="1"/>
      <c r="J768" s="1"/>
      <c r="K768" s="3"/>
      <c r="L768" s="1"/>
      <c r="M768" s="39"/>
      <c r="N768" s="1"/>
      <c r="O768" s="1"/>
      <c r="P768" s="1"/>
      <c r="Q768" s="1"/>
      <c r="R768" s="1"/>
      <c r="S768" s="1"/>
    </row>
    <row r="769" spans="1:24" ht="14.1" customHeight="1" x14ac:dyDescent="0.2">
      <c r="A769" s="9"/>
      <c r="B769" s="92"/>
      <c r="C769" s="1"/>
      <c r="D769" s="1"/>
      <c r="E769" s="1"/>
      <c r="F769" s="39"/>
      <c r="G769" s="39"/>
      <c r="H769" s="40"/>
      <c r="I769" s="40" t="s">
        <v>14</v>
      </c>
      <c r="J769" s="3"/>
      <c r="K769" s="41" t="str">
        <f>K715</f>
        <v>SBD/SBDT</v>
      </c>
      <c r="L769" s="39"/>
      <c r="M769" s="1"/>
      <c r="N769" s="39"/>
      <c r="O769" s="39"/>
      <c r="P769" s="39"/>
      <c r="Q769" s="39"/>
      <c r="R769" s="39"/>
      <c r="S769" s="1"/>
    </row>
    <row r="770" spans="1:24" ht="14.1" customHeight="1" x14ac:dyDescent="0.2">
      <c r="A770" s="9"/>
      <c r="B770" s="92"/>
      <c r="C770" s="1"/>
      <c r="D770" s="1"/>
      <c r="E770" s="1"/>
      <c r="F770" s="39"/>
      <c r="G770" s="39"/>
      <c r="H770" s="39"/>
      <c r="I770" s="39"/>
      <c r="J770" s="39"/>
      <c r="K770" s="3"/>
      <c r="L770" s="39"/>
      <c r="M770" s="39"/>
      <c r="N770" s="39"/>
      <c r="O770" s="39"/>
      <c r="P770" s="39"/>
      <c r="Q770" s="39"/>
      <c r="R770" s="39"/>
      <c r="S770" s="39"/>
    </row>
    <row r="771" spans="1:24" ht="14.1" customHeight="1" x14ac:dyDescent="0.2">
      <c r="A771" s="149" t="s">
        <v>26</v>
      </c>
      <c r="B771" s="176" t="s">
        <v>5</v>
      </c>
      <c r="C771" s="216"/>
      <c r="D771" s="213"/>
      <c r="E771" s="192"/>
      <c r="F771" s="192"/>
      <c r="G771" s="267" t="s">
        <v>8</v>
      </c>
      <c r="H771" s="192"/>
      <c r="I771" s="192"/>
      <c r="J771" s="216"/>
      <c r="K771" s="187"/>
      <c r="L771" s="192"/>
      <c r="M771" s="267"/>
      <c r="N771" s="267" t="s">
        <v>9</v>
      </c>
      <c r="O771" s="192"/>
      <c r="P771" s="192"/>
      <c r="Q771" s="216"/>
      <c r="R771" s="290" t="s">
        <v>750</v>
      </c>
      <c r="S771" s="290" t="s">
        <v>752</v>
      </c>
    </row>
    <row r="772" spans="1:24" ht="14.1" customHeight="1" thickBot="1" x14ac:dyDescent="0.25">
      <c r="A772" s="151" t="s">
        <v>28</v>
      </c>
      <c r="B772" s="175" t="s">
        <v>10</v>
      </c>
      <c r="C772" s="215"/>
      <c r="D772" s="44"/>
      <c r="E772" s="151" t="s">
        <v>11</v>
      </c>
      <c r="F772" s="194"/>
      <c r="G772" s="194" t="s">
        <v>12</v>
      </c>
      <c r="H772" s="194"/>
      <c r="I772" s="194" t="s">
        <v>13</v>
      </c>
      <c r="J772" s="194"/>
      <c r="K772" s="194"/>
      <c r="L772" s="194" t="s">
        <v>11</v>
      </c>
      <c r="M772" s="194"/>
      <c r="N772" s="194" t="s">
        <v>12</v>
      </c>
      <c r="O772" s="194"/>
      <c r="P772" s="194" t="s">
        <v>13</v>
      </c>
      <c r="Q772" s="215"/>
      <c r="R772" s="291" t="s">
        <v>751</v>
      </c>
      <c r="S772" s="291" t="s">
        <v>4</v>
      </c>
    </row>
    <row r="773" spans="1:24" ht="14.1" customHeight="1" x14ac:dyDescent="0.2">
      <c r="A773" s="4">
        <v>1</v>
      </c>
      <c r="B773" s="302" t="str">
        <f>"Continued from " &amp; "Page " &amp; INT(ROW()/$R$1)</f>
        <v>Continued from Page 14</v>
      </c>
      <c r="C773" s="302"/>
      <c r="D773" s="302"/>
      <c r="F773" s="188"/>
      <c r="G773" s="188"/>
      <c r="H773" s="188"/>
      <c r="I773" s="188"/>
      <c r="J773" s="186"/>
      <c r="K773" s="187"/>
      <c r="L773" s="186"/>
      <c r="M773" s="188"/>
      <c r="N773" s="188"/>
      <c r="O773" s="188"/>
      <c r="P773" s="188"/>
      <c r="Q773" s="188"/>
      <c r="R773" s="188"/>
      <c r="S773" s="188"/>
    </row>
    <row r="774" spans="1:24" ht="14.1" customHeight="1" x14ac:dyDescent="0.2">
      <c r="A774" s="4">
        <v>2</v>
      </c>
    </row>
    <row r="775" spans="1:24" ht="14.1" customHeight="1" x14ac:dyDescent="0.2">
      <c r="A775" s="4">
        <v>3</v>
      </c>
      <c r="B775" s="186" t="s">
        <v>53</v>
      </c>
    </row>
    <row r="776" spans="1:24" ht="14.1" customHeight="1" x14ac:dyDescent="0.2">
      <c r="A776" s="4">
        <v>4</v>
      </c>
      <c r="B776" s="43" t="s">
        <v>189</v>
      </c>
      <c r="E776" s="4">
        <v>0</v>
      </c>
      <c r="F776" s="177" t="s">
        <v>44</v>
      </c>
      <c r="G776" s="179">
        <f>+Rates!D126</f>
        <v>13.75</v>
      </c>
      <c r="H776" s="220"/>
      <c r="I776" s="177">
        <f>+G776*E776</f>
        <v>0</v>
      </c>
      <c r="L776" s="4">
        <f>+E776</f>
        <v>0</v>
      </c>
      <c r="M776" s="177" t="s">
        <v>44</v>
      </c>
      <c r="N776" s="212">
        <f t="shared" ref="N776:N784" si="205">+G776*(1+$V$5)</f>
        <v>13.861947406754561</v>
      </c>
      <c r="P776" s="177">
        <f>+N776*L776</f>
        <v>0</v>
      </c>
      <c r="R776" s="177">
        <f t="shared" ref="R776:R784" si="206">+P776-I776</f>
        <v>0</v>
      </c>
      <c r="S776" s="152">
        <f t="shared" ref="S776:S784" si="207">IF(R776=0,0,(P776-I776)/I776)</f>
        <v>0</v>
      </c>
    </row>
    <row r="777" spans="1:24" ht="14.1" customHeight="1" x14ac:dyDescent="0.2">
      <c r="A777" s="4">
        <v>5</v>
      </c>
      <c r="B777" s="43" t="s">
        <v>58</v>
      </c>
      <c r="E777" s="4">
        <v>0</v>
      </c>
      <c r="F777" s="177" t="s">
        <v>44</v>
      </c>
      <c r="G777" s="179">
        <f>+Rates!D127</f>
        <v>13.75</v>
      </c>
      <c r="H777" s="220"/>
      <c r="I777" s="177">
        <f>+G777*E777</f>
        <v>0</v>
      </c>
      <c r="L777" s="4">
        <f t="shared" ref="L777:L784" si="208">+E777</f>
        <v>0</v>
      </c>
      <c r="M777" s="177" t="s">
        <v>44</v>
      </c>
      <c r="N777" s="212">
        <f t="shared" si="205"/>
        <v>13.861947406754561</v>
      </c>
      <c r="P777" s="177">
        <f>+N777*L777</f>
        <v>0</v>
      </c>
      <c r="R777" s="177">
        <f t="shared" si="206"/>
        <v>0</v>
      </c>
      <c r="S777" s="152">
        <f t="shared" si="207"/>
        <v>0</v>
      </c>
    </row>
    <row r="778" spans="1:24" ht="14.1" customHeight="1" x14ac:dyDescent="0.2">
      <c r="A778" s="4">
        <v>6</v>
      </c>
      <c r="B778" s="43" t="s">
        <v>59</v>
      </c>
      <c r="E778" s="4">
        <v>0</v>
      </c>
      <c r="F778" s="177" t="s">
        <v>44</v>
      </c>
      <c r="G778" s="179">
        <f>+Rates!D128</f>
        <v>13.75</v>
      </c>
      <c r="H778" s="220"/>
      <c r="I778" s="177">
        <f>+G778*E778</f>
        <v>0</v>
      </c>
      <c r="L778" s="4">
        <f t="shared" si="208"/>
        <v>0</v>
      </c>
      <c r="M778" s="177" t="s">
        <v>44</v>
      </c>
      <c r="N778" s="212">
        <f t="shared" si="205"/>
        <v>13.861947406754561</v>
      </c>
      <c r="P778" s="177">
        <f>+N778*L778</f>
        <v>0</v>
      </c>
      <c r="R778" s="177">
        <f t="shared" si="206"/>
        <v>0</v>
      </c>
      <c r="S778" s="152">
        <f t="shared" si="207"/>
        <v>0</v>
      </c>
    </row>
    <row r="779" spans="1:24" ht="14.1" customHeight="1" x14ac:dyDescent="0.2">
      <c r="A779" s="4">
        <v>7</v>
      </c>
      <c r="B779" s="4" t="s">
        <v>120</v>
      </c>
      <c r="C779" s="188"/>
      <c r="D779" s="9"/>
      <c r="E779" s="4">
        <v>0</v>
      </c>
      <c r="F779" s="177" t="s">
        <v>44</v>
      </c>
      <c r="G779" s="179">
        <f>+Rates!D129</f>
        <v>4.4000000000000004</v>
      </c>
      <c r="H779" s="220"/>
      <c r="I779" s="177">
        <f t="shared" ref="I779:I784" si="209">+G779*E779</f>
        <v>0</v>
      </c>
      <c r="J779" s="177"/>
      <c r="K779" s="173"/>
      <c r="L779" s="4">
        <f t="shared" si="208"/>
        <v>0</v>
      </c>
      <c r="M779" s="177" t="s">
        <v>44</v>
      </c>
      <c r="N779" s="212">
        <f t="shared" si="205"/>
        <v>4.4358231701614601</v>
      </c>
      <c r="O779" s="177"/>
      <c r="P779" s="177">
        <f t="shared" ref="P779:P784" si="210">+N779*L779</f>
        <v>0</v>
      </c>
      <c r="R779" s="177">
        <f t="shared" si="206"/>
        <v>0</v>
      </c>
      <c r="S779" s="152">
        <f t="shared" si="207"/>
        <v>0</v>
      </c>
    </row>
    <row r="780" spans="1:24" ht="14.1" customHeight="1" x14ac:dyDescent="0.2">
      <c r="A780" s="4">
        <v>8</v>
      </c>
      <c r="B780" s="4" t="s">
        <v>253</v>
      </c>
      <c r="E780" s="4">
        <v>0</v>
      </c>
      <c r="F780" s="177" t="s">
        <v>44</v>
      </c>
      <c r="G780" s="179">
        <f>+Rates!D130</f>
        <v>4.4000000000000004</v>
      </c>
      <c r="H780" s="220"/>
      <c r="I780" s="177">
        <f t="shared" si="209"/>
        <v>0</v>
      </c>
      <c r="J780" s="177"/>
      <c r="K780" s="173"/>
      <c r="L780" s="4">
        <f t="shared" si="208"/>
        <v>0</v>
      </c>
      <c r="M780" s="177" t="s">
        <v>44</v>
      </c>
      <c r="N780" s="212">
        <f t="shared" si="205"/>
        <v>4.4358231701614601</v>
      </c>
      <c r="P780" s="177">
        <f t="shared" si="210"/>
        <v>0</v>
      </c>
      <c r="Q780" s="177"/>
      <c r="R780" s="177">
        <f t="shared" si="206"/>
        <v>0</v>
      </c>
      <c r="S780" s="152">
        <f t="shared" si="207"/>
        <v>0</v>
      </c>
      <c r="V780" s="5"/>
    </row>
    <row r="781" spans="1:24" ht="14.1" customHeight="1" x14ac:dyDescent="0.2">
      <c r="A781" s="4">
        <v>9</v>
      </c>
      <c r="B781" s="4" t="s">
        <v>254</v>
      </c>
      <c r="E781" s="4">
        <v>0</v>
      </c>
      <c r="F781" s="177" t="s">
        <v>44</v>
      </c>
      <c r="G781" s="179">
        <f>+Rates!D131</f>
        <v>4.4000000000000004</v>
      </c>
      <c r="H781" s="220"/>
      <c r="I781" s="177">
        <f t="shared" si="209"/>
        <v>0</v>
      </c>
      <c r="J781" s="177"/>
      <c r="K781" s="173"/>
      <c r="L781" s="4">
        <f t="shared" si="208"/>
        <v>0</v>
      </c>
      <c r="M781" s="177" t="s">
        <v>44</v>
      </c>
      <c r="N781" s="212">
        <f t="shared" si="205"/>
        <v>4.4358231701614601</v>
      </c>
      <c r="P781" s="177">
        <f t="shared" si="210"/>
        <v>0</v>
      </c>
      <c r="Q781" s="177"/>
      <c r="R781" s="177">
        <f t="shared" si="206"/>
        <v>0</v>
      </c>
      <c r="S781" s="152">
        <f t="shared" si="207"/>
        <v>0</v>
      </c>
      <c r="W781" s="5"/>
      <c r="X781" s="5"/>
    </row>
    <row r="782" spans="1:24" ht="14.1" customHeight="1" x14ac:dyDescent="0.2">
      <c r="A782" s="4">
        <v>10</v>
      </c>
      <c r="B782" s="4" t="s">
        <v>121</v>
      </c>
      <c r="E782" s="4">
        <v>0</v>
      </c>
      <c r="F782" s="177" t="s">
        <v>48</v>
      </c>
      <c r="G782" s="179">
        <f>+Rates!D132</f>
        <v>8.99</v>
      </c>
      <c r="H782" s="220"/>
      <c r="I782" s="177">
        <f t="shared" si="209"/>
        <v>0</v>
      </c>
      <c r="L782" s="4">
        <f t="shared" si="208"/>
        <v>0</v>
      </c>
      <c r="M782" s="177" t="s">
        <v>48</v>
      </c>
      <c r="N782" s="212">
        <f t="shared" si="205"/>
        <v>9.0631932499435273</v>
      </c>
      <c r="P782" s="177">
        <f t="shared" si="210"/>
        <v>0</v>
      </c>
      <c r="Q782" s="177"/>
      <c r="R782" s="177">
        <f t="shared" si="206"/>
        <v>0</v>
      </c>
      <c r="S782" s="152">
        <f t="shared" si="207"/>
        <v>0</v>
      </c>
    </row>
    <row r="783" spans="1:24" ht="14.1" customHeight="1" x14ac:dyDescent="0.2">
      <c r="A783" s="4">
        <v>11</v>
      </c>
      <c r="B783" s="4" t="s">
        <v>122</v>
      </c>
      <c r="E783" s="4">
        <v>0</v>
      </c>
      <c r="F783" s="177" t="s">
        <v>48</v>
      </c>
      <c r="G783" s="179">
        <f>+Rates!D133</f>
        <v>8.99</v>
      </c>
      <c r="H783" s="220"/>
      <c r="I783" s="177">
        <f t="shared" si="209"/>
        <v>0</v>
      </c>
      <c r="L783" s="4">
        <f t="shared" si="208"/>
        <v>0</v>
      </c>
      <c r="M783" s="177" t="s">
        <v>48</v>
      </c>
      <c r="N783" s="212">
        <f t="shared" si="205"/>
        <v>9.0631932499435273</v>
      </c>
      <c r="P783" s="177">
        <f t="shared" si="210"/>
        <v>0</v>
      </c>
      <c r="R783" s="177">
        <f t="shared" si="206"/>
        <v>0</v>
      </c>
      <c r="S783" s="152">
        <f t="shared" si="207"/>
        <v>0</v>
      </c>
    </row>
    <row r="784" spans="1:24" ht="14.1" customHeight="1" x14ac:dyDescent="0.2">
      <c r="A784" s="4">
        <v>12</v>
      </c>
      <c r="B784" s="4" t="s">
        <v>130</v>
      </c>
      <c r="E784" s="4">
        <v>0</v>
      </c>
      <c r="F784" s="177" t="s">
        <v>48</v>
      </c>
      <c r="G784" s="179">
        <f>+Rates!D134</f>
        <v>8.99</v>
      </c>
      <c r="H784" s="220"/>
      <c r="I784" s="177">
        <f t="shared" si="209"/>
        <v>0</v>
      </c>
      <c r="L784" s="4">
        <f t="shared" si="208"/>
        <v>0</v>
      </c>
      <c r="M784" s="177" t="s">
        <v>48</v>
      </c>
      <c r="N784" s="212">
        <f t="shared" si="205"/>
        <v>9.0631932499435273</v>
      </c>
      <c r="P784" s="177">
        <f t="shared" si="210"/>
        <v>0</v>
      </c>
      <c r="R784" s="177">
        <f t="shared" si="206"/>
        <v>0</v>
      </c>
      <c r="S784" s="152">
        <f t="shared" si="207"/>
        <v>0</v>
      </c>
    </row>
    <row r="785" spans="1:19" ht="14.1" customHeight="1" x14ac:dyDescent="0.2">
      <c r="A785" s="4">
        <v>13</v>
      </c>
      <c r="B785" s="219" t="s">
        <v>52</v>
      </c>
      <c r="I785" s="183"/>
      <c r="P785" s="183"/>
    </row>
    <row r="786" spans="1:19" ht="14.1" customHeight="1" x14ac:dyDescent="0.2">
      <c r="A786" s="4">
        <v>14</v>
      </c>
      <c r="B786" s="43" t="s">
        <v>646</v>
      </c>
      <c r="E786" s="4">
        <v>0</v>
      </c>
      <c r="F786" s="4" t="s">
        <v>44</v>
      </c>
      <c r="G786" s="179">
        <f>+Rates!D136</f>
        <v>1.7</v>
      </c>
      <c r="I786" s="177">
        <f>+G786*E786</f>
        <v>0</v>
      </c>
      <c r="L786" s="4">
        <f t="shared" ref="L786:L803" si="211">+E786</f>
        <v>0</v>
      </c>
      <c r="M786" s="4" t="s">
        <v>44</v>
      </c>
      <c r="N786" s="212">
        <f t="shared" ref="N786:N803" si="212">+G786*(1+$V$5)</f>
        <v>1.7138407702896548</v>
      </c>
      <c r="P786" s="177">
        <f t="shared" ref="P786:P794" si="213">+N786*L786</f>
        <v>0</v>
      </c>
      <c r="R786" s="177">
        <f t="shared" ref="R786:R804" si="214">+P786-I786</f>
        <v>0</v>
      </c>
      <c r="S786" s="152">
        <f t="shared" ref="S786:S804" si="215">IF(R786=0,0,(P786-I786)/I786)</f>
        <v>0</v>
      </c>
    </row>
    <row r="787" spans="1:19" ht="14.1" customHeight="1" x14ac:dyDescent="0.2">
      <c r="A787" s="4">
        <v>15</v>
      </c>
      <c r="B787" s="43" t="s">
        <v>638</v>
      </c>
      <c r="E787" s="4">
        <v>0</v>
      </c>
      <c r="F787" s="4" t="s">
        <v>44</v>
      </c>
      <c r="G787" s="179">
        <f>+Rates!D137</f>
        <v>1.7</v>
      </c>
      <c r="I787" s="177">
        <f t="shared" ref="I787:I794" si="216">+G787*E787</f>
        <v>0</v>
      </c>
      <c r="L787" s="4">
        <f t="shared" si="211"/>
        <v>0</v>
      </c>
      <c r="M787" s="4" t="s">
        <v>44</v>
      </c>
      <c r="N787" s="212">
        <f t="shared" si="212"/>
        <v>1.7138407702896548</v>
      </c>
      <c r="P787" s="177">
        <f t="shared" si="213"/>
        <v>0</v>
      </c>
      <c r="R787" s="177">
        <f t="shared" si="214"/>
        <v>0</v>
      </c>
      <c r="S787" s="152">
        <f t="shared" si="215"/>
        <v>0</v>
      </c>
    </row>
    <row r="788" spans="1:19" ht="14.1" customHeight="1" x14ac:dyDescent="0.2">
      <c r="A788" s="4">
        <v>16</v>
      </c>
      <c r="B788" s="43" t="s">
        <v>647</v>
      </c>
      <c r="E788" s="4">
        <v>0</v>
      </c>
      <c r="F788" s="4" t="s">
        <v>44</v>
      </c>
      <c r="G788" s="179">
        <f>+Rates!D138</f>
        <v>1.7</v>
      </c>
      <c r="I788" s="177">
        <f t="shared" si="216"/>
        <v>0</v>
      </c>
      <c r="L788" s="4">
        <f t="shared" si="211"/>
        <v>0</v>
      </c>
      <c r="M788" s="4" t="s">
        <v>44</v>
      </c>
      <c r="N788" s="212">
        <f t="shared" si="212"/>
        <v>1.7138407702896548</v>
      </c>
      <c r="P788" s="177">
        <f t="shared" si="213"/>
        <v>0</v>
      </c>
      <c r="R788" s="177">
        <f t="shared" si="214"/>
        <v>0</v>
      </c>
      <c r="S788" s="152">
        <f t="shared" si="215"/>
        <v>0</v>
      </c>
    </row>
    <row r="789" spans="1:19" ht="14.1" customHeight="1" x14ac:dyDescent="0.2">
      <c r="A789" s="4">
        <v>17</v>
      </c>
      <c r="B789" s="43" t="s">
        <v>648</v>
      </c>
      <c r="C789" s="188"/>
      <c r="D789" s="9"/>
      <c r="E789" s="4">
        <v>0</v>
      </c>
      <c r="F789" s="4" t="s">
        <v>136</v>
      </c>
      <c r="G789" s="179">
        <f>+Rates!D139</f>
        <v>1.65</v>
      </c>
      <c r="H789" s="4" t="s">
        <v>134</v>
      </c>
      <c r="I789" s="177">
        <f t="shared" si="216"/>
        <v>0</v>
      </c>
      <c r="L789" s="4">
        <f t="shared" si="211"/>
        <v>0</v>
      </c>
      <c r="M789" s="4" t="s">
        <v>136</v>
      </c>
      <c r="N789" s="212">
        <f t="shared" si="212"/>
        <v>1.6634336888105472</v>
      </c>
      <c r="O789" s="4" t="s">
        <v>134</v>
      </c>
      <c r="P789" s="177">
        <f t="shared" si="213"/>
        <v>0</v>
      </c>
      <c r="R789" s="177">
        <f t="shared" si="214"/>
        <v>0</v>
      </c>
      <c r="S789" s="152">
        <f t="shared" si="215"/>
        <v>0</v>
      </c>
    </row>
    <row r="790" spans="1:19" ht="14.1" customHeight="1" x14ac:dyDescent="0.2">
      <c r="A790" s="4">
        <v>18</v>
      </c>
      <c r="B790" s="43" t="s">
        <v>640</v>
      </c>
      <c r="C790" s="188"/>
      <c r="D790" s="9"/>
      <c r="E790" s="4">
        <v>0</v>
      </c>
      <c r="F790" s="4" t="s">
        <v>136</v>
      </c>
      <c r="G790" s="179">
        <f>+Rates!D140</f>
        <v>1.65</v>
      </c>
      <c r="H790" s="4" t="s">
        <v>134</v>
      </c>
      <c r="I790" s="177">
        <f t="shared" si="216"/>
        <v>0</v>
      </c>
      <c r="L790" s="4">
        <f t="shared" si="211"/>
        <v>0</v>
      </c>
      <c r="M790" s="4" t="s">
        <v>136</v>
      </c>
      <c r="N790" s="212">
        <f t="shared" si="212"/>
        <v>1.6634336888105472</v>
      </c>
      <c r="O790" s="4" t="s">
        <v>134</v>
      </c>
      <c r="P790" s="177">
        <f t="shared" si="213"/>
        <v>0</v>
      </c>
      <c r="R790" s="177">
        <f t="shared" si="214"/>
        <v>0</v>
      </c>
      <c r="S790" s="152">
        <f t="shared" si="215"/>
        <v>0</v>
      </c>
    </row>
    <row r="791" spans="1:19" ht="14.1" customHeight="1" x14ac:dyDescent="0.2">
      <c r="A791" s="4">
        <v>19</v>
      </c>
      <c r="B791" s="43" t="s">
        <v>649</v>
      </c>
      <c r="E791" s="4">
        <v>0</v>
      </c>
      <c r="F791" s="4" t="s">
        <v>136</v>
      </c>
      <c r="G791" s="179">
        <f>+Rates!D141</f>
        <v>1.65</v>
      </c>
      <c r="H791" s="4" t="s">
        <v>134</v>
      </c>
      <c r="I791" s="177">
        <f t="shared" si="216"/>
        <v>0</v>
      </c>
      <c r="L791" s="4">
        <f t="shared" si="211"/>
        <v>0</v>
      </c>
      <c r="M791" s="4" t="s">
        <v>136</v>
      </c>
      <c r="N791" s="212">
        <f t="shared" si="212"/>
        <v>1.6634336888105472</v>
      </c>
      <c r="O791" s="4" t="s">
        <v>134</v>
      </c>
      <c r="P791" s="177">
        <f t="shared" si="213"/>
        <v>0</v>
      </c>
      <c r="R791" s="177">
        <f t="shared" si="214"/>
        <v>0</v>
      </c>
      <c r="S791" s="152">
        <f t="shared" si="215"/>
        <v>0</v>
      </c>
    </row>
    <row r="792" spans="1:19" ht="14.1" customHeight="1" x14ac:dyDescent="0.2">
      <c r="A792" s="4">
        <v>20</v>
      </c>
      <c r="B792" s="43" t="s">
        <v>650</v>
      </c>
      <c r="E792" s="4">
        <v>0</v>
      </c>
      <c r="F792" s="4" t="s">
        <v>136</v>
      </c>
      <c r="G792" s="179">
        <f>+Rates!D142</f>
        <v>0.65450000000000008</v>
      </c>
      <c r="H792" s="4" t="s">
        <v>135</v>
      </c>
      <c r="I792" s="177">
        <f t="shared" si="216"/>
        <v>0</v>
      </c>
      <c r="L792" s="4">
        <f t="shared" si="211"/>
        <v>0</v>
      </c>
      <c r="M792" s="4" t="s">
        <v>136</v>
      </c>
      <c r="N792" s="212">
        <f t="shared" si="212"/>
        <v>0.65982869656151721</v>
      </c>
      <c r="O792" s="4" t="s">
        <v>135</v>
      </c>
      <c r="P792" s="177">
        <f t="shared" si="213"/>
        <v>0</v>
      </c>
      <c r="R792" s="177">
        <f t="shared" si="214"/>
        <v>0</v>
      </c>
      <c r="S792" s="152">
        <f t="shared" si="215"/>
        <v>0</v>
      </c>
    </row>
    <row r="793" spans="1:19" ht="14.1" customHeight="1" x14ac:dyDescent="0.2">
      <c r="A793" s="4">
        <v>21</v>
      </c>
      <c r="B793" s="43" t="s">
        <v>639</v>
      </c>
      <c r="E793" s="4">
        <v>0</v>
      </c>
      <c r="F793" s="4" t="s">
        <v>136</v>
      </c>
      <c r="G793" s="179">
        <f>+Rates!D143</f>
        <v>0.65450000000000008</v>
      </c>
      <c r="H793" s="4" t="s">
        <v>135</v>
      </c>
      <c r="I793" s="177">
        <f t="shared" si="216"/>
        <v>0</v>
      </c>
      <c r="L793" s="4">
        <f t="shared" si="211"/>
        <v>0</v>
      </c>
      <c r="M793" s="4" t="s">
        <v>136</v>
      </c>
      <c r="N793" s="212">
        <f t="shared" si="212"/>
        <v>0.65982869656151721</v>
      </c>
      <c r="O793" s="4" t="s">
        <v>135</v>
      </c>
      <c r="P793" s="177">
        <f t="shared" si="213"/>
        <v>0</v>
      </c>
      <c r="R793" s="177">
        <f t="shared" si="214"/>
        <v>0</v>
      </c>
      <c r="S793" s="152">
        <f t="shared" si="215"/>
        <v>0</v>
      </c>
    </row>
    <row r="794" spans="1:19" ht="14.1" customHeight="1" x14ac:dyDescent="0.2">
      <c r="A794" s="4">
        <v>22</v>
      </c>
      <c r="B794" s="43" t="s">
        <v>651</v>
      </c>
      <c r="C794" s="188"/>
      <c r="D794" s="9"/>
      <c r="E794" s="4">
        <v>0</v>
      </c>
      <c r="F794" s="4" t="s">
        <v>136</v>
      </c>
      <c r="G794" s="179">
        <f>+Rates!D144</f>
        <v>0.65450000000000008</v>
      </c>
      <c r="H794" s="4" t="s">
        <v>135</v>
      </c>
      <c r="I794" s="177">
        <f t="shared" si="216"/>
        <v>0</v>
      </c>
      <c r="L794" s="4">
        <f t="shared" si="211"/>
        <v>0</v>
      </c>
      <c r="M794" s="4" t="s">
        <v>136</v>
      </c>
      <c r="N794" s="212">
        <f t="shared" si="212"/>
        <v>0.65982869656151721</v>
      </c>
      <c r="O794" s="4" t="s">
        <v>135</v>
      </c>
      <c r="P794" s="177">
        <f t="shared" si="213"/>
        <v>0</v>
      </c>
      <c r="R794" s="177">
        <f t="shared" si="214"/>
        <v>0</v>
      </c>
      <c r="S794" s="152">
        <f t="shared" si="215"/>
        <v>0</v>
      </c>
    </row>
    <row r="795" spans="1:19" ht="14.1" customHeight="1" x14ac:dyDescent="0.2">
      <c r="A795" s="4">
        <v>23</v>
      </c>
      <c r="B795" s="43" t="s">
        <v>213</v>
      </c>
      <c r="E795" s="4">
        <v>0</v>
      </c>
      <c r="F795" s="177" t="s">
        <v>44</v>
      </c>
      <c r="G795" s="179">
        <f>+Rates!D145</f>
        <v>1.7</v>
      </c>
      <c r="H795" s="220"/>
      <c r="I795" s="177">
        <f>+G795*E795</f>
        <v>0</v>
      </c>
      <c r="L795" s="4">
        <f t="shared" si="211"/>
        <v>0</v>
      </c>
      <c r="M795" s="177" t="s">
        <v>44</v>
      </c>
      <c r="N795" s="212">
        <f t="shared" si="212"/>
        <v>1.7138407702896548</v>
      </c>
      <c r="O795" s="220"/>
      <c r="P795" s="177">
        <f t="shared" ref="P795:P803" si="217">+N795*L795</f>
        <v>0</v>
      </c>
      <c r="R795" s="177">
        <f t="shared" si="214"/>
        <v>0</v>
      </c>
      <c r="S795" s="152">
        <f t="shared" si="215"/>
        <v>0</v>
      </c>
    </row>
    <row r="796" spans="1:19" ht="14.1" customHeight="1" x14ac:dyDescent="0.2">
      <c r="A796" s="4">
        <v>24</v>
      </c>
      <c r="B796" s="43" t="s">
        <v>205</v>
      </c>
      <c r="E796" s="4">
        <v>0</v>
      </c>
      <c r="F796" s="177" t="s">
        <v>44</v>
      </c>
      <c r="G796" s="179">
        <f>+Rates!D146</f>
        <v>1.7</v>
      </c>
      <c r="H796" s="220"/>
      <c r="I796" s="177">
        <f t="shared" ref="I796:I803" si="218">+G796*E796</f>
        <v>0</v>
      </c>
      <c r="L796" s="4">
        <f t="shared" si="211"/>
        <v>0</v>
      </c>
      <c r="M796" s="177" t="s">
        <v>44</v>
      </c>
      <c r="N796" s="212">
        <f t="shared" si="212"/>
        <v>1.7138407702896548</v>
      </c>
      <c r="O796" s="220"/>
      <c r="P796" s="177">
        <f t="shared" si="217"/>
        <v>0</v>
      </c>
      <c r="Q796" s="177"/>
      <c r="R796" s="177">
        <f t="shared" si="214"/>
        <v>0</v>
      </c>
      <c r="S796" s="152">
        <f t="shared" si="215"/>
        <v>0</v>
      </c>
    </row>
    <row r="797" spans="1:19" ht="14.1" customHeight="1" x14ac:dyDescent="0.2">
      <c r="A797" s="4">
        <v>25</v>
      </c>
      <c r="B797" s="43" t="s">
        <v>206</v>
      </c>
      <c r="E797" s="4">
        <v>0</v>
      </c>
      <c r="F797" s="177" t="s">
        <v>44</v>
      </c>
      <c r="G797" s="179">
        <f>+Rates!D147</f>
        <v>1.7</v>
      </c>
      <c r="H797" s="220"/>
      <c r="I797" s="177">
        <f t="shared" si="218"/>
        <v>0</v>
      </c>
      <c r="L797" s="4">
        <f t="shared" si="211"/>
        <v>0</v>
      </c>
      <c r="M797" s="177" t="s">
        <v>44</v>
      </c>
      <c r="N797" s="212">
        <f t="shared" si="212"/>
        <v>1.7138407702896548</v>
      </c>
      <c r="O797" s="220"/>
      <c r="P797" s="177">
        <f t="shared" si="217"/>
        <v>0</v>
      </c>
      <c r="Q797" s="177"/>
      <c r="R797" s="177">
        <f t="shared" si="214"/>
        <v>0</v>
      </c>
      <c r="S797" s="152">
        <f t="shared" si="215"/>
        <v>0</v>
      </c>
    </row>
    <row r="798" spans="1:19" ht="14.1" customHeight="1" x14ac:dyDescent="0.2">
      <c r="A798" s="4">
        <v>26</v>
      </c>
      <c r="B798" s="43" t="s">
        <v>207</v>
      </c>
      <c r="C798" s="188"/>
      <c r="D798" s="9"/>
      <c r="E798" s="4">
        <v>0</v>
      </c>
      <c r="F798" s="177" t="s">
        <v>136</v>
      </c>
      <c r="G798" s="179">
        <f>+Rates!D148</f>
        <v>1.65</v>
      </c>
      <c r="H798" s="220" t="s">
        <v>364</v>
      </c>
      <c r="I798" s="177">
        <f t="shared" si="218"/>
        <v>0</v>
      </c>
      <c r="J798" s="177"/>
      <c r="K798" s="173"/>
      <c r="L798" s="4">
        <f t="shared" si="211"/>
        <v>0</v>
      </c>
      <c r="M798" s="177" t="s">
        <v>136</v>
      </c>
      <c r="N798" s="212">
        <f t="shared" si="212"/>
        <v>1.6634336888105472</v>
      </c>
      <c r="O798" s="220" t="s">
        <v>134</v>
      </c>
      <c r="P798" s="177">
        <f t="shared" si="217"/>
        <v>0</v>
      </c>
      <c r="Q798" s="177"/>
      <c r="R798" s="177">
        <f t="shared" si="214"/>
        <v>0</v>
      </c>
      <c r="S798" s="152">
        <f t="shared" si="215"/>
        <v>0</v>
      </c>
    </row>
    <row r="799" spans="1:19" ht="14.1" customHeight="1" x14ac:dyDescent="0.2">
      <c r="A799" s="4">
        <v>27</v>
      </c>
      <c r="B799" s="43" t="s">
        <v>208</v>
      </c>
      <c r="C799" s="188"/>
      <c r="D799" s="9"/>
      <c r="E799" s="4">
        <v>0</v>
      </c>
      <c r="F799" s="177" t="s">
        <v>136</v>
      </c>
      <c r="G799" s="179">
        <f>+Rates!D149</f>
        <v>1.65</v>
      </c>
      <c r="H799" s="220" t="s">
        <v>364</v>
      </c>
      <c r="I799" s="177">
        <f t="shared" si="218"/>
        <v>0</v>
      </c>
      <c r="J799" s="177"/>
      <c r="K799" s="173"/>
      <c r="L799" s="4">
        <f t="shared" si="211"/>
        <v>0</v>
      </c>
      <c r="M799" s="177" t="s">
        <v>136</v>
      </c>
      <c r="N799" s="212">
        <f t="shared" si="212"/>
        <v>1.6634336888105472</v>
      </c>
      <c r="O799" s="220" t="s">
        <v>134</v>
      </c>
      <c r="P799" s="177">
        <f t="shared" si="217"/>
        <v>0</v>
      </c>
      <c r="Q799" s="177"/>
      <c r="R799" s="177">
        <f t="shared" si="214"/>
        <v>0</v>
      </c>
      <c r="S799" s="152">
        <f t="shared" si="215"/>
        <v>0</v>
      </c>
    </row>
    <row r="800" spans="1:19" ht="14.1" customHeight="1" x14ac:dyDescent="0.2">
      <c r="A800" s="4">
        <v>28</v>
      </c>
      <c r="B800" s="43" t="s">
        <v>209</v>
      </c>
      <c r="E800" s="4">
        <v>0</v>
      </c>
      <c r="F800" s="177" t="s">
        <v>136</v>
      </c>
      <c r="G800" s="179">
        <f>+Rates!D150</f>
        <v>1.65</v>
      </c>
      <c r="H800" s="220" t="s">
        <v>364</v>
      </c>
      <c r="I800" s="177">
        <f t="shared" si="218"/>
        <v>0</v>
      </c>
      <c r="L800" s="4">
        <f t="shared" si="211"/>
        <v>0</v>
      </c>
      <c r="M800" s="177" t="s">
        <v>136</v>
      </c>
      <c r="N800" s="212">
        <f t="shared" si="212"/>
        <v>1.6634336888105472</v>
      </c>
      <c r="O800" s="220" t="s">
        <v>134</v>
      </c>
      <c r="P800" s="177">
        <f t="shared" si="217"/>
        <v>0</v>
      </c>
      <c r="R800" s="177">
        <f t="shared" si="214"/>
        <v>0</v>
      </c>
      <c r="S800" s="152">
        <f t="shared" si="215"/>
        <v>0</v>
      </c>
    </row>
    <row r="801" spans="1:24" ht="14.1" customHeight="1" x14ac:dyDescent="0.2">
      <c r="A801" s="4">
        <v>29</v>
      </c>
      <c r="B801" s="43" t="s">
        <v>210</v>
      </c>
      <c r="E801" s="4">
        <v>0</v>
      </c>
      <c r="F801" s="177" t="s">
        <v>136</v>
      </c>
      <c r="G801" s="179">
        <f>+Rates!D151</f>
        <v>0.65450000000000008</v>
      </c>
      <c r="H801" s="220" t="s">
        <v>365</v>
      </c>
      <c r="I801" s="177">
        <f t="shared" si="218"/>
        <v>0</v>
      </c>
      <c r="L801" s="4">
        <f t="shared" si="211"/>
        <v>0</v>
      </c>
      <c r="M801" s="177" t="s">
        <v>136</v>
      </c>
      <c r="N801" s="212">
        <f t="shared" si="212"/>
        <v>0.65982869656151721</v>
      </c>
      <c r="O801" s="220" t="s">
        <v>135</v>
      </c>
      <c r="P801" s="177">
        <f t="shared" si="217"/>
        <v>0</v>
      </c>
      <c r="R801" s="177">
        <f t="shared" si="214"/>
        <v>0</v>
      </c>
      <c r="S801" s="152">
        <f t="shared" si="215"/>
        <v>0</v>
      </c>
    </row>
    <row r="802" spans="1:24" ht="14.1" customHeight="1" x14ac:dyDescent="0.2">
      <c r="A802" s="4">
        <v>30</v>
      </c>
      <c r="B802" s="43" t="s">
        <v>211</v>
      </c>
      <c r="E802" s="4">
        <v>0</v>
      </c>
      <c r="F802" s="177" t="s">
        <v>136</v>
      </c>
      <c r="G802" s="179">
        <f>+Rates!D152</f>
        <v>0.65450000000000008</v>
      </c>
      <c r="H802" s="220" t="s">
        <v>365</v>
      </c>
      <c r="I802" s="177">
        <f t="shared" si="218"/>
        <v>0</v>
      </c>
      <c r="L802" s="4">
        <f t="shared" si="211"/>
        <v>0</v>
      </c>
      <c r="M802" s="177" t="s">
        <v>136</v>
      </c>
      <c r="N802" s="212">
        <f t="shared" si="212"/>
        <v>0.65982869656151721</v>
      </c>
      <c r="O802" s="220" t="s">
        <v>135</v>
      </c>
      <c r="P802" s="177">
        <f t="shared" si="217"/>
        <v>0</v>
      </c>
      <c r="R802" s="177">
        <f t="shared" si="214"/>
        <v>0</v>
      </c>
      <c r="S802" s="152">
        <f t="shared" si="215"/>
        <v>0</v>
      </c>
    </row>
    <row r="803" spans="1:24" ht="14.1" customHeight="1" x14ac:dyDescent="0.2">
      <c r="A803" s="4">
        <v>31</v>
      </c>
      <c r="B803" s="43" t="s">
        <v>212</v>
      </c>
      <c r="C803" s="188"/>
      <c r="D803" s="9"/>
      <c r="E803" s="18">
        <v>0</v>
      </c>
      <c r="F803" s="177" t="s">
        <v>136</v>
      </c>
      <c r="G803" s="179">
        <f>+Rates!D153</f>
        <v>0.65450000000000008</v>
      </c>
      <c r="H803" s="220" t="s">
        <v>365</v>
      </c>
      <c r="I803" s="177">
        <f t="shared" si="218"/>
        <v>0</v>
      </c>
      <c r="J803" s="177"/>
      <c r="K803" s="173"/>
      <c r="L803" s="18">
        <f t="shared" si="211"/>
        <v>0</v>
      </c>
      <c r="M803" s="177" t="s">
        <v>136</v>
      </c>
      <c r="N803" s="212">
        <f t="shared" si="212"/>
        <v>0.65982869656151721</v>
      </c>
      <c r="O803" s="220" t="s">
        <v>135</v>
      </c>
      <c r="P803" s="177">
        <f t="shared" si="217"/>
        <v>0</v>
      </c>
      <c r="R803" s="177">
        <f t="shared" si="214"/>
        <v>0</v>
      </c>
      <c r="S803" s="152">
        <f t="shared" si="215"/>
        <v>0</v>
      </c>
      <c r="W803" s="5"/>
      <c r="X803" s="5"/>
    </row>
    <row r="804" spans="1:24" ht="14.1" customHeight="1" x14ac:dyDescent="0.2">
      <c r="A804" s="4">
        <v>32</v>
      </c>
      <c r="B804" s="186" t="s">
        <v>16</v>
      </c>
      <c r="C804" s="188"/>
      <c r="D804" s="9"/>
      <c r="E804" s="4">
        <f>SUM(E795:E797)+SUM(E776:E781)+SUM(E786:E788)</f>
        <v>0</v>
      </c>
      <c r="F804" s="177" t="s">
        <v>44</v>
      </c>
      <c r="G804" s="179"/>
      <c r="H804" s="177"/>
      <c r="I804" s="185">
        <f>+SUM(I776:I803)</f>
        <v>0</v>
      </c>
      <c r="J804" s="177"/>
      <c r="K804" s="173"/>
      <c r="L804" s="4">
        <f>SUM(L795:L797)+SUM(L776:L781)+SUM(L786:L788)</f>
        <v>0</v>
      </c>
      <c r="M804" s="177" t="s">
        <v>44</v>
      </c>
      <c r="N804" s="179"/>
      <c r="O804" s="177"/>
      <c r="P804" s="185">
        <f>+SUM(P776:P803)</f>
        <v>0</v>
      </c>
      <c r="R804" s="177">
        <f t="shared" si="214"/>
        <v>0</v>
      </c>
      <c r="S804" s="152">
        <f t="shared" si="215"/>
        <v>0</v>
      </c>
    </row>
    <row r="805" spans="1:24" ht="14.1" customHeight="1" x14ac:dyDescent="0.2">
      <c r="A805" s="4">
        <v>33</v>
      </c>
      <c r="I805" s="183"/>
      <c r="P805" s="183"/>
      <c r="S805" s="9"/>
    </row>
    <row r="806" spans="1:24" ht="14.1" customHeight="1" x14ac:dyDescent="0.2">
      <c r="A806" s="4">
        <v>34</v>
      </c>
      <c r="I806" s="183"/>
      <c r="P806" s="183"/>
    </row>
    <row r="807" spans="1:24" ht="14.1" customHeight="1" x14ac:dyDescent="0.2">
      <c r="A807" s="4">
        <v>35</v>
      </c>
      <c r="B807" s="303" t="s">
        <v>178</v>
      </c>
      <c r="C807" s="303"/>
      <c r="D807" s="303"/>
      <c r="E807" s="303"/>
      <c r="F807" s="303"/>
      <c r="G807" s="303"/>
      <c r="H807" s="303"/>
      <c r="I807" s="303"/>
      <c r="J807" s="303"/>
      <c r="K807" s="303"/>
    </row>
    <row r="808" spans="1:24" ht="14.1" customHeight="1" x14ac:dyDescent="0.2">
      <c r="A808" s="4">
        <v>36</v>
      </c>
      <c r="B808" s="266"/>
      <c r="C808" s="266"/>
      <c r="D808" s="266"/>
      <c r="E808" s="266"/>
      <c r="F808" s="266"/>
      <c r="G808" s="266"/>
      <c r="H808" s="266"/>
      <c r="I808" s="266"/>
      <c r="J808" s="266"/>
      <c r="K808" s="266"/>
    </row>
    <row r="809" spans="1:24" ht="14.1" customHeight="1" x14ac:dyDescent="0.2">
      <c r="A809" s="4">
        <v>37</v>
      </c>
      <c r="B809" s="266"/>
      <c r="C809" s="266"/>
      <c r="D809" s="266"/>
      <c r="E809" s="266"/>
      <c r="F809" s="266"/>
      <c r="G809" s="266"/>
      <c r="H809" s="266"/>
      <c r="I809" s="266"/>
      <c r="J809" s="266"/>
      <c r="K809" s="266"/>
    </row>
    <row r="810" spans="1:24" ht="14.1" customHeight="1" x14ac:dyDescent="0.2">
      <c r="A810" s="4">
        <v>38</v>
      </c>
      <c r="B810" s="266"/>
      <c r="C810" s="266"/>
      <c r="D810" s="266"/>
      <c r="E810" s="266"/>
      <c r="F810" s="266"/>
      <c r="G810" s="266"/>
      <c r="H810" s="266"/>
      <c r="I810" s="266"/>
      <c r="J810" s="266"/>
      <c r="K810" s="266"/>
    </row>
    <row r="811" spans="1:24" ht="14.1" customHeight="1" thickBot="1" x14ac:dyDescent="0.25">
      <c r="A811" s="16">
        <v>39</v>
      </c>
      <c r="B811" s="16"/>
      <c r="C811" s="16"/>
      <c r="D811" s="16"/>
      <c r="E811" s="16"/>
      <c r="F811" s="16"/>
      <c r="G811" s="16"/>
      <c r="H811" s="16"/>
      <c r="I811" s="16"/>
      <c r="J811" s="16"/>
      <c r="K811" s="151"/>
      <c r="L811" s="16"/>
      <c r="M811" s="16"/>
      <c r="N811" s="16"/>
      <c r="O811" s="16"/>
      <c r="P811" s="16"/>
      <c r="Q811" s="16"/>
      <c r="R811" s="16"/>
      <c r="S811" s="150"/>
    </row>
    <row r="812" spans="1:24" ht="14.1" customHeight="1" x14ac:dyDescent="0.2">
      <c r="S812" s="4" t="str">
        <f>+$S$109</f>
        <v>Recap Schedules:  E-13a</v>
      </c>
    </row>
    <row r="813" spans="1:24" ht="14.1" customHeight="1" x14ac:dyDescent="0.2">
      <c r="H813" s="292" t="s">
        <v>768</v>
      </c>
      <c r="I813" s="292"/>
      <c r="J813" s="292"/>
      <c r="K813" s="292"/>
      <c r="L813" s="292"/>
    </row>
    <row r="814" spans="1:24" ht="14.1" customHeight="1" thickBot="1" x14ac:dyDescent="0.25">
      <c r="A814" s="16" t="s">
        <v>7</v>
      </c>
      <c r="B814" s="16"/>
      <c r="C814" s="16"/>
      <c r="D814" s="16"/>
      <c r="E814" s="16"/>
      <c r="F814" s="16"/>
      <c r="G814" s="16"/>
      <c r="H814" s="301" t="s">
        <v>380</v>
      </c>
      <c r="I814" s="301"/>
      <c r="J814" s="301"/>
      <c r="K814" s="301"/>
      <c r="L814" s="301"/>
      <c r="M814" s="16"/>
      <c r="N814" s="16"/>
      <c r="O814" s="16"/>
      <c r="P814" s="16"/>
      <c r="Q814" s="16"/>
      <c r="R814" s="16"/>
      <c r="S814" s="150" t="str">
        <f>"Page " &amp; INT(ROW()/$R$1 +1)  &amp; "  of " &amp; S$1</f>
        <v>Page 16  of 19</v>
      </c>
    </row>
    <row r="815" spans="1:24" ht="14.1" customHeight="1" x14ac:dyDescent="0.2">
      <c r="A815" s="4" t="s">
        <v>21</v>
      </c>
      <c r="E815" s="4" t="s">
        <v>761</v>
      </c>
      <c r="G815" s="4" t="s">
        <v>766</v>
      </c>
      <c r="K815" s="285"/>
      <c r="L815" s="56"/>
      <c r="N815" s="56"/>
      <c r="O815" s="56"/>
      <c r="P815" s="56" t="s">
        <v>663</v>
      </c>
      <c r="S815" s="22"/>
    </row>
    <row r="816" spans="1:24" ht="14.1" customHeight="1" x14ac:dyDescent="0.2">
      <c r="G816" s="4" t="s">
        <v>767</v>
      </c>
      <c r="K816" s="284"/>
      <c r="L816" s="22"/>
      <c r="O816" s="21"/>
      <c r="P816" s="21"/>
      <c r="Q816" s="22" t="s">
        <v>764</v>
      </c>
      <c r="S816" s="21"/>
    </row>
    <row r="817" spans="1:19" ht="14.1" customHeight="1" x14ac:dyDescent="0.2">
      <c r="A817" s="4" t="s">
        <v>29</v>
      </c>
      <c r="G817" s="4" t="s">
        <v>770</v>
      </c>
      <c r="K817" s="284"/>
      <c r="L817" s="22"/>
      <c r="M817" s="21"/>
      <c r="P817" s="21"/>
      <c r="Q817" s="22" t="s">
        <v>765</v>
      </c>
      <c r="S817" s="21"/>
    </row>
    <row r="818" spans="1:19" ht="14.1" customHeight="1" x14ac:dyDescent="0.2">
      <c r="G818" s="4" t="s">
        <v>769</v>
      </c>
      <c r="K818" s="284"/>
      <c r="L818" s="22"/>
      <c r="M818" s="21"/>
      <c r="P818" s="21"/>
      <c r="Q818" s="22"/>
      <c r="S818" s="21"/>
    </row>
    <row r="819" spans="1:19" ht="14.1" customHeight="1" x14ac:dyDescent="0.2">
      <c r="C819" s="21"/>
      <c r="H819" s="10"/>
      <c r="I819" s="10"/>
      <c r="J819" s="10"/>
      <c r="K819" s="284"/>
      <c r="Q819" s="4" t="s">
        <v>738</v>
      </c>
    </row>
    <row r="820" spans="1:19" ht="14.1" customHeight="1" thickBot="1" x14ac:dyDescent="0.25">
      <c r="A820" s="16"/>
      <c r="B820" s="16"/>
      <c r="C820" s="150"/>
      <c r="D820" s="101"/>
      <c r="E820" s="101"/>
      <c r="F820" s="101"/>
      <c r="G820" s="102"/>
      <c r="H820" s="101"/>
      <c r="I820" s="101"/>
      <c r="J820" s="101"/>
      <c r="K820" s="101"/>
      <c r="L820" s="101"/>
      <c r="M820" s="101"/>
      <c r="N820" s="101"/>
      <c r="O820" s="101"/>
      <c r="P820" s="101"/>
      <c r="Q820" s="101"/>
      <c r="R820" s="101"/>
      <c r="S820" s="101"/>
    </row>
    <row r="821" spans="1:19" ht="14.1" customHeight="1" x14ac:dyDescent="0.2">
      <c r="E821" s="10"/>
      <c r="G821" s="10"/>
      <c r="H821" s="103"/>
      <c r="I821" s="10"/>
      <c r="K821" s="10"/>
      <c r="M821" s="103"/>
    </row>
    <row r="822" spans="1:19" ht="14.1" customHeight="1" x14ac:dyDescent="0.2">
      <c r="A822" s="9"/>
      <c r="B822" s="92"/>
      <c r="C822" s="92"/>
      <c r="D822" s="1"/>
      <c r="E822" s="39"/>
      <c r="F822" s="1"/>
      <c r="G822" s="1"/>
      <c r="H822" s="39"/>
      <c r="I822" s="1"/>
      <c r="J822" s="1"/>
      <c r="K822" s="3"/>
      <c r="L822" s="1"/>
      <c r="M822" s="39"/>
      <c r="N822" s="1"/>
      <c r="O822" s="1"/>
      <c r="P822" s="1"/>
      <c r="Q822" s="1"/>
      <c r="R822" s="1"/>
      <c r="S822" s="1"/>
    </row>
    <row r="823" spans="1:19" ht="14.1" customHeight="1" x14ac:dyDescent="0.2">
      <c r="A823" s="9"/>
      <c r="B823" s="92"/>
      <c r="C823" s="1"/>
      <c r="D823" s="1"/>
      <c r="E823" s="1"/>
      <c r="F823" s="39"/>
      <c r="G823" s="39"/>
      <c r="H823" s="40"/>
      <c r="I823" s="40" t="s">
        <v>14</v>
      </c>
      <c r="J823" s="3"/>
      <c r="K823" s="41" t="str">
        <f>K715</f>
        <v>SBD/SBDT</v>
      </c>
      <c r="L823" s="39"/>
      <c r="M823" s="1"/>
      <c r="N823" s="39"/>
      <c r="O823" s="39"/>
      <c r="P823" s="39"/>
      <c r="Q823" s="39"/>
      <c r="R823" s="39"/>
      <c r="S823" s="1"/>
    </row>
    <row r="824" spans="1:19" ht="14.1" customHeight="1" x14ac:dyDescent="0.2">
      <c r="A824" s="9"/>
      <c r="B824" s="92"/>
      <c r="C824" s="1"/>
      <c r="D824" s="1"/>
      <c r="E824" s="1"/>
      <c r="F824" s="39"/>
      <c r="G824" s="39"/>
      <c r="H824" s="39"/>
      <c r="I824" s="39"/>
      <c r="J824" s="39"/>
      <c r="K824" s="3"/>
      <c r="L824" s="39"/>
      <c r="M824" s="39"/>
      <c r="N824" s="39"/>
      <c r="O824" s="39"/>
      <c r="P824" s="39"/>
      <c r="Q824" s="39"/>
      <c r="R824" s="39"/>
      <c r="S824" s="39"/>
    </row>
    <row r="825" spans="1:19" ht="14.1" customHeight="1" x14ac:dyDescent="0.2">
      <c r="A825" s="149" t="s">
        <v>26</v>
      </c>
      <c r="B825" s="176" t="s">
        <v>5</v>
      </c>
      <c r="C825" s="216"/>
      <c r="D825" s="213"/>
      <c r="E825" s="192"/>
      <c r="F825" s="192"/>
      <c r="G825" s="267" t="s">
        <v>8</v>
      </c>
      <c r="H825" s="192"/>
      <c r="I825" s="192"/>
      <c r="J825" s="216"/>
      <c r="K825" s="187"/>
      <c r="L825" s="192"/>
      <c r="M825" s="267"/>
      <c r="N825" s="267" t="s">
        <v>9</v>
      </c>
      <c r="O825" s="192"/>
      <c r="P825" s="192"/>
      <c r="Q825" s="216"/>
      <c r="R825" s="290" t="s">
        <v>750</v>
      </c>
      <c r="S825" s="290" t="s">
        <v>752</v>
      </c>
    </row>
    <row r="826" spans="1:19" ht="14.1" customHeight="1" thickBot="1" x14ac:dyDescent="0.25">
      <c r="A826" s="151" t="s">
        <v>28</v>
      </c>
      <c r="B826" s="175" t="s">
        <v>10</v>
      </c>
      <c r="C826" s="215"/>
      <c r="D826" s="44"/>
      <c r="E826" s="151" t="s">
        <v>11</v>
      </c>
      <c r="F826" s="194"/>
      <c r="G826" s="194" t="s">
        <v>12</v>
      </c>
      <c r="H826" s="194"/>
      <c r="I826" s="194" t="s">
        <v>13</v>
      </c>
      <c r="J826" s="194"/>
      <c r="K826" s="194"/>
      <c r="L826" s="194" t="s">
        <v>11</v>
      </c>
      <c r="M826" s="194"/>
      <c r="N826" s="194" t="s">
        <v>12</v>
      </c>
      <c r="O826" s="194"/>
      <c r="P826" s="194" t="s">
        <v>13</v>
      </c>
      <c r="Q826" s="215"/>
      <c r="R826" s="291" t="s">
        <v>751</v>
      </c>
      <c r="S826" s="291" t="s">
        <v>4</v>
      </c>
    </row>
    <row r="827" spans="1:19" ht="14.1" customHeight="1" x14ac:dyDescent="0.2">
      <c r="A827" s="4">
        <v>1</v>
      </c>
      <c r="B827" s="302" t="s">
        <v>382</v>
      </c>
      <c r="C827" s="302"/>
      <c r="D827" s="302"/>
      <c r="F827" s="188"/>
      <c r="G827" s="188"/>
      <c r="H827" s="188"/>
      <c r="I827" s="188"/>
      <c r="J827" s="186"/>
      <c r="K827" s="187"/>
      <c r="L827" s="186"/>
      <c r="M827" s="188"/>
      <c r="N827" s="188"/>
      <c r="O827" s="188"/>
      <c r="P827" s="188"/>
      <c r="Q827" s="188"/>
      <c r="R827" s="188"/>
      <c r="S827" s="188"/>
    </row>
    <row r="828" spans="1:19" ht="14.1" customHeight="1" x14ac:dyDescent="0.2">
      <c r="A828" s="4">
        <v>2</v>
      </c>
    </row>
    <row r="829" spans="1:19" ht="14.1" customHeight="1" x14ac:dyDescent="0.2">
      <c r="A829" s="4">
        <v>3</v>
      </c>
      <c r="B829" s="186" t="s">
        <v>362</v>
      </c>
      <c r="I829" s="183"/>
      <c r="P829" s="183"/>
    </row>
    <row r="830" spans="1:19" ht="14.1" customHeight="1" x14ac:dyDescent="0.2">
      <c r="A830" s="4">
        <v>4</v>
      </c>
      <c r="B830" s="43" t="s">
        <v>189</v>
      </c>
      <c r="E830" s="4">
        <v>0</v>
      </c>
      <c r="F830" s="4" t="s">
        <v>381</v>
      </c>
      <c r="G830" s="212">
        <f>+Rates!D182</f>
        <v>2.0099999999999998</v>
      </c>
      <c r="I830" s="183">
        <f>G830*E830</f>
        <v>0</v>
      </c>
      <c r="L830" s="4">
        <f t="shared" ref="L830:L835" si="219">+E830</f>
        <v>0</v>
      </c>
      <c r="M830" s="4" t="s">
        <v>381</v>
      </c>
      <c r="N830" s="212">
        <f t="shared" ref="N830:N835" si="220">+G830*(1+$V$5)</f>
        <v>2.0263646754601212</v>
      </c>
      <c r="P830" s="183">
        <f>N830*L830</f>
        <v>0</v>
      </c>
      <c r="R830" s="177">
        <f t="shared" ref="R830:R836" si="221">+P830-I830</f>
        <v>0</v>
      </c>
      <c r="S830" s="152">
        <f t="shared" ref="S830:S836" si="222">IF(R830=0,0,(P830-I830)/I830)</f>
        <v>0</v>
      </c>
    </row>
    <row r="831" spans="1:19" ht="14.1" customHeight="1" x14ac:dyDescent="0.2">
      <c r="A831" s="4">
        <v>5</v>
      </c>
      <c r="B831" s="43" t="s">
        <v>58</v>
      </c>
      <c r="E831" s="4">
        <v>0</v>
      </c>
      <c r="F831" s="4" t="s">
        <v>381</v>
      </c>
      <c r="G831" s="212">
        <f>+Rates!D183</f>
        <v>2.0099999999999998</v>
      </c>
      <c r="I831" s="183">
        <f t="shared" ref="I831:I835" si="223">G831*E831</f>
        <v>0</v>
      </c>
      <c r="L831" s="4">
        <f t="shared" si="219"/>
        <v>0</v>
      </c>
      <c r="M831" s="4" t="s">
        <v>381</v>
      </c>
      <c r="N831" s="212">
        <f t="shared" si="220"/>
        <v>2.0263646754601212</v>
      </c>
      <c r="P831" s="183">
        <f t="shared" ref="P831:P835" si="224">N831*L831</f>
        <v>0</v>
      </c>
      <c r="R831" s="177">
        <f t="shared" si="221"/>
        <v>0</v>
      </c>
      <c r="S831" s="152">
        <f t="shared" si="222"/>
        <v>0</v>
      </c>
    </row>
    <row r="832" spans="1:19" ht="14.1" customHeight="1" x14ac:dyDescent="0.2">
      <c r="A832" s="4">
        <v>6</v>
      </c>
      <c r="B832" s="43" t="s">
        <v>59</v>
      </c>
      <c r="E832" s="4">
        <v>0</v>
      </c>
      <c r="F832" s="4" t="s">
        <v>381</v>
      </c>
      <c r="G832" s="212">
        <f>+Rates!D184</f>
        <v>2.0099999999999998</v>
      </c>
      <c r="I832" s="183">
        <f t="shared" si="223"/>
        <v>0</v>
      </c>
      <c r="L832" s="4">
        <f t="shared" si="219"/>
        <v>0</v>
      </c>
      <c r="M832" s="4" t="s">
        <v>381</v>
      </c>
      <c r="N832" s="212">
        <f t="shared" si="220"/>
        <v>2.0263646754601212</v>
      </c>
      <c r="P832" s="183">
        <f t="shared" si="224"/>
        <v>0</v>
      </c>
      <c r="R832" s="177">
        <f t="shared" si="221"/>
        <v>0</v>
      </c>
      <c r="S832" s="152">
        <f t="shared" si="222"/>
        <v>0</v>
      </c>
    </row>
    <row r="833" spans="1:24" ht="14.1" customHeight="1" x14ac:dyDescent="0.2">
      <c r="A833" s="4">
        <v>7</v>
      </c>
      <c r="B833" s="4" t="s">
        <v>228</v>
      </c>
      <c r="E833" s="4">
        <v>0</v>
      </c>
      <c r="F833" s="4" t="s">
        <v>381</v>
      </c>
      <c r="G833" s="212">
        <f>+Rates!D185</f>
        <v>2.0099999999999998</v>
      </c>
      <c r="I833" s="183">
        <f t="shared" si="223"/>
        <v>0</v>
      </c>
      <c r="L833" s="4">
        <f t="shared" si="219"/>
        <v>0</v>
      </c>
      <c r="M833" s="4" t="s">
        <v>381</v>
      </c>
      <c r="N833" s="212">
        <f t="shared" si="220"/>
        <v>2.0263646754601212</v>
      </c>
      <c r="P833" s="183">
        <f t="shared" si="224"/>
        <v>0</v>
      </c>
      <c r="R833" s="177">
        <f t="shared" si="221"/>
        <v>0</v>
      </c>
      <c r="S833" s="152">
        <f t="shared" si="222"/>
        <v>0</v>
      </c>
    </row>
    <row r="834" spans="1:24" ht="14.1" customHeight="1" x14ac:dyDescent="0.2">
      <c r="A834" s="4">
        <v>8</v>
      </c>
      <c r="B834" s="4" t="s">
        <v>229</v>
      </c>
      <c r="E834" s="4">
        <v>0</v>
      </c>
      <c r="F834" s="4" t="s">
        <v>381</v>
      </c>
      <c r="G834" s="212">
        <f>+Rates!D186</f>
        <v>2.0099999999999998</v>
      </c>
      <c r="I834" s="183">
        <f t="shared" si="223"/>
        <v>0</v>
      </c>
      <c r="L834" s="4">
        <f t="shared" si="219"/>
        <v>0</v>
      </c>
      <c r="M834" s="4" t="s">
        <v>381</v>
      </c>
      <c r="N834" s="212">
        <f t="shared" si="220"/>
        <v>2.0263646754601212</v>
      </c>
      <c r="P834" s="183">
        <f t="shared" si="224"/>
        <v>0</v>
      </c>
      <c r="R834" s="177">
        <f t="shared" si="221"/>
        <v>0</v>
      </c>
      <c r="S834" s="152">
        <f t="shared" si="222"/>
        <v>0</v>
      </c>
    </row>
    <row r="835" spans="1:24" ht="14.1" customHeight="1" x14ac:dyDescent="0.2">
      <c r="A835" s="4">
        <v>9</v>
      </c>
      <c r="B835" s="4" t="s">
        <v>230</v>
      </c>
      <c r="E835" s="18">
        <v>0</v>
      </c>
      <c r="F835" s="4" t="s">
        <v>381</v>
      </c>
      <c r="G835" s="212">
        <f>+Rates!D187</f>
        <v>2.0099999999999998</v>
      </c>
      <c r="H835" s="9"/>
      <c r="I835" s="183">
        <f t="shared" si="223"/>
        <v>0</v>
      </c>
      <c r="J835" s="9"/>
      <c r="K835" s="149"/>
      <c r="L835" s="18">
        <f t="shared" si="219"/>
        <v>0</v>
      </c>
      <c r="M835" s="4" t="s">
        <v>381</v>
      </c>
      <c r="N835" s="212">
        <f t="shared" si="220"/>
        <v>2.0263646754601212</v>
      </c>
      <c r="P835" s="183">
        <f t="shared" si="224"/>
        <v>0</v>
      </c>
      <c r="R835" s="177">
        <f t="shared" si="221"/>
        <v>0</v>
      </c>
      <c r="S835" s="152">
        <f t="shared" si="222"/>
        <v>0</v>
      </c>
    </row>
    <row r="836" spans="1:24" ht="14.1" customHeight="1" x14ac:dyDescent="0.2">
      <c r="A836" s="4">
        <v>10</v>
      </c>
      <c r="E836" s="4">
        <f>+SUM(E830:E835)</f>
        <v>0</v>
      </c>
      <c r="I836" s="53">
        <f>SUM(I830:I835)</f>
        <v>0</v>
      </c>
      <c r="L836" s="4">
        <f>+SUM(L830:L835)</f>
        <v>0</v>
      </c>
      <c r="M836" s="4" t="s">
        <v>381</v>
      </c>
      <c r="P836" s="53">
        <f>SUM(P830:P835)</f>
        <v>0</v>
      </c>
      <c r="R836" s="177">
        <f t="shared" si="221"/>
        <v>0</v>
      </c>
      <c r="S836" s="152">
        <f t="shared" si="222"/>
        <v>0</v>
      </c>
    </row>
    <row r="837" spans="1:24" ht="14.1" customHeight="1" x14ac:dyDescent="0.2">
      <c r="A837" s="4">
        <v>11</v>
      </c>
      <c r="B837" s="186" t="s">
        <v>363</v>
      </c>
      <c r="I837" s="183"/>
      <c r="P837" s="183"/>
    </row>
    <row r="838" spans="1:24" ht="14.1" customHeight="1" x14ac:dyDescent="0.2">
      <c r="A838" s="4">
        <v>12</v>
      </c>
      <c r="B838" s="43" t="s">
        <v>189</v>
      </c>
      <c r="E838" s="4">
        <v>0</v>
      </c>
      <c r="F838" s="4" t="s">
        <v>381</v>
      </c>
      <c r="G838" s="212">
        <f>+Rates!D189</f>
        <v>-1.01</v>
      </c>
      <c r="I838" s="183">
        <f>G838*E838</f>
        <v>0</v>
      </c>
      <c r="L838" s="4">
        <f t="shared" ref="L838:L843" si="225">+E838</f>
        <v>0</v>
      </c>
      <c r="M838" s="4" t="s">
        <v>381</v>
      </c>
      <c r="N838" s="212">
        <f t="shared" ref="N838:N843" si="226">+G838*(1+$V$5)</f>
        <v>-1.0182230458779715</v>
      </c>
      <c r="P838" s="183">
        <f>N838*L838</f>
        <v>0</v>
      </c>
      <c r="R838" s="177">
        <f t="shared" ref="R838:R844" si="227">+P838-I838</f>
        <v>0</v>
      </c>
      <c r="S838" s="152">
        <f t="shared" ref="S838:S844" si="228">IF(R838=0,0,(P838-I838)/I838)</f>
        <v>0</v>
      </c>
    </row>
    <row r="839" spans="1:24" ht="14.1" customHeight="1" x14ac:dyDescent="0.2">
      <c r="A839" s="4">
        <v>13</v>
      </c>
      <c r="B839" s="43" t="s">
        <v>58</v>
      </c>
      <c r="E839" s="4">
        <v>0</v>
      </c>
      <c r="F839" s="4" t="s">
        <v>381</v>
      </c>
      <c r="G839" s="212">
        <f>+Rates!D190</f>
        <v>-1.01</v>
      </c>
      <c r="I839" s="183">
        <f t="shared" ref="I839:I843" si="229">G839*E839</f>
        <v>0</v>
      </c>
      <c r="L839" s="4">
        <f t="shared" si="225"/>
        <v>0</v>
      </c>
      <c r="M839" s="4" t="s">
        <v>381</v>
      </c>
      <c r="N839" s="212">
        <f t="shared" si="226"/>
        <v>-1.0182230458779715</v>
      </c>
      <c r="P839" s="183">
        <f t="shared" ref="P839:P843" si="230">N839*L839</f>
        <v>0</v>
      </c>
      <c r="R839" s="177">
        <f t="shared" si="227"/>
        <v>0</v>
      </c>
      <c r="S839" s="152">
        <f t="shared" si="228"/>
        <v>0</v>
      </c>
    </row>
    <row r="840" spans="1:24" ht="14.1" customHeight="1" x14ac:dyDescent="0.2">
      <c r="A840" s="4">
        <v>14</v>
      </c>
      <c r="B840" s="43" t="s">
        <v>59</v>
      </c>
      <c r="C840" s="186"/>
      <c r="E840" s="4">
        <v>0</v>
      </c>
      <c r="F840" s="4" t="s">
        <v>381</v>
      </c>
      <c r="G840" s="212">
        <f>+Rates!D191</f>
        <v>-1.01</v>
      </c>
      <c r="I840" s="183">
        <f t="shared" si="229"/>
        <v>0</v>
      </c>
      <c r="L840" s="4">
        <f t="shared" si="225"/>
        <v>0</v>
      </c>
      <c r="M840" s="4" t="s">
        <v>381</v>
      </c>
      <c r="N840" s="212">
        <f t="shared" si="226"/>
        <v>-1.0182230458779715</v>
      </c>
      <c r="P840" s="183">
        <f t="shared" si="230"/>
        <v>0</v>
      </c>
      <c r="R840" s="177">
        <f t="shared" si="227"/>
        <v>0</v>
      </c>
      <c r="S840" s="152">
        <f t="shared" si="228"/>
        <v>0</v>
      </c>
    </row>
    <row r="841" spans="1:24" ht="14.1" customHeight="1" x14ac:dyDescent="0.2">
      <c r="A841" s="4">
        <v>15</v>
      </c>
      <c r="B841" s="4" t="s">
        <v>228</v>
      </c>
      <c r="E841" s="4">
        <v>0</v>
      </c>
      <c r="F841" s="4" t="s">
        <v>381</v>
      </c>
      <c r="G841" s="212">
        <f>+Rates!D192</f>
        <v>-1.01</v>
      </c>
      <c r="I841" s="183">
        <f t="shared" si="229"/>
        <v>0</v>
      </c>
      <c r="L841" s="4">
        <f t="shared" si="225"/>
        <v>0</v>
      </c>
      <c r="M841" s="4" t="s">
        <v>381</v>
      </c>
      <c r="N841" s="212">
        <f t="shared" si="226"/>
        <v>-1.0182230458779715</v>
      </c>
      <c r="P841" s="183">
        <f t="shared" si="230"/>
        <v>0</v>
      </c>
      <c r="R841" s="177">
        <f t="shared" si="227"/>
        <v>0</v>
      </c>
      <c r="S841" s="152">
        <f t="shared" si="228"/>
        <v>0</v>
      </c>
    </row>
    <row r="842" spans="1:24" ht="14.1" customHeight="1" x14ac:dyDescent="0.2">
      <c r="A842" s="4">
        <v>16</v>
      </c>
      <c r="B842" s="4" t="s">
        <v>229</v>
      </c>
      <c r="E842" s="4">
        <v>0</v>
      </c>
      <c r="F842" s="4" t="s">
        <v>381</v>
      </c>
      <c r="G842" s="212">
        <f>+Rates!D193</f>
        <v>-1.01</v>
      </c>
      <c r="I842" s="183">
        <f t="shared" si="229"/>
        <v>0</v>
      </c>
      <c r="L842" s="4">
        <f t="shared" si="225"/>
        <v>0</v>
      </c>
      <c r="M842" s="4" t="s">
        <v>381</v>
      </c>
      <c r="N842" s="212">
        <f t="shared" si="226"/>
        <v>-1.0182230458779715</v>
      </c>
      <c r="P842" s="183">
        <f t="shared" si="230"/>
        <v>0</v>
      </c>
      <c r="R842" s="177">
        <f t="shared" si="227"/>
        <v>0</v>
      </c>
      <c r="S842" s="152">
        <f t="shared" si="228"/>
        <v>0</v>
      </c>
    </row>
    <row r="843" spans="1:24" ht="14.1" customHeight="1" x14ac:dyDescent="0.2">
      <c r="A843" s="4">
        <v>17</v>
      </c>
      <c r="B843" s="4" t="s">
        <v>230</v>
      </c>
      <c r="E843" s="18">
        <v>0</v>
      </c>
      <c r="F843" s="4" t="s">
        <v>381</v>
      </c>
      <c r="G843" s="212">
        <f>+Rates!D194</f>
        <v>-1.01</v>
      </c>
      <c r="I843" s="183">
        <f t="shared" si="229"/>
        <v>0</v>
      </c>
      <c r="L843" s="18">
        <f t="shared" si="225"/>
        <v>0</v>
      </c>
      <c r="M843" s="4" t="s">
        <v>381</v>
      </c>
      <c r="N843" s="212">
        <f t="shared" si="226"/>
        <v>-1.0182230458779715</v>
      </c>
      <c r="P843" s="183">
        <f t="shared" si="230"/>
        <v>0</v>
      </c>
      <c r="R843" s="177">
        <f t="shared" si="227"/>
        <v>0</v>
      </c>
      <c r="S843" s="152">
        <f t="shared" si="228"/>
        <v>0</v>
      </c>
    </row>
    <row r="844" spans="1:24" ht="14.1" customHeight="1" x14ac:dyDescent="0.2">
      <c r="A844" s="4">
        <v>18</v>
      </c>
      <c r="B844" s="186" t="s">
        <v>16</v>
      </c>
      <c r="C844" s="186"/>
      <c r="E844" s="4">
        <f>+SUM(E838:E843)</f>
        <v>0</v>
      </c>
      <c r="F844" s="4" t="s">
        <v>381</v>
      </c>
      <c r="I844" s="185">
        <f>SUM(I838:I843)</f>
        <v>0</v>
      </c>
      <c r="L844" s="4">
        <f>+SUM(L838:L843)</f>
        <v>0</v>
      </c>
      <c r="M844" s="4" t="s">
        <v>381</v>
      </c>
      <c r="N844" s="66"/>
      <c r="P844" s="185">
        <f>SUM(P838:P843)</f>
        <v>0</v>
      </c>
      <c r="R844" s="177">
        <f t="shared" si="227"/>
        <v>0</v>
      </c>
      <c r="S844" s="152">
        <f t="shared" si="228"/>
        <v>0</v>
      </c>
    </row>
    <row r="845" spans="1:24" ht="14.1" customHeight="1" x14ac:dyDescent="0.2">
      <c r="A845" s="4">
        <v>19</v>
      </c>
      <c r="I845" s="183"/>
      <c r="P845" s="183"/>
      <c r="S845" s="9"/>
    </row>
    <row r="846" spans="1:24" ht="14.1" customHeight="1" x14ac:dyDescent="0.2">
      <c r="A846" s="4">
        <v>20</v>
      </c>
      <c r="B846" s="4" t="s">
        <v>389</v>
      </c>
      <c r="I846" s="183"/>
      <c r="P846" s="183"/>
    </row>
    <row r="847" spans="1:24" ht="14.1" customHeight="1" x14ac:dyDescent="0.2">
      <c r="A847" s="4">
        <v>21</v>
      </c>
      <c r="B847" s="43" t="s">
        <v>58</v>
      </c>
      <c r="E847" s="4">
        <v>0</v>
      </c>
      <c r="F847" s="177" t="s">
        <v>44</v>
      </c>
      <c r="G847" s="212">
        <f>+Rates!D164</f>
        <v>-0.48275483010242831</v>
      </c>
      <c r="I847" s="177">
        <f>+G847*E847</f>
        <v>0</v>
      </c>
      <c r="L847" s="4">
        <f>+E847</f>
        <v>0</v>
      </c>
      <c r="M847" s="177" t="s">
        <v>44</v>
      </c>
      <c r="N847" s="212">
        <f>+G847*(1+$V$5)</f>
        <v>-0.48668524110811601</v>
      </c>
      <c r="P847" s="177">
        <f>+N847*L847</f>
        <v>0</v>
      </c>
      <c r="R847" s="177">
        <f t="shared" ref="R847:R850" si="231">+P847-I847</f>
        <v>0</v>
      </c>
      <c r="S847" s="152">
        <f t="shared" ref="S847:S850" si="232">IF(R847=0,0,(P847-I847)/I847)</f>
        <v>0</v>
      </c>
    </row>
    <row r="848" spans="1:24" ht="14.1" customHeight="1" x14ac:dyDescent="0.2">
      <c r="A848" s="4">
        <v>22</v>
      </c>
      <c r="B848" s="43" t="s">
        <v>59</v>
      </c>
      <c r="E848" s="4">
        <v>0</v>
      </c>
      <c r="F848" s="177" t="s">
        <v>44</v>
      </c>
      <c r="G848" s="212">
        <f>+Rates!D165</f>
        <v>-2.0463240776089906</v>
      </c>
      <c r="I848" s="177">
        <f>+G848*E848</f>
        <v>0</v>
      </c>
      <c r="L848" s="4">
        <f t="shared" ref="L848:L850" si="233">+E848</f>
        <v>0</v>
      </c>
      <c r="M848" s="177" t="s">
        <v>44</v>
      </c>
      <c r="N848" s="212">
        <f>+G848*(1+$V$5)</f>
        <v>-2.0629844902539176</v>
      </c>
      <c r="P848" s="177">
        <f>+N848*L848</f>
        <v>0</v>
      </c>
      <c r="R848" s="177">
        <f t="shared" si="231"/>
        <v>0</v>
      </c>
      <c r="S848" s="152">
        <f t="shared" si="232"/>
        <v>0</v>
      </c>
      <c r="W848" s="5"/>
      <c r="X848" s="5"/>
    </row>
    <row r="849" spans="1:19" ht="14.1" customHeight="1" x14ac:dyDescent="0.2">
      <c r="A849" s="4">
        <v>23</v>
      </c>
      <c r="B849" s="4" t="s">
        <v>229</v>
      </c>
      <c r="E849" s="4">
        <v>0</v>
      </c>
      <c r="F849" s="177" t="s">
        <v>44</v>
      </c>
      <c r="G849" s="212">
        <f>+Rates!D166</f>
        <v>-0.48275483010242831</v>
      </c>
      <c r="I849" s="177">
        <f>+G849*E849</f>
        <v>0</v>
      </c>
      <c r="L849" s="4">
        <f t="shared" si="233"/>
        <v>0</v>
      </c>
      <c r="M849" s="177" t="s">
        <v>44</v>
      </c>
      <c r="N849" s="212">
        <f>+G849*(1+$V$5)</f>
        <v>-0.48668524110811601</v>
      </c>
      <c r="P849" s="177">
        <f>+N849*L849</f>
        <v>0</v>
      </c>
      <c r="R849" s="177">
        <f t="shared" si="231"/>
        <v>0</v>
      </c>
      <c r="S849" s="152">
        <f t="shared" si="232"/>
        <v>0</v>
      </c>
    </row>
    <row r="850" spans="1:19" ht="14.1" customHeight="1" x14ac:dyDescent="0.2">
      <c r="A850" s="4">
        <v>24</v>
      </c>
      <c r="B850" s="4" t="s">
        <v>230</v>
      </c>
      <c r="E850" s="4">
        <v>0</v>
      </c>
      <c r="F850" s="177" t="s">
        <v>44</v>
      </c>
      <c r="G850" s="212">
        <f>+Rates!D167</f>
        <v>-2.0463240776089906</v>
      </c>
      <c r="I850" s="177">
        <f>+G850*E850</f>
        <v>0</v>
      </c>
      <c r="L850" s="4">
        <f t="shared" si="233"/>
        <v>0</v>
      </c>
      <c r="M850" s="177" t="s">
        <v>44</v>
      </c>
      <c r="N850" s="212">
        <f>+G850*(1+$V$5)</f>
        <v>-2.0629844902539176</v>
      </c>
      <c r="P850" s="177">
        <f>+N850*L850</f>
        <v>0</v>
      </c>
      <c r="R850" s="177">
        <f t="shared" si="231"/>
        <v>0</v>
      </c>
      <c r="S850" s="152">
        <f t="shared" si="232"/>
        <v>0</v>
      </c>
    </row>
    <row r="851" spans="1:19" ht="14.1" customHeight="1" x14ac:dyDescent="0.2">
      <c r="A851" s="4">
        <v>25</v>
      </c>
    </row>
    <row r="852" spans="1:19" ht="14.1" customHeight="1" x14ac:dyDescent="0.2">
      <c r="A852" s="4">
        <v>26</v>
      </c>
      <c r="B852" s="4" t="s">
        <v>390</v>
      </c>
      <c r="I852" s="183"/>
      <c r="P852" s="183"/>
    </row>
    <row r="853" spans="1:19" ht="14.1" customHeight="1" x14ac:dyDescent="0.2">
      <c r="A853" s="4">
        <v>27</v>
      </c>
      <c r="B853" s="4" t="s">
        <v>652</v>
      </c>
      <c r="E853" s="4">
        <v>0</v>
      </c>
      <c r="F853" s="4" t="s">
        <v>44</v>
      </c>
      <c r="G853" s="212">
        <f>+Rates!D169</f>
        <v>-1.29</v>
      </c>
      <c r="I853" s="177">
        <f t="shared" ref="I853:I854" si="234">+G853*E853</f>
        <v>0</v>
      </c>
      <c r="L853" s="4">
        <f t="shared" ref="L853:L856" si="235">+E853</f>
        <v>0</v>
      </c>
      <c r="M853" s="177" t="s">
        <v>44</v>
      </c>
      <c r="N853" s="212">
        <f>+G853*(1+$V$5)</f>
        <v>-1.3005027021609734</v>
      </c>
      <c r="P853" s="177">
        <f t="shared" ref="P853:P854" si="236">+N853*L853</f>
        <v>0</v>
      </c>
      <c r="R853" s="177">
        <f t="shared" ref="R853:R857" si="237">+P853-I853</f>
        <v>0</v>
      </c>
      <c r="S853" s="152">
        <f t="shared" ref="S853:S857" si="238">IF(R853=0,0,(P853-I853)/I853)</f>
        <v>0</v>
      </c>
    </row>
    <row r="854" spans="1:19" ht="14.1" customHeight="1" x14ac:dyDescent="0.2">
      <c r="A854" s="4">
        <v>28</v>
      </c>
      <c r="B854" s="4" t="s">
        <v>644</v>
      </c>
      <c r="E854" s="4">
        <v>0</v>
      </c>
      <c r="F854" s="4" t="s">
        <v>44</v>
      </c>
      <c r="G854" s="212">
        <f>+Rates!D170</f>
        <v>-1.7</v>
      </c>
      <c r="I854" s="177">
        <f t="shared" si="234"/>
        <v>0</v>
      </c>
      <c r="L854" s="4">
        <f t="shared" si="235"/>
        <v>0</v>
      </c>
      <c r="M854" s="177" t="s">
        <v>44</v>
      </c>
      <c r="N854" s="212">
        <f>+G854*(1+$V$5)</f>
        <v>-1.7138407702896548</v>
      </c>
      <c r="P854" s="177">
        <f t="shared" si="236"/>
        <v>0</v>
      </c>
      <c r="R854" s="177">
        <f t="shared" si="237"/>
        <v>0</v>
      </c>
      <c r="S854" s="152">
        <f t="shared" si="238"/>
        <v>0</v>
      </c>
    </row>
    <row r="855" spans="1:19" ht="14.1" customHeight="1" x14ac:dyDescent="0.2">
      <c r="A855" s="4">
        <v>29</v>
      </c>
      <c r="B855" s="4" t="s">
        <v>229</v>
      </c>
      <c r="E855" s="4">
        <v>0</v>
      </c>
      <c r="F855" s="177" t="s">
        <v>44</v>
      </c>
      <c r="G855" s="212">
        <f>+Rates!D171</f>
        <v>-1.29</v>
      </c>
      <c r="I855" s="177">
        <f>+G855*E855</f>
        <v>0</v>
      </c>
      <c r="L855" s="4">
        <f t="shared" si="235"/>
        <v>0</v>
      </c>
      <c r="M855" s="177" t="s">
        <v>44</v>
      </c>
      <c r="N855" s="212">
        <f>+G855*(1+$V$5)</f>
        <v>-1.3005027021609734</v>
      </c>
      <c r="P855" s="177">
        <f>+N855*L855</f>
        <v>0</v>
      </c>
      <c r="R855" s="177">
        <f t="shared" si="237"/>
        <v>0</v>
      </c>
      <c r="S855" s="152">
        <f t="shared" si="238"/>
        <v>0</v>
      </c>
    </row>
    <row r="856" spans="1:19" ht="14.1" customHeight="1" x14ac:dyDescent="0.2">
      <c r="A856" s="4">
        <v>30</v>
      </c>
      <c r="B856" s="4" t="s">
        <v>230</v>
      </c>
      <c r="E856" s="18">
        <v>0</v>
      </c>
      <c r="F856" s="177" t="s">
        <v>44</v>
      </c>
      <c r="G856" s="212">
        <f>+Rates!D172</f>
        <v>-1.7</v>
      </c>
      <c r="I856" s="177">
        <f>+G856*E856</f>
        <v>0</v>
      </c>
      <c r="L856" s="18">
        <f t="shared" si="235"/>
        <v>0</v>
      </c>
      <c r="M856" s="177" t="s">
        <v>44</v>
      </c>
      <c r="N856" s="212">
        <f>+G856*(1+$V$5)</f>
        <v>-1.7138407702896548</v>
      </c>
      <c r="P856" s="177">
        <f>+N856*L856</f>
        <v>0</v>
      </c>
      <c r="R856" s="177">
        <f t="shared" si="237"/>
        <v>0</v>
      </c>
      <c r="S856" s="152">
        <f t="shared" si="238"/>
        <v>0</v>
      </c>
    </row>
    <row r="857" spans="1:19" ht="14.1" customHeight="1" x14ac:dyDescent="0.2">
      <c r="A857" s="4">
        <v>31</v>
      </c>
      <c r="B857" s="186" t="s">
        <v>16</v>
      </c>
      <c r="C857" s="188"/>
      <c r="D857" s="9"/>
      <c r="E857" s="4">
        <f>+SUM(E847:E850)+SUM(E853:E856)</f>
        <v>0</v>
      </c>
      <c r="F857" s="177" t="s">
        <v>44</v>
      </c>
      <c r="G857" s="177"/>
      <c r="H857" s="177"/>
      <c r="I857" s="185">
        <f>SUM(I853:I856)+SUM(I847:I850)</f>
        <v>0</v>
      </c>
      <c r="J857" s="177"/>
      <c r="K857" s="173"/>
      <c r="L857" s="4">
        <f>+SUM(L847:L850)+SUM(L853:L856)</f>
        <v>0</v>
      </c>
      <c r="M857" s="177" t="s">
        <v>44</v>
      </c>
      <c r="N857" s="177"/>
      <c r="O857" s="177"/>
      <c r="P857" s="185">
        <f>SUM(P853:P856)+SUM(P847:P850)</f>
        <v>0</v>
      </c>
      <c r="R857" s="177">
        <f t="shared" si="237"/>
        <v>0</v>
      </c>
      <c r="S857" s="152">
        <f t="shared" si="238"/>
        <v>0</v>
      </c>
    </row>
    <row r="858" spans="1:19" ht="14.1" customHeight="1" x14ac:dyDescent="0.2">
      <c r="A858" s="4">
        <v>32</v>
      </c>
      <c r="E858" s="5"/>
      <c r="I858" s="6"/>
      <c r="L858" s="5"/>
      <c r="P858" s="6"/>
      <c r="S858" s="180"/>
    </row>
    <row r="859" spans="1:19" ht="14.1" customHeight="1" x14ac:dyDescent="0.2">
      <c r="A859" s="4">
        <v>33</v>
      </c>
      <c r="E859" s="5"/>
      <c r="I859" s="6"/>
      <c r="L859" s="5"/>
      <c r="P859" s="6"/>
      <c r="S859" s="180"/>
    </row>
    <row r="860" spans="1:19" ht="14.1" customHeight="1" x14ac:dyDescent="0.2">
      <c r="A860" s="4">
        <v>34</v>
      </c>
      <c r="E860" s="5"/>
      <c r="I860" s="6"/>
      <c r="L860" s="5"/>
      <c r="P860" s="6"/>
      <c r="S860" s="180"/>
    </row>
    <row r="861" spans="1:19" ht="14.1" customHeight="1" x14ac:dyDescent="0.2">
      <c r="A861" s="4">
        <v>35</v>
      </c>
      <c r="E861" s="5"/>
      <c r="I861" s="6"/>
      <c r="L861" s="5"/>
      <c r="P861" s="6"/>
      <c r="S861" s="180"/>
    </row>
    <row r="862" spans="1:19" ht="14.1" customHeight="1" x14ac:dyDescent="0.2">
      <c r="A862" s="4">
        <v>36</v>
      </c>
      <c r="E862" s="5"/>
      <c r="I862" s="6"/>
      <c r="L862" s="5"/>
      <c r="P862" s="6"/>
      <c r="S862" s="180"/>
    </row>
    <row r="863" spans="1:19" ht="14.1" customHeight="1" x14ac:dyDescent="0.2">
      <c r="A863" s="4">
        <v>37</v>
      </c>
      <c r="E863" s="5"/>
      <c r="I863" s="6"/>
      <c r="L863" s="5"/>
      <c r="P863" s="6"/>
      <c r="S863" s="180"/>
    </row>
    <row r="864" spans="1:19" ht="14.1" customHeight="1" x14ac:dyDescent="0.2">
      <c r="A864" s="4">
        <v>38</v>
      </c>
      <c r="E864" s="5"/>
      <c r="I864" s="6"/>
      <c r="L864" s="5"/>
      <c r="P864" s="6"/>
      <c r="S864" s="180"/>
    </row>
    <row r="865" spans="1:19" ht="14.1" customHeight="1" thickBot="1" x14ac:dyDescent="0.25">
      <c r="A865" s="16">
        <v>39</v>
      </c>
      <c r="B865" s="16"/>
      <c r="C865" s="16"/>
      <c r="D865" s="16"/>
      <c r="E865" s="16"/>
      <c r="F865" s="16"/>
      <c r="G865" s="16"/>
      <c r="H865" s="16"/>
      <c r="I865" s="16"/>
      <c r="J865" s="16"/>
      <c r="K865" s="151"/>
      <c r="L865" s="16"/>
      <c r="M865" s="16"/>
      <c r="N865" s="16"/>
      <c r="O865" s="16"/>
      <c r="P865" s="16"/>
      <c r="Q865" s="16"/>
      <c r="R865" s="16"/>
      <c r="S865" s="150"/>
    </row>
    <row r="866" spans="1:19" ht="14.1" customHeight="1" x14ac:dyDescent="0.2">
      <c r="S866" s="4" t="str">
        <f>+$S$109</f>
        <v>Recap Schedules:  E-13a</v>
      </c>
    </row>
    <row r="867" spans="1:19" ht="14.1" customHeight="1" x14ac:dyDescent="0.2">
      <c r="H867" s="292" t="s">
        <v>768</v>
      </c>
      <c r="I867" s="292"/>
      <c r="J867" s="292"/>
      <c r="K867" s="292"/>
      <c r="L867" s="292"/>
    </row>
    <row r="868" spans="1:19" ht="14.1" customHeight="1" thickBot="1" x14ac:dyDescent="0.25">
      <c r="A868" s="16" t="s">
        <v>7</v>
      </c>
      <c r="B868" s="16"/>
      <c r="C868" s="16"/>
      <c r="D868" s="16"/>
      <c r="E868" s="16"/>
      <c r="F868" s="16"/>
      <c r="G868" s="16"/>
      <c r="H868" s="301" t="s">
        <v>380</v>
      </c>
      <c r="I868" s="301"/>
      <c r="J868" s="301"/>
      <c r="K868" s="301"/>
      <c r="L868" s="301"/>
      <c r="M868" s="16"/>
      <c r="N868" s="16"/>
      <c r="O868" s="16"/>
      <c r="P868" s="16"/>
      <c r="Q868" s="16"/>
      <c r="R868" s="16"/>
      <c r="S868" s="150" t="str">
        <f>"Page " &amp; INT(ROW()/$R$1 +1)  &amp; "  of " &amp; S$1</f>
        <v>Page 17  of 19</v>
      </c>
    </row>
    <row r="869" spans="1:19" ht="14.1" customHeight="1" x14ac:dyDescent="0.2">
      <c r="A869" s="4" t="s">
        <v>21</v>
      </c>
      <c r="E869" s="4" t="s">
        <v>761</v>
      </c>
      <c r="G869" s="4" t="s">
        <v>766</v>
      </c>
      <c r="K869" s="285"/>
      <c r="L869" s="56"/>
      <c r="N869" s="56"/>
      <c r="O869" s="56"/>
      <c r="P869" s="56" t="s">
        <v>663</v>
      </c>
      <c r="S869" s="22"/>
    </row>
    <row r="870" spans="1:19" ht="14.1" customHeight="1" x14ac:dyDescent="0.2">
      <c r="G870" s="4" t="s">
        <v>767</v>
      </c>
      <c r="K870" s="284"/>
      <c r="L870" s="22"/>
      <c r="O870" s="21"/>
      <c r="P870" s="21"/>
      <c r="Q870" s="22" t="s">
        <v>764</v>
      </c>
      <c r="S870" s="21"/>
    </row>
    <row r="871" spans="1:19" ht="14.1" customHeight="1" x14ac:dyDescent="0.2">
      <c r="A871" s="4" t="s">
        <v>29</v>
      </c>
      <c r="G871" s="4" t="s">
        <v>770</v>
      </c>
      <c r="K871" s="284"/>
      <c r="L871" s="22"/>
      <c r="M871" s="21"/>
      <c r="P871" s="21"/>
      <c r="Q871" s="22" t="s">
        <v>765</v>
      </c>
      <c r="S871" s="21"/>
    </row>
    <row r="872" spans="1:19" ht="14.1" customHeight="1" x14ac:dyDescent="0.2">
      <c r="G872" s="4" t="s">
        <v>769</v>
      </c>
      <c r="K872" s="284"/>
      <c r="L872" s="22"/>
      <c r="M872" s="21"/>
      <c r="P872" s="21"/>
      <c r="Q872" s="22"/>
      <c r="S872" s="21"/>
    </row>
    <row r="873" spans="1:19" ht="14.1" customHeight="1" x14ac:dyDescent="0.2">
      <c r="C873" s="21"/>
      <c r="H873" s="10"/>
      <c r="I873" s="10"/>
      <c r="J873" s="10"/>
      <c r="K873" s="284"/>
      <c r="Q873" s="4" t="s">
        <v>738</v>
      </c>
    </row>
    <row r="874" spans="1:19" ht="14.1" customHeight="1" thickBot="1" x14ac:dyDescent="0.25">
      <c r="A874" s="16"/>
      <c r="B874" s="16"/>
      <c r="C874" s="150"/>
      <c r="D874" s="101"/>
      <c r="E874" s="101"/>
      <c r="F874" s="101"/>
      <c r="G874" s="102"/>
      <c r="H874" s="101"/>
      <c r="I874" s="101"/>
      <c r="J874" s="101"/>
      <c r="K874" s="101"/>
      <c r="L874" s="101"/>
      <c r="M874" s="101"/>
      <c r="N874" s="101"/>
      <c r="O874" s="101"/>
      <c r="P874" s="101"/>
      <c r="Q874" s="101"/>
      <c r="R874" s="101"/>
      <c r="S874" s="101"/>
    </row>
    <row r="875" spans="1:19" ht="14.1" customHeight="1" x14ac:dyDescent="0.2">
      <c r="E875" s="10"/>
      <c r="G875" s="10"/>
      <c r="H875" s="103"/>
      <c r="I875" s="10"/>
      <c r="K875" s="10"/>
      <c r="M875" s="103"/>
    </row>
    <row r="876" spans="1:19" ht="14.1" customHeight="1" x14ac:dyDescent="0.2">
      <c r="A876" s="9"/>
      <c r="B876" s="92"/>
      <c r="C876" s="92"/>
      <c r="D876" s="1"/>
      <c r="E876" s="39"/>
      <c r="F876" s="1"/>
      <c r="G876" s="1"/>
      <c r="H876" s="39"/>
      <c r="I876" s="1"/>
      <c r="J876" s="1"/>
      <c r="K876" s="3"/>
      <c r="L876" s="1"/>
      <c r="M876" s="39"/>
      <c r="N876" s="1"/>
      <c r="O876" s="1"/>
      <c r="P876" s="1"/>
      <c r="Q876" s="1"/>
      <c r="R876" s="1"/>
      <c r="S876" s="1"/>
    </row>
    <row r="877" spans="1:19" ht="14.1" customHeight="1" x14ac:dyDescent="0.2">
      <c r="A877" s="9"/>
      <c r="B877" s="92"/>
      <c r="C877" s="1"/>
      <c r="D877" s="1"/>
      <c r="E877" s="1"/>
      <c r="F877" s="39"/>
      <c r="G877" s="39"/>
      <c r="H877" s="40"/>
      <c r="I877" s="40" t="s">
        <v>14</v>
      </c>
      <c r="J877" s="3"/>
      <c r="K877" s="41" t="str">
        <f>K715</f>
        <v>SBD/SBDT</v>
      </c>
      <c r="L877" s="39"/>
      <c r="M877" s="1"/>
      <c r="N877" s="39"/>
      <c r="O877" s="39"/>
      <c r="P877" s="39"/>
      <c r="Q877" s="39"/>
      <c r="R877" s="39"/>
      <c r="S877" s="1"/>
    </row>
    <row r="878" spans="1:19" ht="14.1" customHeight="1" x14ac:dyDescent="0.2">
      <c r="A878" s="9"/>
      <c r="B878" s="92"/>
      <c r="C878" s="1"/>
      <c r="D878" s="1"/>
      <c r="E878" s="1"/>
      <c r="F878" s="39"/>
      <c r="G878" s="39"/>
      <c r="H878" s="39"/>
      <c r="I878" s="39"/>
      <c r="J878" s="39"/>
      <c r="K878" s="3"/>
      <c r="L878" s="39"/>
      <c r="M878" s="39"/>
      <c r="N878" s="39"/>
      <c r="O878" s="39"/>
      <c r="P878" s="39"/>
      <c r="Q878" s="39"/>
      <c r="R878" s="39"/>
      <c r="S878" s="39"/>
    </row>
    <row r="879" spans="1:19" ht="14.1" customHeight="1" x14ac:dyDescent="0.2">
      <c r="A879" s="149" t="s">
        <v>26</v>
      </c>
      <c r="B879" s="176" t="s">
        <v>5</v>
      </c>
      <c r="C879" s="216"/>
      <c r="D879" s="213"/>
      <c r="E879" s="192"/>
      <c r="F879" s="192"/>
      <c r="G879" s="267" t="s">
        <v>8</v>
      </c>
      <c r="H879" s="192"/>
      <c r="I879" s="192"/>
      <c r="J879" s="216"/>
      <c r="K879" s="187"/>
      <c r="L879" s="192"/>
      <c r="M879" s="267"/>
      <c r="N879" s="267" t="s">
        <v>9</v>
      </c>
      <c r="O879" s="192"/>
      <c r="P879" s="192"/>
      <c r="Q879" s="216"/>
      <c r="R879" s="290" t="s">
        <v>750</v>
      </c>
      <c r="S879" s="290" t="s">
        <v>752</v>
      </c>
    </row>
    <row r="880" spans="1:19" ht="14.1" customHeight="1" thickBot="1" x14ac:dyDescent="0.25">
      <c r="A880" s="151" t="s">
        <v>28</v>
      </c>
      <c r="B880" s="175" t="s">
        <v>10</v>
      </c>
      <c r="C880" s="215"/>
      <c r="D880" s="44"/>
      <c r="E880" s="151" t="s">
        <v>11</v>
      </c>
      <c r="F880" s="194"/>
      <c r="G880" s="194" t="s">
        <v>12</v>
      </c>
      <c r="H880" s="194"/>
      <c r="I880" s="194" t="s">
        <v>13</v>
      </c>
      <c r="J880" s="194"/>
      <c r="K880" s="194"/>
      <c r="L880" s="194" t="s">
        <v>11</v>
      </c>
      <c r="M880" s="194"/>
      <c r="N880" s="194" t="s">
        <v>12</v>
      </c>
      <c r="O880" s="194"/>
      <c r="P880" s="194" t="s">
        <v>13</v>
      </c>
      <c r="Q880" s="215"/>
      <c r="R880" s="291" t="s">
        <v>751</v>
      </c>
      <c r="S880" s="291" t="s">
        <v>4</v>
      </c>
    </row>
    <row r="881" spans="1:19" ht="14.1" customHeight="1" x14ac:dyDescent="0.2">
      <c r="A881" s="4">
        <v>1</v>
      </c>
      <c r="B881" s="302" t="s">
        <v>262</v>
      </c>
      <c r="C881" s="302"/>
      <c r="D881" s="302"/>
      <c r="F881" s="188"/>
      <c r="G881" s="188"/>
      <c r="H881" s="188"/>
      <c r="I881" s="188"/>
      <c r="J881" s="186"/>
      <c r="K881" s="187"/>
      <c r="L881" s="186"/>
      <c r="M881" s="188"/>
      <c r="N881" s="188"/>
      <c r="O881" s="188"/>
      <c r="P881" s="188"/>
      <c r="Q881" s="188"/>
      <c r="R881" s="188"/>
      <c r="S881" s="188"/>
    </row>
    <row r="882" spans="1:19" ht="14.1" customHeight="1" x14ac:dyDescent="0.2">
      <c r="A882" s="4">
        <v>2</v>
      </c>
    </row>
    <row r="883" spans="1:19" ht="14.1" customHeight="1" x14ac:dyDescent="0.2">
      <c r="A883" s="4">
        <v>3</v>
      </c>
      <c r="B883" s="186" t="s">
        <v>366</v>
      </c>
      <c r="D883" s="9"/>
      <c r="E883" s="6"/>
      <c r="F883" s="177"/>
      <c r="G883" s="177"/>
      <c r="H883" s="177"/>
      <c r="I883" s="177"/>
      <c r="J883" s="177"/>
      <c r="K883" s="173"/>
      <c r="L883" s="6"/>
      <c r="M883" s="177"/>
      <c r="N883" s="177"/>
      <c r="O883" s="177"/>
      <c r="P883" s="177"/>
      <c r="S883" s="180"/>
    </row>
    <row r="884" spans="1:19" ht="14.1" customHeight="1" x14ac:dyDescent="0.2">
      <c r="A884" s="4">
        <v>4</v>
      </c>
      <c r="B884" s="43" t="s">
        <v>189</v>
      </c>
      <c r="C884" s="186"/>
      <c r="D884" s="9"/>
      <c r="E884" s="4">
        <v>0</v>
      </c>
      <c r="F884" s="177" t="s">
        <v>44</v>
      </c>
      <c r="G884" s="179">
        <f>+Rates!D174</f>
        <v>0.67480378207017755</v>
      </c>
      <c r="H884" s="177"/>
      <c r="I884" s="177">
        <f>G884*E884</f>
        <v>0</v>
      </c>
      <c r="J884" s="177"/>
      <c r="K884" s="173"/>
      <c r="L884" s="4">
        <f>E884</f>
        <v>0</v>
      </c>
      <c r="M884" s="177" t="s">
        <v>44</v>
      </c>
      <c r="N884" s="212">
        <f t="shared" ref="N884:N889" si="239">+G884*(1+$V$5)</f>
        <v>0.68029778450442679</v>
      </c>
      <c r="O884" s="177"/>
      <c r="P884" s="177">
        <f>N884*L884</f>
        <v>0</v>
      </c>
      <c r="R884" s="177">
        <f t="shared" ref="R884:R890" si="240">+P884-I884</f>
        <v>0</v>
      </c>
      <c r="S884" s="152">
        <f t="shared" ref="S884:S890" si="241">IF(R884=0,0,(P884-I884)/I884)</f>
        <v>0</v>
      </c>
    </row>
    <row r="885" spans="1:19" ht="14.1" customHeight="1" x14ac:dyDescent="0.2">
      <c r="A885" s="4">
        <v>5</v>
      </c>
      <c r="B885" s="43" t="s">
        <v>58</v>
      </c>
      <c r="C885" s="186"/>
      <c r="D885" s="9"/>
      <c r="E885" s="4">
        <v>0</v>
      </c>
      <c r="F885" s="177" t="s">
        <v>44</v>
      </c>
      <c r="G885" s="179">
        <f>+Rates!D175</f>
        <v>0.67480378207017755</v>
      </c>
      <c r="H885" s="177"/>
      <c r="I885" s="177">
        <f t="shared" ref="I885:I889" si="242">G885*E885</f>
        <v>0</v>
      </c>
      <c r="J885" s="177"/>
      <c r="K885" s="173"/>
      <c r="L885" s="4">
        <f t="shared" ref="L885:L890" si="243">E885</f>
        <v>0</v>
      </c>
      <c r="M885" s="177" t="s">
        <v>44</v>
      </c>
      <c r="N885" s="212">
        <f t="shared" si="239"/>
        <v>0.68029778450442679</v>
      </c>
      <c r="O885" s="177"/>
      <c r="P885" s="177">
        <f t="shared" ref="P885:P889" si="244">N885*L885</f>
        <v>0</v>
      </c>
      <c r="R885" s="177">
        <f t="shared" si="240"/>
        <v>0</v>
      </c>
      <c r="S885" s="152">
        <f t="shared" si="241"/>
        <v>0</v>
      </c>
    </row>
    <row r="886" spans="1:19" ht="14.1" customHeight="1" x14ac:dyDescent="0.2">
      <c r="A886" s="4">
        <v>6</v>
      </c>
      <c r="B886" s="43" t="s">
        <v>59</v>
      </c>
      <c r="D886" s="9"/>
      <c r="E886" s="4">
        <v>0</v>
      </c>
      <c r="F886" s="177" t="s">
        <v>44</v>
      </c>
      <c r="G886" s="179">
        <f>+Rates!D176</f>
        <v>0.67480378207017755</v>
      </c>
      <c r="H886" s="177"/>
      <c r="I886" s="177">
        <f t="shared" si="242"/>
        <v>0</v>
      </c>
      <c r="J886" s="177"/>
      <c r="K886" s="173"/>
      <c r="L886" s="4">
        <f t="shared" si="243"/>
        <v>0</v>
      </c>
      <c r="M886" s="177" t="s">
        <v>44</v>
      </c>
      <c r="N886" s="212">
        <f t="shared" si="239"/>
        <v>0.68029778450442679</v>
      </c>
      <c r="O886" s="177"/>
      <c r="P886" s="177">
        <f t="shared" si="244"/>
        <v>0</v>
      </c>
      <c r="R886" s="177">
        <f t="shared" si="240"/>
        <v>0</v>
      </c>
      <c r="S886" s="152">
        <f t="shared" si="241"/>
        <v>0</v>
      </c>
    </row>
    <row r="887" spans="1:19" ht="14.1" customHeight="1" x14ac:dyDescent="0.2">
      <c r="A887" s="4">
        <v>7</v>
      </c>
      <c r="B887" s="4" t="s">
        <v>228</v>
      </c>
      <c r="D887" s="9"/>
      <c r="E887" s="4">
        <v>0</v>
      </c>
      <c r="F887" s="177" t="s">
        <v>44</v>
      </c>
      <c r="G887" s="179">
        <f>+Rates!D177</f>
        <v>0.67480378207017755</v>
      </c>
      <c r="H887" s="177"/>
      <c r="I887" s="177">
        <f t="shared" si="242"/>
        <v>0</v>
      </c>
      <c r="J887" s="177"/>
      <c r="K887" s="173"/>
      <c r="L887" s="4">
        <f t="shared" si="243"/>
        <v>0</v>
      </c>
      <c r="M887" s="177" t="s">
        <v>44</v>
      </c>
      <c r="N887" s="212">
        <f t="shared" si="239"/>
        <v>0.68029778450442679</v>
      </c>
      <c r="O887" s="177"/>
      <c r="P887" s="177">
        <f t="shared" si="244"/>
        <v>0</v>
      </c>
      <c r="R887" s="177">
        <f t="shared" si="240"/>
        <v>0</v>
      </c>
      <c r="S887" s="152">
        <f t="shared" si="241"/>
        <v>0</v>
      </c>
    </row>
    <row r="888" spans="1:19" ht="14.1" customHeight="1" x14ac:dyDescent="0.2">
      <c r="A888" s="4">
        <v>8</v>
      </c>
      <c r="B888" s="4" t="s">
        <v>229</v>
      </c>
      <c r="D888" s="9"/>
      <c r="E888" s="4">
        <v>0</v>
      </c>
      <c r="F888" s="177" t="s">
        <v>44</v>
      </c>
      <c r="G888" s="179">
        <f>+Rates!D178</f>
        <v>0.67480378207017755</v>
      </c>
      <c r="H888" s="177"/>
      <c r="I888" s="177">
        <f t="shared" si="242"/>
        <v>0</v>
      </c>
      <c r="J888" s="177"/>
      <c r="K888" s="173"/>
      <c r="L888" s="4">
        <f t="shared" si="243"/>
        <v>0</v>
      </c>
      <c r="M888" s="177" t="s">
        <v>44</v>
      </c>
      <c r="N888" s="212">
        <f t="shared" si="239"/>
        <v>0.68029778450442679</v>
      </c>
      <c r="O888" s="177"/>
      <c r="P888" s="177">
        <f t="shared" si="244"/>
        <v>0</v>
      </c>
      <c r="R888" s="177">
        <f t="shared" si="240"/>
        <v>0</v>
      </c>
      <c r="S888" s="152">
        <f t="shared" si="241"/>
        <v>0</v>
      </c>
    </row>
    <row r="889" spans="1:19" ht="14.1" customHeight="1" x14ac:dyDescent="0.2">
      <c r="A889" s="4">
        <v>9</v>
      </c>
      <c r="B889" s="4" t="s">
        <v>230</v>
      </c>
      <c r="E889" s="18">
        <v>0</v>
      </c>
      <c r="F889" s="177" t="s">
        <v>44</v>
      </c>
      <c r="G889" s="179">
        <f>+Rates!D179</f>
        <v>0.67480378207017755</v>
      </c>
      <c r="I889" s="177">
        <f t="shared" si="242"/>
        <v>0</v>
      </c>
      <c r="L889" s="18">
        <f t="shared" si="243"/>
        <v>0</v>
      </c>
      <c r="M889" s="177" t="s">
        <v>44</v>
      </c>
      <c r="N889" s="212">
        <f t="shared" si="239"/>
        <v>0.68029778450442679</v>
      </c>
      <c r="P889" s="177">
        <f t="shared" si="244"/>
        <v>0</v>
      </c>
      <c r="R889" s="177">
        <f t="shared" si="240"/>
        <v>0</v>
      </c>
      <c r="S889" s="152">
        <f t="shared" si="241"/>
        <v>0</v>
      </c>
    </row>
    <row r="890" spans="1:19" ht="14.1" customHeight="1" x14ac:dyDescent="0.2">
      <c r="A890" s="4">
        <v>10</v>
      </c>
      <c r="E890" s="4">
        <v>0</v>
      </c>
      <c r="F890" s="177" t="s">
        <v>44</v>
      </c>
      <c r="I890" s="53">
        <f>SUM(I884:I889)</f>
        <v>0</v>
      </c>
      <c r="L890" s="4">
        <f t="shared" si="243"/>
        <v>0</v>
      </c>
      <c r="M890" s="177" t="s">
        <v>44</v>
      </c>
      <c r="P890" s="53">
        <f>SUM(P884:P889)</f>
        <v>0</v>
      </c>
      <c r="R890" s="177">
        <f t="shared" si="240"/>
        <v>0</v>
      </c>
      <c r="S890" s="152">
        <f t="shared" si="241"/>
        <v>0</v>
      </c>
    </row>
    <row r="891" spans="1:19" ht="14.1" customHeight="1" x14ac:dyDescent="0.2">
      <c r="A891" s="4">
        <v>11</v>
      </c>
    </row>
    <row r="892" spans="1:19" ht="14.1" customHeight="1" x14ac:dyDescent="0.2">
      <c r="A892" s="4">
        <v>12</v>
      </c>
      <c r="B892" s="186" t="s">
        <v>391</v>
      </c>
      <c r="C892" s="186"/>
      <c r="D892" s="186"/>
      <c r="I892" s="183"/>
      <c r="P892" s="183"/>
    </row>
    <row r="893" spans="1:19" ht="14.1" customHeight="1" x14ac:dyDescent="0.2">
      <c r="A893" s="4">
        <v>13</v>
      </c>
      <c r="B893" s="43" t="s">
        <v>58</v>
      </c>
      <c r="E893" s="4">
        <v>0</v>
      </c>
      <c r="F893" s="177" t="s">
        <v>17</v>
      </c>
      <c r="G893" s="155">
        <f>+Rates!D156</f>
        <v>0</v>
      </c>
      <c r="I893" s="177">
        <f>+G893*E893</f>
        <v>0</v>
      </c>
      <c r="L893" s="4">
        <f>+P731+P777+P839+P847+P743+P787+P831+P853+P885</f>
        <v>0</v>
      </c>
      <c r="M893" s="177" t="s">
        <v>17</v>
      </c>
      <c r="N893" s="277">
        <f>+G893</f>
        <v>0</v>
      </c>
      <c r="P893" s="177">
        <f>+N893*L893</f>
        <v>0</v>
      </c>
      <c r="R893" s="177">
        <f t="shared" ref="R893:R897" si="245">+P893-I893</f>
        <v>0</v>
      </c>
      <c r="S893" s="152">
        <f t="shared" ref="S893:S897" si="246">IF(R893=0,0,(P893-I893)/I893)</f>
        <v>0</v>
      </c>
    </row>
    <row r="894" spans="1:19" ht="14.1" customHeight="1" x14ac:dyDescent="0.2">
      <c r="A894" s="4">
        <v>14</v>
      </c>
      <c r="B894" s="43" t="s">
        <v>59</v>
      </c>
      <c r="E894" s="4">
        <v>0</v>
      </c>
      <c r="F894" s="177" t="s">
        <v>17</v>
      </c>
      <c r="G894" s="155">
        <f>+Rates!D157</f>
        <v>0</v>
      </c>
      <c r="I894" s="177">
        <f>+G894*E894</f>
        <v>0</v>
      </c>
      <c r="L894" s="4">
        <f>+P732+P778+P840+P848+P744+P788+P832+P854+P886</f>
        <v>0</v>
      </c>
      <c r="M894" s="177" t="s">
        <v>17</v>
      </c>
      <c r="N894" s="277">
        <f t="shared" ref="N894:N896" si="247">+G894</f>
        <v>0</v>
      </c>
      <c r="P894" s="177">
        <f>+N894*L894</f>
        <v>0</v>
      </c>
      <c r="R894" s="177">
        <f t="shared" si="245"/>
        <v>0</v>
      </c>
      <c r="S894" s="152">
        <f t="shared" si="246"/>
        <v>0</v>
      </c>
    </row>
    <row r="895" spans="1:19" ht="14.1" customHeight="1" x14ac:dyDescent="0.2">
      <c r="A895" s="4">
        <v>15</v>
      </c>
      <c r="B895" s="4" t="s">
        <v>229</v>
      </c>
      <c r="E895" s="4">
        <v>0</v>
      </c>
      <c r="F895" s="177" t="s">
        <v>17</v>
      </c>
      <c r="G895" s="155">
        <f>+Rates!D158</f>
        <v>0</v>
      </c>
      <c r="I895" s="177">
        <f>+G895*E895</f>
        <v>0</v>
      </c>
      <c r="L895" s="4">
        <f>+P733+P779+P841+P849+P745+P789+P833+P855+P887</f>
        <v>0</v>
      </c>
      <c r="M895" s="177" t="s">
        <v>17</v>
      </c>
      <c r="N895" s="277">
        <f t="shared" si="247"/>
        <v>0</v>
      </c>
      <c r="P895" s="177">
        <f>+N895*L895</f>
        <v>0</v>
      </c>
      <c r="R895" s="177">
        <f t="shared" si="245"/>
        <v>0</v>
      </c>
      <c r="S895" s="152">
        <f t="shared" si="246"/>
        <v>0</v>
      </c>
    </row>
    <row r="896" spans="1:19" ht="14.1" customHeight="1" x14ac:dyDescent="0.2">
      <c r="A896" s="4">
        <v>16</v>
      </c>
      <c r="B896" s="4" t="s">
        <v>230</v>
      </c>
      <c r="E896" s="18">
        <v>0</v>
      </c>
      <c r="F896" s="177" t="s">
        <v>17</v>
      </c>
      <c r="G896" s="155">
        <f>+Rates!D159</f>
        <v>0</v>
      </c>
      <c r="I896" s="177">
        <f>+G896*E896</f>
        <v>0</v>
      </c>
      <c r="L896" s="18">
        <f>+P734+P780+P842+P850+P746+P790+P834+P856+P888</f>
        <v>0</v>
      </c>
      <c r="M896" s="177" t="s">
        <v>17</v>
      </c>
      <c r="N896" s="277">
        <f t="shared" si="247"/>
        <v>0</v>
      </c>
      <c r="P896" s="177">
        <f>+N896*L896</f>
        <v>0</v>
      </c>
      <c r="R896" s="177">
        <f t="shared" si="245"/>
        <v>0</v>
      </c>
      <c r="S896" s="152">
        <f t="shared" si="246"/>
        <v>0</v>
      </c>
    </row>
    <row r="897" spans="1:24" ht="14.1" customHeight="1" x14ac:dyDescent="0.2">
      <c r="A897" s="4">
        <v>17</v>
      </c>
      <c r="B897" s="186" t="s">
        <v>16</v>
      </c>
      <c r="C897" s="188"/>
      <c r="D897" s="9"/>
      <c r="E897" s="4">
        <f>SUM(E893:E896)</f>
        <v>0</v>
      </c>
      <c r="F897" s="177" t="s">
        <v>17</v>
      </c>
      <c r="G897" s="177"/>
      <c r="H897" s="177"/>
      <c r="I897" s="185">
        <f>SUM(I893:I896)</f>
        <v>0</v>
      </c>
      <c r="J897" s="177"/>
      <c r="K897" s="173"/>
      <c r="L897" s="4">
        <f>SUM(L893:L896)</f>
        <v>0</v>
      </c>
      <c r="M897" s="177" t="s">
        <v>17</v>
      </c>
      <c r="P897" s="185">
        <f>SUM(P893:P896)</f>
        <v>0</v>
      </c>
      <c r="Q897" s="177"/>
      <c r="R897" s="177">
        <f t="shared" si="245"/>
        <v>0</v>
      </c>
      <c r="S897" s="152">
        <f t="shared" si="246"/>
        <v>0</v>
      </c>
    </row>
    <row r="898" spans="1:24" ht="14.1" customHeight="1" x14ac:dyDescent="0.2">
      <c r="A898" s="4">
        <v>18</v>
      </c>
      <c r="B898" s="9"/>
      <c r="C898" s="9"/>
      <c r="D898" s="9"/>
      <c r="E898" s="9"/>
      <c r="F898" s="9"/>
      <c r="G898" s="9"/>
      <c r="H898" s="9"/>
      <c r="I898" s="9"/>
      <c r="J898" s="9"/>
      <c r="K898" s="149"/>
      <c r="L898" s="6"/>
      <c r="M898" s="9"/>
      <c r="N898" s="9"/>
      <c r="O898" s="9"/>
      <c r="P898" s="9"/>
      <c r="Q898" s="9"/>
      <c r="R898" s="9"/>
      <c r="S898" s="9"/>
    </row>
    <row r="899" spans="1:24" ht="14.1" customHeight="1" x14ac:dyDescent="0.2">
      <c r="A899" s="4">
        <v>19</v>
      </c>
      <c r="B899" s="9"/>
      <c r="C899" s="9"/>
      <c r="D899" s="9"/>
      <c r="E899" s="9"/>
      <c r="F899" s="9"/>
      <c r="G899" s="9"/>
      <c r="H899" s="9"/>
      <c r="I899" s="9"/>
      <c r="J899" s="9"/>
      <c r="K899" s="149"/>
      <c r="L899" s="9"/>
      <c r="M899" s="9"/>
      <c r="N899" s="9"/>
      <c r="O899" s="9"/>
      <c r="P899" s="9"/>
      <c r="Q899" s="9"/>
      <c r="R899" s="9"/>
      <c r="S899" s="9"/>
    </row>
    <row r="900" spans="1:24" ht="14.1" customHeight="1" x14ac:dyDescent="0.2">
      <c r="A900" s="4">
        <v>20</v>
      </c>
      <c r="B900" s="303"/>
      <c r="C900" s="303"/>
      <c r="D900" s="303"/>
      <c r="E900" s="9"/>
      <c r="F900" s="9"/>
      <c r="G900" s="9"/>
      <c r="H900" s="9"/>
      <c r="I900" s="9"/>
      <c r="J900" s="9"/>
      <c r="K900" s="149"/>
      <c r="L900" s="9"/>
      <c r="M900" s="9"/>
      <c r="N900" s="9"/>
      <c r="O900" s="9"/>
      <c r="P900" s="9"/>
      <c r="Q900" s="9"/>
      <c r="R900" s="9"/>
      <c r="S900" s="9"/>
    </row>
    <row r="901" spans="1:24" ht="14.1" customHeight="1" thickBot="1" x14ac:dyDescent="0.25">
      <c r="A901" s="4">
        <v>21</v>
      </c>
      <c r="B901" s="45" t="s">
        <v>50</v>
      </c>
      <c r="I901" s="241">
        <f>+I897+I836+I857+I844+I804+I751+I727+I890+I739</f>
        <v>0</v>
      </c>
      <c r="J901" s="177"/>
      <c r="K901" s="173"/>
      <c r="L901" s="177"/>
      <c r="P901" s="241">
        <f>+P897+P836+P857+P844+P804+P751+P727+P890+P739</f>
        <v>0</v>
      </c>
      <c r="R901" s="177">
        <f t="shared" ref="R901" si="248">+P901-I901</f>
        <v>0</v>
      </c>
      <c r="S901" s="152">
        <f t="shared" ref="S901" si="249">IF(R901=0,0,(P901-I901)/I901)</f>
        <v>0</v>
      </c>
    </row>
    <row r="902" spans="1:24" ht="14.1" customHeight="1" thickTop="1" x14ac:dyDescent="0.2">
      <c r="A902" s="4">
        <v>22</v>
      </c>
      <c r="K902" s="4"/>
    </row>
    <row r="903" spans="1:24" ht="14.1" customHeight="1" x14ac:dyDescent="0.2">
      <c r="A903" s="4">
        <v>23</v>
      </c>
      <c r="K903" s="4"/>
    </row>
    <row r="904" spans="1:24" ht="14.1" customHeight="1" x14ac:dyDescent="0.2">
      <c r="A904" s="4">
        <v>24</v>
      </c>
      <c r="K904" s="4"/>
    </row>
    <row r="905" spans="1:24" ht="14.1" customHeight="1" x14ac:dyDescent="0.2">
      <c r="A905" s="4">
        <v>25</v>
      </c>
      <c r="K905" s="4"/>
    </row>
    <row r="906" spans="1:24" ht="14.1" customHeight="1" x14ac:dyDescent="0.2">
      <c r="A906" s="4">
        <v>26</v>
      </c>
      <c r="B906" s="45"/>
      <c r="I906" s="177"/>
      <c r="J906" s="177"/>
      <c r="K906" s="173"/>
      <c r="L906" s="177"/>
      <c r="P906" s="177"/>
      <c r="S906" s="180"/>
    </row>
    <row r="907" spans="1:24" ht="14.1" customHeight="1" x14ac:dyDescent="0.2">
      <c r="A907" s="4">
        <v>27</v>
      </c>
      <c r="B907" s="45"/>
      <c r="I907" s="177"/>
      <c r="J907" s="177"/>
      <c r="K907" s="173"/>
      <c r="L907" s="177"/>
      <c r="P907" s="177"/>
      <c r="S907" s="180"/>
    </row>
    <row r="908" spans="1:24" ht="14.1" customHeight="1" x14ac:dyDescent="0.2">
      <c r="A908" s="4">
        <v>28</v>
      </c>
      <c r="B908" s="45"/>
      <c r="I908" s="177"/>
      <c r="J908" s="177"/>
      <c r="K908" s="173"/>
      <c r="L908" s="177"/>
      <c r="P908" s="177"/>
      <c r="S908" s="180"/>
    </row>
    <row r="909" spans="1:24" ht="14.1" customHeight="1" x14ac:dyDescent="0.2">
      <c r="A909" s="4">
        <v>29</v>
      </c>
      <c r="B909" s="45"/>
      <c r="I909" s="177"/>
      <c r="J909" s="177"/>
      <c r="K909" s="173"/>
      <c r="L909" s="177"/>
      <c r="P909" s="177"/>
      <c r="S909" s="180"/>
    </row>
    <row r="910" spans="1:24" ht="14.1" customHeight="1" x14ac:dyDescent="0.2">
      <c r="A910" s="4">
        <v>30</v>
      </c>
      <c r="B910" s="45"/>
      <c r="I910" s="177"/>
      <c r="J910" s="177"/>
      <c r="K910" s="173"/>
      <c r="L910" s="177"/>
      <c r="P910" s="177"/>
      <c r="S910" s="180"/>
    </row>
    <row r="911" spans="1:24" ht="14.1" customHeight="1" x14ac:dyDescent="0.2">
      <c r="A911" s="4">
        <v>31</v>
      </c>
      <c r="B911" s="45"/>
      <c r="I911" s="177"/>
      <c r="J911" s="177"/>
      <c r="K911" s="173"/>
      <c r="L911" s="177"/>
      <c r="P911" s="177"/>
      <c r="S911" s="180"/>
      <c r="W911" s="5"/>
      <c r="X911" s="5"/>
    </row>
    <row r="912" spans="1:24" ht="14.1" customHeight="1" x14ac:dyDescent="0.2">
      <c r="A912" s="4">
        <v>32</v>
      </c>
      <c r="B912" s="45"/>
      <c r="I912" s="177"/>
      <c r="J912" s="177"/>
      <c r="K912" s="173"/>
      <c r="L912" s="177"/>
      <c r="P912" s="177"/>
      <c r="S912" s="180"/>
    </row>
    <row r="913" spans="1:19" ht="14.1" customHeight="1" x14ac:dyDescent="0.2">
      <c r="A913" s="4">
        <v>33</v>
      </c>
      <c r="B913" s="45"/>
      <c r="I913" s="177"/>
      <c r="J913" s="177"/>
      <c r="K913" s="173"/>
      <c r="L913" s="177"/>
      <c r="P913" s="177"/>
      <c r="S913" s="180"/>
    </row>
    <row r="914" spans="1:19" ht="14.1" customHeight="1" x14ac:dyDescent="0.2">
      <c r="A914" s="4">
        <v>34</v>
      </c>
      <c r="B914" s="45"/>
      <c r="I914" s="177"/>
      <c r="J914" s="177"/>
      <c r="K914" s="173"/>
      <c r="L914" s="177"/>
      <c r="P914" s="177"/>
      <c r="S914" s="180"/>
    </row>
    <row r="915" spans="1:19" ht="14.1" customHeight="1" x14ac:dyDescent="0.2">
      <c r="A915" s="4">
        <v>35</v>
      </c>
      <c r="B915" s="45"/>
      <c r="I915" s="177"/>
      <c r="J915" s="177"/>
      <c r="K915" s="173"/>
      <c r="L915" s="177"/>
      <c r="P915" s="177"/>
      <c r="S915" s="180"/>
    </row>
    <row r="916" spans="1:19" ht="14.1" customHeight="1" x14ac:dyDescent="0.2">
      <c r="A916" s="4">
        <v>36</v>
      </c>
      <c r="B916" s="45"/>
      <c r="I916" s="177"/>
      <c r="J916" s="177"/>
      <c r="K916" s="173"/>
      <c r="L916" s="177"/>
      <c r="P916" s="177"/>
      <c r="S916" s="180"/>
    </row>
    <row r="917" spans="1:19" ht="14.1" customHeight="1" x14ac:dyDescent="0.2">
      <c r="A917" s="4">
        <v>37</v>
      </c>
      <c r="B917" s="45"/>
      <c r="I917" s="177"/>
      <c r="J917" s="177"/>
      <c r="K917" s="173"/>
      <c r="L917" s="177"/>
      <c r="P917" s="177"/>
      <c r="S917" s="180"/>
    </row>
    <row r="918" spans="1:19" ht="14.1" customHeight="1" x14ac:dyDescent="0.2">
      <c r="A918" s="4">
        <v>38</v>
      </c>
      <c r="B918" s="45"/>
      <c r="I918" s="177"/>
      <c r="J918" s="177"/>
      <c r="K918" s="173"/>
      <c r="L918" s="177"/>
      <c r="P918" s="177"/>
      <c r="S918" s="180"/>
    </row>
    <row r="919" spans="1:19" ht="14.1" customHeight="1" thickBot="1" x14ac:dyDescent="0.25">
      <c r="A919" s="16">
        <v>39</v>
      </c>
      <c r="B919" s="16"/>
      <c r="C919" s="16"/>
      <c r="D919" s="16"/>
      <c r="E919" s="16"/>
      <c r="F919" s="16"/>
      <c r="G919" s="16"/>
      <c r="H919" s="16"/>
      <c r="I919" s="16"/>
      <c r="J919" s="16"/>
      <c r="K919" s="151"/>
      <c r="L919" s="16"/>
      <c r="M919" s="16"/>
      <c r="N919" s="16"/>
      <c r="O919" s="16"/>
      <c r="P919" s="16"/>
      <c r="Q919" s="16"/>
      <c r="R919" s="16"/>
      <c r="S919" s="16"/>
    </row>
    <row r="920" spans="1:19" ht="14.1" customHeight="1" x14ac:dyDescent="0.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286"/>
      <c r="L920" s="9"/>
      <c r="M920" s="9"/>
      <c r="N920" s="9"/>
      <c r="O920" s="9"/>
      <c r="P920" s="9"/>
      <c r="Q920" s="9"/>
      <c r="R920" s="9"/>
      <c r="S920" s="4" t="str">
        <f>+$S$109</f>
        <v>Recap Schedules:  E-13a</v>
      </c>
    </row>
    <row r="922" spans="1:19" ht="14.1" customHeight="1" x14ac:dyDescent="0.2">
      <c r="H922" s="292" t="s">
        <v>768</v>
      </c>
      <c r="I922" s="292"/>
      <c r="J922" s="292"/>
      <c r="K922" s="292"/>
      <c r="L922" s="292"/>
    </row>
    <row r="923" spans="1:19" ht="14.1" customHeight="1" thickBot="1" x14ac:dyDescent="0.25">
      <c r="A923" s="16" t="s">
        <v>7</v>
      </c>
      <c r="B923" s="16"/>
      <c r="C923" s="16"/>
      <c r="D923" s="16"/>
      <c r="E923" s="16"/>
      <c r="F923" s="16"/>
      <c r="G923" s="16"/>
      <c r="H923" s="301" t="s">
        <v>380</v>
      </c>
      <c r="I923" s="301"/>
      <c r="J923" s="301"/>
      <c r="K923" s="301"/>
      <c r="L923" s="301"/>
      <c r="M923" s="16"/>
      <c r="N923" s="16"/>
      <c r="O923" s="16"/>
      <c r="P923" s="16"/>
      <c r="Q923" s="16"/>
      <c r="R923" s="16"/>
      <c r="S923" s="150" t="str">
        <f>"Page " &amp; INT(ROW()/$R$1 +1)  &amp; "  of " &amp; S$1</f>
        <v>Page 18  of 19</v>
      </c>
    </row>
    <row r="924" spans="1:19" ht="14.1" customHeight="1" x14ac:dyDescent="0.2">
      <c r="A924" s="4" t="s">
        <v>21</v>
      </c>
      <c r="E924" s="4" t="s">
        <v>761</v>
      </c>
      <c r="G924" s="4" t="s">
        <v>766</v>
      </c>
      <c r="K924" s="285"/>
      <c r="L924" s="56"/>
      <c r="N924" s="56"/>
      <c r="O924" s="56"/>
      <c r="P924" s="56" t="s">
        <v>663</v>
      </c>
      <c r="S924" s="22"/>
    </row>
    <row r="925" spans="1:19" ht="14.1" customHeight="1" x14ac:dyDescent="0.2">
      <c r="G925" s="4" t="s">
        <v>767</v>
      </c>
      <c r="K925" s="284"/>
      <c r="L925" s="22"/>
      <c r="O925" s="21"/>
      <c r="P925" s="21"/>
      <c r="Q925" s="22" t="s">
        <v>764</v>
      </c>
      <c r="S925" s="21"/>
    </row>
    <row r="926" spans="1:19" ht="14.1" customHeight="1" x14ac:dyDescent="0.2">
      <c r="A926" s="4" t="s">
        <v>29</v>
      </c>
      <c r="G926" s="4" t="s">
        <v>770</v>
      </c>
      <c r="K926" s="284"/>
      <c r="L926" s="22"/>
      <c r="M926" s="21"/>
      <c r="P926" s="21"/>
      <c r="Q926" s="22" t="s">
        <v>765</v>
      </c>
      <c r="S926" s="21"/>
    </row>
    <row r="927" spans="1:19" ht="14.1" customHeight="1" x14ac:dyDescent="0.2">
      <c r="G927" s="4" t="s">
        <v>769</v>
      </c>
      <c r="K927" s="284"/>
      <c r="L927" s="22"/>
      <c r="M927" s="21"/>
      <c r="P927" s="21"/>
      <c r="Q927" s="22"/>
      <c r="S927" s="21"/>
    </row>
    <row r="928" spans="1:19" ht="14.1" customHeight="1" x14ac:dyDescent="0.2">
      <c r="C928" s="21"/>
      <c r="H928" s="10"/>
      <c r="I928" s="10"/>
      <c r="J928" s="10"/>
      <c r="K928" s="284"/>
      <c r="Q928" s="4" t="s">
        <v>738</v>
      </c>
    </row>
    <row r="929" spans="1:20" ht="14.1" customHeight="1" thickBot="1" x14ac:dyDescent="0.25">
      <c r="A929" s="16"/>
      <c r="B929" s="16"/>
      <c r="C929" s="150"/>
      <c r="D929" s="101"/>
      <c r="E929" s="101"/>
      <c r="F929" s="101"/>
      <c r="G929" s="102"/>
      <c r="H929" s="101"/>
      <c r="I929" s="101"/>
      <c r="J929" s="101"/>
      <c r="K929" s="101"/>
      <c r="L929" s="101"/>
      <c r="M929" s="101"/>
      <c r="N929" s="101"/>
      <c r="O929" s="101"/>
      <c r="P929" s="101"/>
      <c r="Q929" s="101"/>
      <c r="R929" s="101"/>
      <c r="S929" s="101"/>
    </row>
    <row r="930" spans="1:20" ht="14.1" customHeight="1" x14ac:dyDescent="0.2">
      <c r="E930" s="10"/>
      <c r="G930" s="10"/>
      <c r="H930" s="103"/>
      <c r="I930" s="10"/>
      <c r="K930" s="10"/>
      <c r="M930" s="103"/>
    </row>
    <row r="931" spans="1:20" ht="14.1" customHeight="1" x14ac:dyDescent="0.2">
      <c r="A931" s="9"/>
      <c r="B931" s="92"/>
      <c r="C931" s="92"/>
      <c r="D931" s="1"/>
      <c r="E931" s="39"/>
      <c r="F931" s="1"/>
      <c r="G931" s="1"/>
      <c r="H931" s="39"/>
      <c r="I931" s="221"/>
      <c r="J931" s="1"/>
      <c r="K931" s="3"/>
      <c r="L931" s="1"/>
      <c r="M931" s="39"/>
      <c r="N931" s="1"/>
      <c r="O931" s="1"/>
      <c r="P931" s="55"/>
      <c r="Q931" s="1"/>
      <c r="R931" s="1"/>
      <c r="S931" s="1"/>
    </row>
    <row r="932" spans="1:20" ht="14.1" customHeight="1" x14ac:dyDescent="0.2">
      <c r="A932" s="9"/>
      <c r="B932" s="92"/>
      <c r="C932" s="1"/>
      <c r="D932" s="1"/>
      <c r="E932" s="1"/>
      <c r="F932" s="39"/>
      <c r="G932" s="39"/>
      <c r="H932" s="40"/>
      <c r="J932" s="222" t="s">
        <v>217</v>
      </c>
      <c r="K932" s="41" t="s">
        <v>605</v>
      </c>
      <c r="L932" s="39"/>
      <c r="M932" s="1"/>
      <c r="N932" s="39"/>
      <c r="O932" s="39"/>
      <c r="P932" s="109"/>
      <c r="Q932" s="39"/>
      <c r="R932" s="39"/>
      <c r="S932" s="1"/>
    </row>
    <row r="933" spans="1:20" ht="14.1" customHeight="1" x14ac:dyDescent="0.2">
      <c r="A933" s="9"/>
      <c r="B933" s="92"/>
      <c r="C933" s="1"/>
      <c r="D933" s="1"/>
      <c r="E933" s="1"/>
      <c r="F933" s="39"/>
      <c r="G933" s="39"/>
      <c r="H933" s="39"/>
      <c r="I933" s="223"/>
      <c r="J933" s="39"/>
      <c r="K933" s="3"/>
      <c r="L933" s="39"/>
      <c r="M933" s="39"/>
      <c r="N933" s="39"/>
      <c r="O933" s="39"/>
      <c r="P933" s="109"/>
      <c r="Q933" s="39"/>
      <c r="R933" s="39"/>
      <c r="S933" s="39"/>
    </row>
    <row r="934" spans="1:20" ht="14.1" customHeight="1" x14ac:dyDescent="0.2">
      <c r="A934" s="149" t="s">
        <v>26</v>
      </c>
      <c r="B934" s="174" t="s">
        <v>5</v>
      </c>
      <c r="C934" s="216"/>
      <c r="D934" s="213"/>
      <c r="E934" s="192"/>
      <c r="F934" s="192"/>
      <c r="G934" s="267" t="s">
        <v>8</v>
      </c>
      <c r="H934" s="192"/>
      <c r="I934" s="224"/>
      <c r="J934" s="216"/>
      <c r="K934" s="187"/>
      <c r="L934" s="192"/>
      <c r="M934" s="267"/>
      <c r="N934" s="267" t="s">
        <v>9</v>
      </c>
      <c r="O934" s="192"/>
      <c r="P934" s="268"/>
      <c r="Q934" s="216"/>
      <c r="R934" s="290" t="s">
        <v>750</v>
      </c>
      <c r="S934" s="290" t="s">
        <v>752</v>
      </c>
    </row>
    <row r="935" spans="1:20" ht="14.1" customHeight="1" thickBot="1" x14ac:dyDescent="0.25">
      <c r="A935" s="151" t="s">
        <v>28</v>
      </c>
      <c r="B935" s="175" t="s">
        <v>10</v>
      </c>
      <c r="C935" s="215"/>
      <c r="D935" s="44"/>
      <c r="E935" s="44" t="s">
        <v>11</v>
      </c>
      <c r="F935" s="215"/>
      <c r="G935" s="215" t="s">
        <v>12</v>
      </c>
      <c r="H935" s="215"/>
      <c r="I935" s="225" t="s">
        <v>13</v>
      </c>
      <c r="J935" s="215"/>
      <c r="K935" s="194"/>
      <c r="L935" s="215" t="s">
        <v>11</v>
      </c>
      <c r="M935" s="215"/>
      <c r="N935" s="215" t="s">
        <v>12</v>
      </c>
      <c r="O935" s="215"/>
      <c r="P935" s="275" t="s">
        <v>13</v>
      </c>
      <c r="Q935" s="215"/>
      <c r="R935" s="291" t="s">
        <v>751</v>
      </c>
      <c r="S935" s="291" t="s">
        <v>4</v>
      </c>
    </row>
    <row r="936" spans="1:20" ht="14.1" customHeight="1" x14ac:dyDescent="0.2">
      <c r="A936" s="4">
        <v>1</v>
      </c>
      <c r="B936" s="266"/>
      <c r="C936" s="265"/>
      <c r="D936" s="265"/>
      <c r="F936" s="188"/>
      <c r="G936" s="188"/>
      <c r="H936" s="188"/>
      <c r="I936" s="177"/>
      <c r="J936" s="186"/>
      <c r="K936" s="187"/>
      <c r="L936" s="186"/>
      <c r="M936" s="188"/>
      <c r="N936" s="188"/>
      <c r="O936" s="188"/>
      <c r="P936" s="214"/>
      <c r="Q936" s="188"/>
      <c r="R936" s="188"/>
      <c r="S936" s="188"/>
    </row>
    <row r="937" spans="1:20" ht="14.1" customHeight="1" x14ac:dyDescent="0.2">
      <c r="A937" s="4">
        <v>2</v>
      </c>
      <c r="B937" s="186" t="s">
        <v>393</v>
      </c>
      <c r="C937" s="186"/>
      <c r="E937" s="183">
        <f>+'ECCR Billing Determinants'!C327+'ECCR Billing Determinants'!C328+'ECCR Billing Determinants'!C332+'ECCR Billing Determinants'!C333</f>
        <v>84649.583333333328</v>
      </c>
      <c r="F937" s="177" t="s">
        <v>611</v>
      </c>
      <c r="G937" s="179">
        <f>+Rates!D323</f>
        <v>0.7</v>
      </c>
      <c r="H937" s="177"/>
      <c r="I937" s="177">
        <f>E937*G937</f>
        <v>59254.708333333328</v>
      </c>
      <c r="J937" s="183"/>
      <c r="K937" s="173"/>
      <c r="L937" s="183">
        <f>+E937</f>
        <v>84649.583333333328</v>
      </c>
      <c r="M937" s="177" t="s">
        <v>611</v>
      </c>
      <c r="N937" s="179">
        <f>+G937*(1+$V$5)</f>
        <v>0.70569914070750495</v>
      </c>
      <c r="O937" s="177"/>
      <c r="P937" s="177">
        <f>+N937*L937</f>
        <v>59737.138219581662</v>
      </c>
      <c r="Q937" s="177"/>
      <c r="R937" s="177">
        <f t="shared" ref="R937" si="250">+P937-I937</f>
        <v>482.42988624833379</v>
      </c>
      <c r="S937" s="152">
        <f t="shared" ref="S937" si="251">IF(R937=0,0,(P937-I937)/I937)</f>
        <v>8.1416295821499507E-3</v>
      </c>
    </row>
    <row r="938" spans="1:20" ht="14.1" customHeight="1" x14ac:dyDescent="0.2">
      <c r="A938" s="4">
        <v>3</v>
      </c>
      <c r="E938" s="183"/>
      <c r="F938" s="177"/>
      <c r="G938" s="212"/>
      <c r="I938" s="177"/>
      <c r="L938" s="183"/>
      <c r="M938" s="177"/>
      <c r="N938" s="212"/>
      <c r="P938" s="177"/>
      <c r="S938" s="180"/>
    </row>
    <row r="939" spans="1:20" ht="14.1" customHeight="1" x14ac:dyDescent="0.2">
      <c r="A939" s="4">
        <v>4</v>
      </c>
      <c r="B939" s="186" t="s">
        <v>218</v>
      </c>
      <c r="E939" s="177">
        <f>+ROUND(SUM('ECCR Billing Determinants'!B329:B330,'ECCR Billing Determinants'!B334:B335)/1000,0)</f>
        <v>110703</v>
      </c>
      <c r="F939" s="177" t="s">
        <v>379</v>
      </c>
      <c r="G939" s="212">
        <f>+Rates!D325</f>
        <v>28.507162612080965</v>
      </c>
      <c r="I939" s="177">
        <f>+G939*E939</f>
        <v>3155828.4226451991</v>
      </c>
      <c r="L939" s="177">
        <f>+E939</f>
        <v>110703</v>
      </c>
      <c r="M939" s="177" t="str">
        <f>+F939</f>
        <v>MWH</v>
      </c>
      <c r="N939" s="212">
        <f>+G939*(1+$V$5)</f>
        <v>28.739257370506643</v>
      </c>
      <c r="P939" s="177">
        <f>+N939*L939</f>
        <v>3181522.0086871968</v>
      </c>
      <c r="R939" s="177">
        <f t="shared" ref="R939" si="252">+P939-I939</f>
        <v>25693.586041997653</v>
      </c>
      <c r="S939" s="152">
        <f t="shared" ref="S939" si="253">IF(R939=0,0,(P939-I939)/I939)</f>
        <v>8.1416295821499125E-3</v>
      </c>
    </row>
    <row r="940" spans="1:20" ht="14.1" customHeight="1" x14ac:dyDescent="0.2">
      <c r="A940" s="4">
        <v>5</v>
      </c>
      <c r="B940" s="186"/>
      <c r="E940" s="183"/>
      <c r="F940" s="177"/>
      <c r="G940" s="212"/>
      <c r="I940" s="177"/>
      <c r="L940" s="183"/>
      <c r="M940" s="177"/>
      <c r="N940" s="212"/>
      <c r="P940" s="177"/>
      <c r="S940" s="180"/>
      <c r="T940" s="9"/>
    </row>
    <row r="941" spans="1:20" ht="14.1" customHeight="1" x14ac:dyDescent="0.2">
      <c r="A941" s="4">
        <v>6</v>
      </c>
      <c r="E941" s="183"/>
      <c r="F941" s="177"/>
      <c r="G941" s="212"/>
      <c r="I941" s="177"/>
      <c r="L941" s="183"/>
      <c r="M941" s="177"/>
      <c r="N941" s="212"/>
      <c r="P941" s="177"/>
      <c r="S941" s="180"/>
      <c r="T941" s="9"/>
    </row>
    <row r="942" spans="1:20" ht="14.1" customHeight="1" thickBot="1" x14ac:dyDescent="0.25">
      <c r="A942" s="4">
        <v>7</v>
      </c>
      <c r="B942" s="45" t="s">
        <v>50</v>
      </c>
      <c r="E942" s="183"/>
      <c r="F942" s="177"/>
      <c r="G942" s="212"/>
      <c r="I942" s="247">
        <f>+I937+I939</f>
        <v>3215083.1309785326</v>
      </c>
      <c r="L942" s="183"/>
      <c r="M942" s="177"/>
      <c r="N942" s="212"/>
      <c r="P942" s="247">
        <f>+P937+P939</f>
        <v>3241259.1469067782</v>
      </c>
      <c r="R942" s="177">
        <f t="shared" ref="R942" si="254">+P942-I942</f>
        <v>26176.015928245615</v>
      </c>
      <c r="S942" s="152">
        <f t="shared" ref="S942" si="255">IF(R942=0,0,(P942-I942)/I942)</f>
        <v>8.141629582149798E-3</v>
      </c>
      <c r="T942" s="9"/>
    </row>
    <row r="943" spans="1:20" ht="14.1" customHeight="1" thickTop="1" x14ac:dyDescent="0.2">
      <c r="A943" s="4">
        <v>8</v>
      </c>
      <c r="E943" s="177"/>
      <c r="F943" s="177"/>
      <c r="G943" s="179"/>
      <c r="H943" s="9"/>
      <c r="I943" s="177"/>
      <c r="J943" s="9"/>
      <c r="K943" s="149"/>
      <c r="L943" s="177"/>
      <c r="M943" s="177"/>
      <c r="N943" s="179"/>
      <c r="O943" s="9"/>
      <c r="P943" s="177"/>
      <c r="Q943" s="9"/>
      <c r="R943" s="9"/>
      <c r="S943" s="180"/>
      <c r="T943" s="9"/>
    </row>
    <row r="944" spans="1:20" ht="14.1" customHeight="1" x14ac:dyDescent="0.2">
      <c r="A944" s="4">
        <v>9</v>
      </c>
      <c r="E944" s="177"/>
      <c r="F944" s="177"/>
      <c r="G944" s="179"/>
      <c r="H944" s="9"/>
      <c r="I944" s="177"/>
      <c r="J944" s="9"/>
      <c r="K944" s="149"/>
      <c r="L944" s="177"/>
      <c r="M944" s="177"/>
      <c r="N944" s="179"/>
      <c r="O944" s="9"/>
      <c r="P944" s="177"/>
      <c r="Q944" s="9"/>
      <c r="R944" s="9"/>
      <c r="S944" s="180"/>
      <c r="T944" s="9"/>
    </row>
    <row r="945" spans="1:20" ht="14.1" customHeight="1" x14ac:dyDescent="0.2">
      <c r="A945" s="4">
        <v>10</v>
      </c>
      <c r="E945" s="177"/>
      <c r="F945" s="177"/>
      <c r="G945" s="179"/>
      <c r="H945" s="9"/>
      <c r="I945" s="177"/>
      <c r="J945" s="9"/>
      <c r="K945" s="149"/>
      <c r="L945" s="177"/>
      <c r="M945" s="177"/>
      <c r="N945" s="179"/>
      <c r="O945" s="9"/>
      <c r="P945" s="177"/>
      <c r="Q945" s="9"/>
      <c r="R945" s="9"/>
      <c r="S945" s="180"/>
      <c r="T945" s="9"/>
    </row>
    <row r="946" spans="1:20" ht="14.1" customHeight="1" x14ac:dyDescent="0.2">
      <c r="A946" s="4">
        <v>11</v>
      </c>
      <c r="B946" s="186"/>
      <c r="C946" s="188"/>
      <c r="D946" s="9"/>
      <c r="E946" s="6"/>
      <c r="F946" s="177"/>
      <c r="G946" s="177"/>
      <c r="H946" s="177"/>
      <c r="I946" s="177"/>
      <c r="J946" s="177"/>
      <c r="K946" s="173"/>
      <c r="L946" s="177"/>
      <c r="M946" s="177"/>
      <c r="N946" s="177"/>
      <c r="O946" s="177"/>
      <c r="P946" s="177"/>
      <c r="Q946" s="9"/>
      <c r="R946" s="9"/>
      <c r="S946" s="180"/>
      <c r="T946" s="9"/>
    </row>
    <row r="947" spans="1:20" ht="14.1" customHeight="1" x14ac:dyDescent="0.2">
      <c r="A947" s="4">
        <v>12</v>
      </c>
      <c r="E947" s="9"/>
      <c r="F947" s="9"/>
      <c r="G947" s="9"/>
      <c r="H947" s="9"/>
      <c r="I947" s="177"/>
      <c r="J947" s="9"/>
      <c r="K947" s="149"/>
      <c r="L947" s="9"/>
      <c r="M947" s="9"/>
      <c r="N947" s="9"/>
      <c r="O947" s="9"/>
      <c r="P947" s="6"/>
      <c r="Q947" s="9"/>
      <c r="R947" s="9"/>
      <c r="S947" s="9"/>
      <c r="T947" s="9"/>
    </row>
    <row r="948" spans="1:20" ht="14.1" customHeight="1" x14ac:dyDescent="0.2">
      <c r="A948" s="4">
        <v>13</v>
      </c>
      <c r="B948" s="266"/>
      <c r="C948" s="266"/>
      <c r="D948" s="266"/>
      <c r="E948" s="9"/>
      <c r="F948" s="9"/>
      <c r="G948" s="9"/>
      <c r="H948" s="9"/>
      <c r="I948" s="177"/>
      <c r="J948" s="9"/>
      <c r="K948" s="149"/>
      <c r="L948" s="9"/>
      <c r="M948" s="9"/>
      <c r="N948" s="9"/>
      <c r="O948" s="9"/>
      <c r="P948" s="6"/>
      <c r="Q948" s="9"/>
      <c r="R948" s="9"/>
      <c r="S948" s="9"/>
      <c r="T948" s="9"/>
    </row>
    <row r="949" spans="1:20" ht="14.1" customHeight="1" x14ac:dyDescent="0.2">
      <c r="A949" s="4">
        <v>14</v>
      </c>
      <c r="B949" s="186"/>
      <c r="E949" s="177"/>
      <c r="F949" s="177"/>
      <c r="G949" s="49"/>
      <c r="H949" s="9"/>
      <c r="I949" s="177"/>
      <c r="J949" s="9"/>
      <c r="K949" s="149"/>
      <c r="L949" s="177"/>
      <c r="M949" s="177"/>
      <c r="N949" s="180"/>
      <c r="O949" s="9"/>
      <c r="P949" s="177"/>
      <c r="Q949" s="9"/>
      <c r="R949" s="9"/>
      <c r="S949" s="180"/>
      <c r="T949" s="9"/>
    </row>
    <row r="950" spans="1:20" ht="14.1" customHeight="1" x14ac:dyDescent="0.2">
      <c r="A950" s="4">
        <v>15</v>
      </c>
      <c r="B950" s="186"/>
      <c r="E950" s="177"/>
      <c r="F950" s="177"/>
      <c r="G950" s="49"/>
      <c r="H950" s="9"/>
      <c r="I950" s="177"/>
      <c r="J950" s="9"/>
      <c r="K950" s="149"/>
      <c r="L950" s="177"/>
      <c r="M950" s="177"/>
      <c r="N950" s="180"/>
      <c r="O950" s="9"/>
      <c r="P950" s="177"/>
      <c r="Q950" s="9"/>
      <c r="R950" s="9"/>
      <c r="S950" s="180"/>
      <c r="T950" s="9"/>
    </row>
    <row r="951" spans="1:20" ht="14.1" customHeight="1" x14ac:dyDescent="0.2">
      <c r="A951" s="4">
        <v>16</v>
      </c>
      <c r="E951" s="177"/>
      <c r="F951" s="177"/>
      <c r="G951" s="49"/>
      <c r="H951" s="9"/>
      <c r="I951" s="177"/>
      <c r="J951" s="9"/>
      <c r="K951" s="149"/>
      <c r="L951" s="177"/>
      <c r="M951" s="177"/>
      <c r="N951" s="180"/>
      <c r="O951" s="9"/>
      <c r="P951" s="177"/>
      <c r="Q951" s="9"/>
      <c r="R951" s="9"/>
      <c r="S951" s="180"/>
      <c r="T951" s="9"/>
    </row>
    <row r="952" spans="1:20" ht="14.1" customHeight="1" x14ac:dyDescent="0.2">
      <c r="A952" s="4">
        <v>17</v>
      </c>
      <c r="E952" s="177"/>
      <c r="F952" s="177"/>
      <c r="G952" s="49"/>
      <c r="H952" s="9"/>
      <c r="I952" s="177"/>
      <c r="J952" s="9"/>
      <c r="K952" s="149"/>
      <c r="L952" s="177"/>
      <c r="M952" s="177"/>
      <c r="N952" s="180"/>
      <c r="O952" s="9"/>
      <c r="P952" s="177"/>
      <c r="Q952" s="9"/>
      <c r="R952" s="9"/>
      <c r="S952" s="180"/>
      <c r="T952" s="9"/>
    </row>
    <row r="953" spans="1:20" ht="14.1" customHeight="1" x14ac:dyDescent="0.2">
      <c r="A953" s="4">
        <v>18</v>
      </c>
      <c r="B953" s="266"/>
      <c r="C953" s="266"/>
      <c r="D953" s="266"/>
      <c r="E953" s="9"/>
      <c r="F953" s="9"/>
      <c r="G953" s="49"/>
      <c r="H953" s="9"/>
      <c r="I953" s="177"/>
      <c r="J953" s="9"/>
      <c r="K953" s="149"/>
      <c r="L953" s="9"/>
      <c r="M953" s="9"/>
      <c r="N953" s="180"/>
      <c r="O953" s="9"/>
      <c r="P953" s="6"/>
      <c r="Q953" s="9"/>
      <c r="R953" s="9"/>
      <c r="S953" s="9"/>
      <c r="T953" s="9"/>
    </row>
    <row r="954" spans="1:20" ht="14.1" customHeight="1" x14ac:dyDescent="0.2">
      <c r="A954" s="4">
        <v>19</v>
      </c>
      <c r="E954" s="177"/>
      <c r="F954" s="177"/>
      <c r="G954" s="49"/>
      <c r="H954" s="177"/>
      <c r="I954" s="177"/>
      <c r="J954" s="177"/>
      <c r="K954" s="173"/>
      <c r="L954" s="177"/>
      <c r="M954" s="177"/>
      <c r="N954" s="180"/>
      <c r="O954" s="177"/>
      <c r="P954" s="177"/>
      <c r="Q954" s="177"/>
      <c r="R954" s="177"/>
      <c r="S954" s="180"/>
      <c r="T954" s="9"/>
    </row>
    <row r="955" spans="1:20" ht="14.1" customHeight="1" x14ac:dyDescent="0.2">
      <c r="A955" s="4">
        <v>20</v>
      </c>
      <c r="C955" s="188"/>
      <c r="D955" s="9"/>
      <c r="E955" s="177"/>
      <c r="F955" s="177"/>
      <c r="G955" s="49"/>
      <c r="H955" s="177"/>
      <c r="I955" s="177"/>
      <c r="J955" s="177"/>
      <c r="K955" s="173"/>
      <c r="L955" s="177"/>
      <c r="M955" s="177"/>
      <c r="N955" s="180"/>
      <c r="O955" s="177"/>
      <c r="P955" s="177"/>
      <c r="Q955" s="177"/>
      <c r="R955" s="177"/>
      <c r="S955" s="180"/>
    </row>
    <row r="956" spans="1:20" ht="14.1" customHeight="1" x14ac:dyDescent="0.2">
      <c r="A956" s="4">
        <v>21</v>
      </c>
      <c r="B956" s="186"/>
      <c r="C956" s="188"/>
      <c r="D956" s="9"/>
      <c r="E956" s="177"/>
      <c r="F956" s="177"/>
      <c r="G956" s="177"/>
      <c r="H956" s="177"/>
      <c r="I956" s="177"/>
      <c r="J956" s="177"/>
      <c r="K956" s="173"/>
      <c r="L956" s="177"/>
      <c r="M956" s="177"/>
      <c r="N956" s="177"/>
      <c r="O956" s="177"/>
      <c r="P956" s="177"/>
      <c r="Q956" s="9"/>
      <c r="R956" s="9"/>
      <c r="S956" s="180"/>
    </row>
    <row r="957" spans="1:20" ht="14.1" customHeight="1" x14ac:dyDescent="0.2">
      <c r="A957" s="4">
        <v>22</v>
      </c>
      <c r="E957" s="9"/>
      <c r="F957" s="9"/>
      <c r="G957" s="9"/>
      <c r="H957" s="9"/>
      <c r="I957" s="177"/>
      <c r="J957" s="9"/>
      <c r="K957" s="149"/>
      <c r="L957" s="9"/>
      <c r="M957" s="9"/>
      <c r="N957" s="9"/>
      <c r="O957" s="9"/>
      <c r="P957" s="6"/>
      <c r="Q957" s="9"/>
      <c r="R957" s="9"/>
      <c r="S957" s="9"/>
    </row>
    <row r="958" spans="1:20" ht="14.1" customHeight="1" x14ac:dyDescent="0.2">
      <c r="A958" s="4">
        <v>23</v>
      </c>
      <c r="B958" s="45"/>
      <c r="E958" s="9"/>
      <c r="F958" s="9"/>
      <c r="G958" s="9"/>
      <c r="H958" s="9"/>
      <c r="I958" s="188"/>
      <c r="J958" s="177"/>
      <c r="K958" s="173"/>
      <c r="L958" s="177"/>
      <c r="M958" s="177"/>
      <c r="N958" s="177"/>
      <c r="O958" s="177"/>
      <c r="P958" s="188"/>
      <c r="Q958" s="177"/>
      <c r="R958" s="177"/>
      <c r="S958" s="180"/>
    </row>
    <row r="959" spans="1:20" ht="14.1" customHeight="1" x14ac:dyDescent="0.2">
      <c r="A959" s="4">
        <v>24</v>
      </c>
      <c r="B959" s="188"/>
      <c r="C959" s="9"/>
      <c r="D959" s="9"/>
      <c r="E959" s="177"/>
      <c r="F959" s="177"/>
      <c r="G959" s="179"/>
      <c r="H959" s="9"/>
      <c r="I959" s="177"/>
      <c r="J959" s="9"/>
      <c r="K959" s="149"/>
      <c r="L959" s="177"/>
      <c r="M959" s="177"/>
      <c r="N959" s="179"/>
      <c r="O959" s="9"/>
      <c r="P959" s="201"/>
      <c r="Q959" s="9"/>
      <c r="R959" s="9"/>
      <c r="S959" s="180"/>
    </row>
    <row r="960" spans="1:20" ht="14.1" customHeight="1" x14ac:dyDescent="0.2">
      <c r="A960" s="4">
        <v>25</v>
      </c>
      <c r="B960" s="188"/>
      <c r="C960" s="9"/>
      <c r="D960" s="9"/>
      <c r="E960" s="177"/>
      <c r="F960" s="177"/>
      <c r="G960" s="179"/>
      <c r="H960" s="9"/>
      <c r="I960" s="226"/>
      <c r="J960" s="9"/>
      <c r="K960" s="149"/>
      <c r="L960" s="177"/>
      <c r="M960" s="177"/>
      <c r="N960" s="179"/>
      <c r="O960" s="9"/>
      <c r="P960" s="201"/>
      <c r="Q960" s="9"/>
      <c r="R960" s="9"/>
      <c r="S960" s="180"/>
    </row>
    <row r="961" spans="1:19" ht="14.1" customHeight="1" x14ac:dyDescent="0.2">
      <c r="A961" s="4">
        <v>26</v>
      </c>
      <c r="B961" s="9"/>
      <c r="C961" s="9"/>
      <c r="D961" s="9"/>
      <c r="E961" s="177"/>
      <c r="F961" s="177"/>
      <c r="G961" s="179"/>
      <c r="H961" s="9"/>
      <c r="I961" s="226"/>
      <c r="J961" s="9"/>
      <c r="K961" s="149"/>
      <c r="L961" s="177"/>
      <c r="M961" s="177"/>
      <c r="N961" s="179"/>
      <c r="O961" s="9"/>
      <c r="P961" s="201"/>
      <c r="Q961" s="9"/>
      <c r="R961" s="9"/>
      <c r="S961" s="180"/>
    </row>
    <row r="962" spans="1:19" ht="14.1" customHeight="1" x14ac:dyDescent="0.2">
      <c r="A962" s="4">
        <v>27</v>
      </c>
      <c r="B962" s="9"/>
      <c r="C962" s="9"/>
      <c r="D962" s="9"/>
      <c r="E962" s="177"/>
      <c r="F962" s="177"/>
      <c r="G962" s="179"/>
      <c r="H962" s="9"/>
      <c r="I962" s="226"/>
      <c r="J962" s="9"/>
      <c r="K962" s="149"/>
      <c r="L962" s="177"/>
      <c r="M962" s="177"/>
      <c r="N962" s="179"/>
      <c r="O962" s="9"/>
      <c r="P962" s="201"/>
      <c r="Q962" s="9"/>
      <c r="R962" s="9"/>
      <c r="S962" s="180"/>
    </row>
    <row r="963" spans="1:19" ht="14.1" customHeight="1" x14ac:dyDescent="0.2">
      <c r="A963" s="4">
        <v>28</v>
      </c>
      <c r="B963" s="188"/>
      <c r="C963" s="188"/>
      <c r="D963" s="9"/>
      <c r="E963" s="177"/>
      <c r="F963" s="177"/>
      <c r="G963" s="179"/>
      <c r="H963" s="9"/>
      <c r="I963" s="226"/>
      <c r="J963" s="9"/>
      <c r="K963" s="149"/>
      <c r="L963" s="177"/>
      <c r="M963" s="177"/>
      <c r="N963" s="179"/>
      <c r="O963" s="9"/>
      <c r="P963" s="201"/>
      <c r="Q963" s="9"/>
      <c r="R963" s="9"/>
      <c r="S963" s="180"/>
    </row>
    <row r="964" spans="1:19" ht="14.1" customHeight="1" x14ac:dyDescent="0.2">
      <c r="A964" s="4">
        <v>29</v>
      </c>
      <c r="B964" s="9"/>
      <c r="C964" s="188"/>
      <c r="D964" s="9"/>
      <c r="E964" s="177"/>
      <c r="F964" s="177"/>
      <c r="G964" s="179"/>
      <c r="H964" s="9"/>
      <c r="I964" s="226"/>
      <c r="J964" s="9"/>
      <c r="K964" s="149"/>
      <c r="L964" s="177"/>
      <c r="M964" s="177"/>
      <c r="N964" s="179"/>
      <c r="O964" s="9"/>
      <c r="P964" s="201"/>
      <c r="Q964" s="9"/>
      <c r="R964" s="9"/>
      <c r="S964" s="180"/>
    </row>
    <row r="965" spans="1:19" ht="14.1" customHeight="1" x14ac:dyDescent="0.2">
      <c r="A965" s="4">
        <v>30</v>
      </c>
      <c r="B965" s="9"/>
      <c r="C965" s="9"/>
      <c r="D965" s="9"/>
      <c r="E965" s="177"/>
      <c r="F965" s="177"/>
      <c r="G965" s="179"/>
      <c r="H965" s="9"/>
      <c r="I965" s="226"/>
      <c r="J965" s="9"/>
      <c r="K965" s="149"/>
      <c r="L965" s="177"/>
      <c r="M965" s="177"/>
      <c r="N965" s="179"/>
      <c r="O965" s="9"/>
      <c r="P965" s="201"/>
      <c r="Q965" s="9"/>
      <c r="R965" s="9"/>
      <c r="S965" s="180"/>
    </row>
    <row r="966" spans="1:19" ht="14.1" customHeight="1" x14ac:dyDescent="0.2">
      <c r="A966" s="4">
        <v>31</v>
      </c>
      <c r="B966" s="188"/>
      <c r="C966" s="188"/>
      <c r="D966" s="9"/>
      <c r="E966" s="177"/>
      <c r="F966" s="9"/>
      <c r="G966" s="9"/>
      <c r="H966" s="9"/>
      <c r="I966" s="50"/>
      <c r="J966" s="9"/>
      <c r="K966" s="149"/>
      <c r="L966" s="177"/>
      <c r="M966" s="9"/>
      <c r="N966" s="9"/>
      <c r="O966" s="9"/>
      <c r="P966" s="76"/>
      <c r="Q966" s="9"/>
      <c r="R966" s="9"/>
      <c r="S966" s="180"/>
    </row>
    <row r="967" spans="1:19" ht="14.1" customHeight="1" x14ac:dyDescent="0.2">
      <c r="A967" s="4">
        <v>32</v>
      </c>
      <c r="B967" s="9"/>
      <c r="C967" s="9"/>
      <c r="D967" s="9"/>
      <c r="E967" s="9"/>
      <c r="F967" s="9"/>
      <c r="G967" s="9"/>
      <c r="H967" s="9"/>
      <c r="I967" s="50"/>
      <c r="J967" s="9"/>
      <c r="K967" s="149"/>
      <c r="L967" s="9"/>
      <c r="M967" s="9"/>
      <c r="N967" s="9"/>
      <c r="O967" s="9"/>
      <c r="P967" s="9"/>
      <c r="Q967" s="9"/>
      <c r="R967" s="9"/>
      <c r="S967" s="9"/>
    </row>
    <row r="968" spans="1:19" ht="14.1" customHeight="1" x14ac:dyDescent="0.2">
      <c r="A968" s="4">
        <v>33</v>
      </c>
      <c r="B968" s="48"/>
      <c r="C968" s="9"/>
      <c r="D968" s="9"/>
      <c r="E968" s="9"/>
      <c r="F968" s="9"/>
      <c r="G968" s="9"/>
      <c r="H968" s="9"/>
      <c r="I968" s="188"/>
      <c r="J968" s="177"/>
      <c r="K968" s="173"/>
      <c r="L968" s="177"/>
      <c r="M968" s="177"/>
      <c r="N968" s="177"/>
      <c r="O968" s="177"/>
      <c r="P968" s="179"/>
      <c r="Q968" s="177"/>
      <c r="R968" s="177"/>
      <c r="S968" s="180"/>
    </row>
    <row r="969" spans="1:19" ht="14.1" customHeight="1" x14ac:dyDescent="0.2">
      <c r="A969" s="4">
        <v>34</v>
      </c>
      <c r="B969" s="169"/>
      <c r="C969" s="188"/>
      <c r="D969" s="9"/>
      <c r="E969" s="9"/>
      <c r="F969" s="177"/>
      <c r="G969" s="177"/>
      <c r="H969" s="177"/>
      <c r="I969" s="226"/>
      <c r="J969" s="177"/>
      <c r="K969" s="173"/>
      <c r="L969" s="177"/>
      <c r="M969" s="177"/>
      <c r="N969" s="177"/>
      <c r="O969" s="177"/>
      <c r="P969" s="177"/>
      <c r="Q969" s="177"/>
      <c r="R969" s="177"/>
      <c r="S969" s="177"/>
    </row>
    <row r="970" spans="1:19" ht="14.1" customHeight="1" x14ac:dyDescent="0.2">
      <c r="A970" s="4">
        <v>35</v>
      </c>
      <c r="B970" s="48"/>
      <c r="C970" s="188"/>
      <c r="D970" s="9"/>
      <c r="E970" s="9"/>
      <c r="F970" s="177"/>
      <c r="G970" s="177"/>
      <c r="H970" s="177"/>
      <c r="I970" s="188"/>
      <c r="J970" s="177"/>
      <c r="K970" s="173"/>
      <c r="L970" s="177"/>
      <c r="M970" s="177"/>
      <c r="N970" s="177"/>
      <c r="O970" s="177"/>
      <c r="P970" s="179"/>
      <c r="Q970" s="177"/>
      <c r="R970" s="177"/>
      <c r="S970" s="240"/>
    </row>
    <row r="971" spans="1:19" ht="14.1" customHeight="1" x14ac:dyDescent="0.2">
      <c r="A971" s="4">
        <v>36</v>
      </c>
      <c r="B971" s="48"/>
      <c r="C971" s="188"/>
      <c r="D971" s="9"/>
      <c r="E971" s="9"/>
      <c r="F971" s="177"/>
      <c r="G971" s="177"/>
      <c r="H971" s="177"/>
      <c r="I971" s="188"/>
      <c r="J971" s="177"/>
      <c r="K971" s="173"/>
      <c r="L971" s="177"/>
      <c r="M971" s="177"/>
      <c r="N971" s="177"/>
      <c r="O971" s="177"/>
      <c r="P971" s="179"/>
      <c r="Q971" s="177"/>
      <c r="R971" s="177"/>
      <c r="S971" s="240"/>
    </row>
    <row r="972" spans="1:19" ht="14.1" customHeight="1" x14ac:dyDescent="0.2">
      <c r="A972" s="4">
        <v>37</v>
      </c>
      <c r="B972" s="48"/>
      <c r="C972" s="188"/>
      <c r="D972" s="9"/>
      <c r="E972" s="9"/>
      <c r="F972" s="177"/>
      <c r="G972" s="177"/>
      <c r="H972" s="177"/>
      <c r="I972" s="188"/>
      <c r="J972" s="177"/>
      <c r="K972" s="173"/>
      <c r="L972" s="177"/>
      <c r="M972" s="177"/>
      <c r="N972" s="177"/>
      <c r="O972" s="177"/>
      <c r="P972" s="179"/>
      <c r="Q972" s="177"/>
      <c r="R972" s="177"/>
      <c r="S972" s="240"/>
    </row>
    <row r="973" spans="1:19" ht="14.1" customHeight="1" x14ac:dyDescent="0.2">
      <c r="A973" s="4">
        <v>38</v>
      </c>
      <c r="B973" s="48"/>
      <c r="C973" s="188"/>
      <c r="D973" s="9"/>
      <c r="E973" s="9"/>
      <c r="F973" s="177"/>
      <c r="G973" s="177"/>
      <c r="H973" s="177"/>
      <c r="I973" s="188"/>
      <c r="J973" s="177"/>
      <c r="K973" s="173"/>
      <c r="L973" s="177"/>
      <c r="M973" s="177"/>
      <c r="N973" s="177"/>
      <c r="O973" s="177"/>
      <c r="P973" s="179"/>
      <c r="Q973" s="177"/>
      <c r="R973" s="177"/>
      <c r="S973" s="240"/>
    </row>
    <row r="974" spans="1:19" ht="14.1" customHeight="1" thickBot="1" x14ac:dyDescent="0.25">
      <c r="A974" s="16">
        <v>39</v>
      </c>
      <c r="B974" s="16"/>
      <c r="C974" s="16"/>
      <c r="D974" s="16"/>
      <c r="E974" s="16"/>
      <c r="F974" s="16"/>
      <c r="G974" s="16"/>
      <c r="H974" s="16"/>
      <c r="I974" s="51"/>
      <c r="J974" s="16"/>
      <c r="K974" s="151"/>
      <c r="L974" s="16"/>
      <c r="M974" s="16"/>
      <c r="N974" s="16"/>
      <c r="O974" s="16"/>
      <c r="P974" s="16"/>
      <c r="Q974" s="16"/>
      <c r="R974" s="16"/>
      <c r="S974" s="16"/>
    </row>
    <row r="975" spans="1:19" ht="14.1" customHeight="1" x14ac:dyDescent="0.2">
      <c r="A975" s="9"/>
      <c r="B975" s="9"/>
      <c r="C975" s="9"/>
      <c r="D975" s="9"/>
      <c r="E975" s="9"/>
      <c r="F975" s="9"/>
      <c r="G975" s="9"/>
      <c r="H975" s="9"/>
      <c r="I975" s="50"/>
      <c r="J975" s="9"/>
      <c r="K975" s="286"/>
      <c r="L975" s="9"/>
      <c r="M975" s="9"/>
      <c r="N975" s="9"/>
      <c r="O975" s="9"/>
      <c r="P975" s="9"/>
      <c r="Q975" s="9"/>
      <c r="R975" s="9"/>
      <c r="S975" s="9" t="s">
        <v>219</v>
      </c>
    </row>
    <row r="976" spans="1:19" ht="14.1" customHeight="1" x14ac:dyDescent="0.2">
      <c r="H976" s="292" t="s">
        <v>768</v>
      </c>
      <c r="I976" s="292"/>
      <c r="J976" s="292"/>
      <c r="K976" s="292"/>
      <c r="L976" s="292"/>
    </row>
    <row r="977" spans="1:19" ht="14.1" customHeight="1" thickBot="1" x14ac:dyDescent="0.25">
      <c r="A977" s="16" t="s">
        <v>7</v>
      </c>
      <c r="B977" s="16"/>
      <c r="C977" s="16"/>
      <c r="D977" s="16"/>
      <c r="E977" s="16"/>
      <c r="F977" s="16"/>
      <c r="G977" s="16"/>
      <c r="H977" s="301" t="s">
        <v>380</v>
      </c>
      <c r="I977" s="301"/>
      <c r="J977" s="301"/>
      <c r="K977" s="301"/>
      <c r="L977" s="301"/>
      <c r="M977" s="16"/>
      <c r="N977" s="16"/>
      <c r="O977" s="16"/>
      <c r="P977" s="16"/>
      <c r="Q977" s="16"/>
      <c r="R977" s="16"/>
      <c r="S977" s="287" t="str">
        <f>"Page " &amp; INT(ROW()/$R$1 +1)  &amp; "  of " &amp; S$1</f>
        <v>Page 19  of 19</v>
      </c>
    </row>
    <row r="978" spans="1:19" ht="14.1" customHeight="1" x14ac:dyDescent="0.2">
      <c r="A978" s="4" t="s">
        <v>21</v>
      </c>
      <c r="E978" s="4" t="s">
        <v>761</v>
      </c>
      <c r="G978" s="4" t="s">
        <v>766</v>
      </c>
      <c r="K978" s="285"/>
      <c r="L978" s="56"/>
      <c r="N978" s="56"/>
      <c r="O978" s="56"/>
      <c r="P978" s="56" t="s">
        <v>663</v>
      </c>
      <c r="S978" s="22"/>
    </row>
    <row r="979" spans="1:19" ht="14.1" customHeight="1" x14ac:dyDescent="0.2">
      <c r="G979" s="4" t="s">
        <v>767</v>
      </c>
      <c r="K979" s="284"/>
      <c r="L979" s="22"/>
      <c r="O979" s="21"/>
      <c r="P979" s="21"/>
      <c r="Q979" s="22" t="s">
        <v>764</v>
      </c>
      <c r="S979" s="21"/>
    </row>
    <row r="980" spans="1:19" ht="14.1" customHeight="1" x14ac:dyDescent="0.2">
      <c r="A980" s="4" t="s">
        <v>29</v>
      </c>
      <c r="G980" s="4" t="s">
        <v>770</v>
      </c>
      <c r="K980" s="284"/>
      <c r="L980" s="22"/>
      <c r="M980" s="21"/>
      <c r="P980" s="21"/>
      <c r="Q980" s="22" t="s">
        <v>765</v>
      </c>
      <c r="S980" s="21"/>
    </row>
    <row r="981" spans="1:19" ht="14.1" customHeight="1" x14ac:dyDescent="0.2">
      <c r="G981" s="4" t="s">
        <v>769</v>
      </c>
      <c r="K981" s="284"/>
      <c r="L981" s="22"/>
      <c r="M981" s="21"/>
      <c r="P981" s="21"/>
      <c r="Q981" s="22"/>
      <c r="S981" s="21"/>
    </row>
    <row r="982" spans="1:19" ht="14.1" customHeight="1" x14ac:dyDescent="0.2">
      <c r="C982" s="21"/>
      <c r="H982" s="10"/>
      <c r="I982" s="10"/>
      <c r="J982" s="10"/>
      <c r="K982" s="284"/>
      <c r="Q982" s="4" t="s">
        <v>738</v>
      </c>
    </row>
    <row r="983" spans="1:19" ht="14.1" customHeight="1" thickBot="1" x14ac:dyDescent="0.25">
      <c r="A983" s="16"/>
      <c r="B983" s="16"/>
      <c r="C983" s="150"/>
      <c r="D983" s="101"/>
      <c r="E983" s="101"/>
      <c r="F983" s="101"/>
      <c r="G983" s="102"/>
      <c r="H983" s="101"/>
      <c r="I983" s="101"/>
      <c r="J983" s="101"/>
      <c r="K983" s="101"/>
      <c r="L983" s="101"/>
      <c r="M983" s="101"/>
      <c r="N983" s="101"/>
      <c r="O983" s="101"/>
      <c r="P983" s="101"/>
      <c r="Q983" s="101"/>
      <c r="R983" s="101"/>
      <c r="S983" s="101"/>
    </row>
    <row r="984" spans="1:19" ht="14.1" customHeight="1" x14ac:dyDescent="0.2">
      <c r="E984" s="10"/>
      <c r="G984" s="10"/>
      <c r="H984" s="103"/>
      <c r="I984" s="10"/>
      <c r="K984" s="10"/>
      <c r="M984" s="103"/>
    </row>
    <row r="985" spans="1:19" ht="14.1" customHeight="1" x14ac:dyDescent="0.2">
      <c r="A985" s="9"/>
      <c r="B985" s="92"/>
      <c r="C985" s="92"/>
      <c r="D985" s="1"/>
      <c r="E985" s="39"/>
      <c r="F985" s="1"/>
      <c r="G985" s="1"/>
      <c r="H985" s="39"/>
      <c r="I985" s="1"/>
      <c r="J985" s="1"/>
      <c r="K985" s="3"/>
      <c r="L985" s="1"/>
      <c r="M985" s="39"/>
      <c r="N985" s="1"/>
      <c r="O985" s="1"/>
      <c r="P985" s="1"/>
      <c r="Q985" s="1"/>
      <c r="R985" s="1"/>
      <c r="S985" s="1"/>
    </row>
    <row r="986" spans="1:19" ht="14.1" customHeight="1" x14ac:dyDescent="0.2">
      <c r="A986" s="9"/>
      <c r="B986" s="92"/>
      <c r="C986" s="1"/>
      <c r="D986" s="1"/>
      <c r="E986" s="1"/>
      <c r="F986" s="39"/>
      <c r="G986" s="39"/>
      <c r="H986" s="40"/>
      <c r="J986" s="222" t="s">
        <v>217</v>
      </c>
      <c r="K986" s="41" t="s">
        <v>27</v>
      </c>
      <c r="L986" s="39"/>
      <c r="M986" s="1"/>
      <c r="N986" s="39"/>
      <c r="O986" s="39"/>
      <c r="P986" s="39"/>
      <c r="Q986" s="39"/>
      <c r="R986" s="39"/>
      <c r="S986" s="1"/>
    </row>
    <row r="987" spans="1:19" ht="14.1" customHeight="1" x14ac:dyDescent="0.2">
      <c r="A987" s="9"/>
      <c r="B987" s="92"/>
      <c r="C987" s="1"/>
      <c r="D987" s="1"/>
      <c r="E987" s="1"/>
      <c r="F987" s="39"/>
      <c r="G987" s="39"/>
      <c r="H987" s="39"/>
      <c r="I987" s="39"/>
      <c r="J987" s="39"/>
      <c r="K987" s="3"/>
      <c r="L987" s="39"/>
      <c r="M987" s="39"/>
      <c r="N987" s="39"/>
      <c r="O987" s="39"/>
      <c r="P987" s="39"/>
      <c r="Q987" s="39"/>
      <c r="R987" s="39"/>
      <c r="S987" s="39"/>
    </row>
    <row r="988" spans="1:19" ht="14.1" customHeight="1" x14ac:dyDescent="0.2">
      <c r="A988" s="149" t="s">
        <v>26</v>
      </c>
      <c r="B988" s="176" t="s">
        <v>5</v>
      </c>
      <c r="C988" s="216"/>
      <c r="D988" s="213"/>
      <c r="E988" s="192"/>
      <c r="F988" s="192"/>
      <c r="G988" s="267" t="s">
        <v>8</v>
      </c>
      <c r="H988" s="192"/>
      <c r="I988" s="192"/>
      <c r="J988" s="216"/>
      <c r="K988" s="187"/>
      <c r="L988" s="192"/>
      <c r="M988" s="267"/>
      <c r="N988" s="267" t="s">
        <v>9</v>
      </c>
      <c r="O988" s="192"/>
      <c r="P988" s="192"/>
      <c r="Q988" s="216"/>
      <c r="R988" s="290" t="s">
        <v>750</v>
      </c>
      <c r="S988" s="290" t="s">
        <v>752</v>
      </c>
    </row>
    <row r="989" spans="1:19" ht="14.1" customHeight="1" thickBot="1" x14ac:dyDescent="0.25">
      <c r="A989" s="151" t="s">
        <v>28</v>
      </c>
      <c r="B989" s="175" t="s">
        <v>10</v>
      </c>
      <c r="C989" s="215"/>
      <c r="D989" s="44"/>
      <c r="E989" s="151"/>
      <c r="F989" s="194"/>
      <c r="G989" s="194"/>
      <c r="H989" s="194"/>
      <c r="I989" s="194" t="s">
        <v>13</v>
      </c>
      <c r="J989" s="194"/>
      <c r="K989" s="194"/>
      <c r="L989" s="194"/>
      <c r="M989" s="194"/>
      <c r="N989" s="194"/>
      <c r="O989" s="194"/>
      <c r="P989" s="194" t="s">
        <v>13</v>
      </c>
      <c r="Q989" s="215"/>
      <c r="R989" s="291" t="s">
        <v>751</v>
      </c>
      <c r="S989" s="291" t="s">
        <v>4</v>
      </c>
    </row>
    <row r="990" spans="1:19" ht="14.1" customHeight="1" x14ac:dyDescent="0.2">
      <c r="A990" s="4">
        <v>1</v>
      </c>
      <c r="B990" s="302"/>
      <c r="C990" s="302"/>
      <c r="D990" s="302"/>
      <c r="F990" s="188"/>
      <c r="G990" s="188"/>
      <c r="H990" s="188"/>
      <c r="I990" s="188"/>
      <c r="J990" s="186"/>
      <c r="K990" s="187"/>
      <c r="L990" s="186"/>
      <c r="M990" s="188"/>
      <c r="N990" s="188"/>
      <c r="O990" s="188"/>
      <c r="P990" s="188"/>
      <c r="Q990" s="188"/>
      <c r="R990" s="188"/>
      <c r="S990" s="188"/>
    </row>
    <row r="991" spans="1:19" ht="14.1" customHeight="1" thickBot="1" x14ac:dyDescent="0.25">
      <c r="A991" s="4">
        <v>2</v>
      </c>
      <c r="B991" s="45" t="s">
        <v>50</v>
      </c>
      <c r="E991" s="6"/>
      <c r="I991" s="162">
        <f>+I87+I146+I189+I305+I371+I428+I482+I570+I678+I901+I942</f>
        <v>1228255338.8236432</v>
      </c>
      <c r="J991" s="177"/>
      <c r="K991" s="173"/>
      <c r="L991" s="177"/>
      <c r="P991" s="162">
        <f>+P87+P146+P189+P305+P371+P428+P482+P570+P678+P901+P942</f>
        <v>1238255338.8246431</v>
      </c>
      <c r="R991" s="177">
        <f t="shared" ref="R991" si="256">+P991-I991</f>
        <v>10000000.000999928</v>
      </c>
      <c r="S991" s="152">
        <f t="shared" ref="S991" si="257">IF(R991=0,0,(P991-I991)/I991)</f>
        <v>8.1416295821497408E-3</v>
      </c>
    </row>
    <row r="992" spans="1:19" ht="14.1" customHeight="1" thickTop="1" x14ac:dyDescent="0.2">
      <c r="A992" s="4">
        <v>3</v>
      </c>
      <c r="B992" s="186"/>
      <c r="D992" s="9"/>
      <c r="E992" s="6"/>
      <c r="F992" s="177"/>
      <c r="G992" s="177"/>
      <c r="H992" s="177"/>
      <c r="I992" s="177"/>
      <c r="J992" s="177"/>
      <c r="K992" s="173"/>
      <c r="L992" s="6"/>
      <c r="M992" s="177"/>
      <c r="N992" s="177"/>
      <c r="O992" s="177"/>
      <c r="P992" s="177"/>
      <c r="S992" s="180"/>
    </row>
    <row r="993" spans="1:19" ht="14.1" customHeight="1" x14ac:dyDescent="0.2">
      <c r="A993" s="4">
        <v>4</v>
      </c>
      <c r="B993" s="43"/>
      <c r="C993" s="186"/>
      <c r="D993" s="9"/>
      <c r="F993" s="177"/>
      <c r="G993" s="179"/>
      <c r="H993" s="177"/>
      <c r="I993" s="177"/>
      <c r="J993" s="177"/>
      <c r="K993" s="173"/>
      <c r="M993" s="177"/>
      <c r="N993" s="212"/>
      <c r="O993" s="177"/>
      <c r="P993" s="177"/>
      <c r="R993" s="177"/>
      <c r="S993" s="152"/>
    </row>
    <row r="994" spans="1:19" ht="14.1" customHeight="1" x14ac:dyDescent="0.2">
      <c r="A994" s="4">
        <v>5</v>
      </c>
      <c r="B994" s="43"/>
      <c r="C994" s="186"/>
      <c r="D994" s="9"/>
      <c r="F994" s="177"/>
      <c r="G994" s="179"/>
      <c r="H994" s="177"/>
      <c r="I994" s="177"/>
      <c r="J994" s="177"/>
      <c r="K994" s="173"/>
      <c r="M994" s="177"/>
      <c r="N994" s="212"/>
      <c r="O994" s="177"/>
      <c r="P994" s="177"/>
      <c r="R994" s="177"/>
      <c r="S994" s="152"/>
    </row>
    <row r="995" spans="1:19" ht="14.1" customHeight="1" x14ac:dyDescent="0.2">
      <c r="A995" s="4">
        <v>6</v>
      </c>
      <c r="B995" s="43"/>
      <c r="D995" s="9"/>
      <c r="F995" s="177"/>
      <c r="G995" s="179"/>
      <c r="H995" s="177"/>
      <c r="I995" s="177"/>
      <c r="J995" s="177"/>
      <c r="K995" s="173"/>
      <c r="M995" s="177"/>
      <c r="N995" s="212"/>
      <c r="O995" s="177"/>
      <c r="P995" s="177"/>
      <c r="R995" s="177"/>
      <c r="S995" s="152"/>
    </row>
    <row r="996" spans="1:19" ht="14.1" customHeight="1" x14ac:dyDescent="0.2">
      <c r="A996" s="4">
        <v>7</v>
      </c>
      <c r="D996" s="9"/>
      <c r="F996" s="177"/>
      <c r="G996" s="179"/>
      <c r="H996" s="177"/>
      <c r="I996" s="177"/>
      <c r="J996" s="177"/>
      <c r="K996" s="173"/>
      <c r="M996" s="177"/>
      <c r="N996" s="212"/>
      <c r="O996" s="177"/>
      <c r="P996" s="177"/>
      <c r="R996" s="177"/>
      <c r="S996" s="152"/>
    </row>
    <row r="997" spans="1:19" ht="14.1" customHeight="1" x14ac:dyDescent="0.2">
      <c r="A997" s="4">
        <v>8</v>
      </c>
      <c r="K997" s="4"/>
      <c r="R997" s="177"/>
      <c r="S997" s="152"/>
    </row>
    <row r="998" spans="1:19" ht="14.1" customHeight="1" x14ac:dyDescent="0.2">
      <c r="A998" s="4">
        <v>9</v>
      </c>
      <c r="K998" s="4"/>
      <c r="R998" s="177"/>
      <c r="S998" s="152"/>
    </row>
    <row r="999" spans="1:19" ht="14.1" customHeight="1" x14ac:dyDescent="0.2">
      <c r="A999" s="4">
        <v>10</v>
      </c>
      <c r="K999" s="4"/>
      <c r="R999" s="177"/>
      <c r="S999" s="152"/>
    </row>
    <row r="1000" spans="1:19" ht="14.1" customHeight="1" x14ac:dyDescent="0.2">
      <c r="A1000" s="4">
        <v>11</v>
      </c>
      <c r="K1000" s="4"/>
    </row>
    <row r="1001" spans="1:19" ht="14.1" customHeight="1" x14ac:dyDescent="0.2">
      <c r="A1001" s="4">
        <v>12</v>
      </c>
      <c r="B1001" s="186"/>
      <c r="C1001" s="186"/>
      <c r="K1001" s="4"/>
    </row>
    <row r="1002" spans="1:19" ht="14.1" customHeight="1" x14ac:dyDescent="0.2">
      <c r="A1002" s="4">
        <v>13</v>
      </c>
      <c r="B1002" s="43"/>
      <c r="K1002" s="4"/>
      <c r="R1002" s="177"/>
      <c r="S1002" s="152"/>
    </row>
    <row r="1003" spans="1:19" ht="14.1" customHeight="1" x14ac:dyDescent="0.2">
      <c r="A1003" s="4">
        <v>14</v>
      </c>
      <c r="B1003" s="43"/>
      <c r="K1003" s="4"/>
      <c r="R1003" s="177"/>
      <c r="S1003" s="152"/>
    </row>
    <row r="1004" spans="1:19" ht="14.1" customHeight="1" x14ac:dyDescent="0.2">
      <c r="A1004" s="4">
        <v>15</v>
      </c>
      <c r="K1004" s="4"/>
      <c r="R1004" s="177"/>
      <c r="S1004" s="152"/>
    </row>
    <row r="1005" spans="1:19" ht="14.1" customHeight="1" x14ac:dyDescent="0.2">
      <c r="A1005" s="4">
        <v>16</v>
      </c>
      <c r="K1005" s="4"/>
      <c r="R1005" s="177"/>
      <c r="S1005" s="152"/>
    </row>
    <row r="1006" spans="1:19" ht="14.1" customHeight="1" x14ac:dyDescent="0.2">
      <c r="A1006" s="4">
        <v>17</v>
      </c>
      <c r="B1006" s="186"/>
      <c r="C1006" s="188"/>
      <c r="K1006" s="4"/>
      <c r="Q1006" s="177"/>
      <c r="R1006" s="177"/>
      <c r="S1006" s="152"/>
    </row>
    <row r="1007" spans="1:19" ht="14.1" customHeight="1" x14ac:dyDescent="0.2">
      <c r="A1007" s="4">
        <v>18</v>
      </c>
      <c r="B1007" s="9"/>
      <c r="C1007" s="9"/>
      <c r="D1007" s="9"/>
      <c r="E1007" s="9"/>
      <c r="F1007" s="9"/>
      <c r="G1007" s="9"/>
      <c r="H1007" s="9"/>
      <c r="I1007" s="9"/>
      <c r="J1007" s="9"/>
      <c r="K1007" s="149"/>
      <c r="L1007" s="6"/>
      <c r="M1007" s="9"/>
      <c r="N1007" s="9"/>
      <c r="O1007" s="9"/>
      <c r="P1007" s="9"/>
      <c r="Q1007" s="9"/>
      <c r="R1007" s="9"/>
      <c r="S1007" s="9"/>
    </row>
    <row r="1008" spans="1:19" ht="14.1" customHeight="1" x14ac:dyDescent="0.2">
      <c r="A1008" s="4">
        <v>19</v>
      </c>
      <c r="B1008" s="9"/>
      <c r="C1008" s="9"/>
      <c r="D1008" s="9"/>
      <c r="E1008" s="9"/>
      <c r="F1008" s="9"/>
      <c r="G1008" s="9"/>
      <c r="H1008" s="9"/>
      <c r="I1008" s="9"/>
      <c r="J1008" s="9"/>
      <c r="K1008" s="149"/>
      <c r="L1008" s="9"/>
      <c r="M1008" s="9"/>
      <c r="N1008" s="9"/>
      <c r="O1008" s="9"/>
      <c r="P1008" s="9"/>
      <c r="Q1008" s="9"/>
      <c r="R1008" s="9"/>
      <c r="S1008" s="9"/>
    </row>
    <row r="1009" spans="1:24" ht="14.1" customHeight="1" x14ac:dyDescent="0.2">
      <c r="A1009" s="4">
        <v>20</v>
      </c>
      <c r="B1009" s="169"/>
      <c r="C1009" s="169"/>
      <c r="D1009" s="169"/>
      <c r="E1009" s="9"/>
      <c r="F1009" s="9"/>
      <c r="G1009" s="9"/>
      <c r="H1009" s="9"/>
      <c r="I1009" s="9"/>
      <c r="J1009" s="9"/>
      <c r="K1009" s="149"/>
      <c r="L1009" s="9"/>
      <c r="M1009" s="9"/>
      <c r="N1009" s="9"/>
      <c r="O1009" s="9"/>
      <c r="P1009" s="9"/>
      <c r="Q1009" s="9"/>
      <c r="R1009" s="9"/>
      <c r="S1009" s="9"/>
    </row>
    <row r="1010" spans="1:24" ht="14.1" customHeight="1" x14ac:dyDescent="0.2">
      <c r="A1010" s="4">
        <v>21</v>
      </c>
      <c r="K1010" s="4"/>
    </row>
    <row r="1011" spans="1:24" ht="14.1" customHeight="1" x14ac:dyDescent="0.2">
      <c r="A1011" s="4">
        <v>22</v>
      </c>
      <c r="K1011" s="4"/>
    </row>
    <row r="1012" spans="1:24" ht="14.1" customHeight="1" x14ac:dyDescent="0.2">
      <c r="A1012" s="4">
        <v>23</v>
      </c>
      <c r="K1012" s="4"/>
    </row>
    <row r="1013" spans="1:24" ht="14.1" customHeight="1" x14ac:dyDescent="0.2">
      <c r="A1013" s="4">
        <v>24</v>
      </c>
      <c r="K1013" s="4"/>
    </row>
    <row r="1014" spans="1:24" ht="14.1" customHeight="1" x14ac:dyDescent="0.2">
      <c r="A1014" s="4">
        <v>25</v>
      </c>
      <c r="K1014" s="4"/>
    </row>
    <row r="1015" spans="1:24" ht="14.1" customHeight="1" x14ac:dyDescent="0.2">
      <c r="A1015" s="4">
        <v>26</v>
      </c>
      <c r="B1015" s="45"/>
      <c r="I1015" s="177"/>
      <c r="J1015" s="177"/>
      <c r="K1015" s="173"/>
      <c r="L1015" s="177"/>
      <c r="P1015" s="177"/>
      <c r="S1015" s="180"/>
    </row>
    <row r="1016" spans="1:24" ht="14.1" customHeight="1" x14ac:dyDescent="0.2">
      <c r="A1016" s="4">
        <v>27</v>
      </c>
      <c r="B1016" s="45"/>
      <c r="I1016" s="177"/>
      <c r="J1016" s="177"/>
      <c r="K1016" s="173"/>
      <c r="L1016" s="177"/>
      <c r="P1016" s="177"/>
      <c r="S1016" s="180"/>
    </row>
    <row r="1017" spans="1:24" ht="14.1" customHeight="1" x14ac:dyDescent="0.2">
      <c r="A1017" s="4">
        <v>28</v>
      </c>
      <c r="B1017" s="45"/>
      <c r="I1017" s="177"/>
      <c r="J1017" s="177"/>
      <c r="K1017" s="173"/>
      <c r="L1017" s="177"/>
      <c r="P1017" s="177"/>
      <c r="S1017" s="180"/>
    </row>
    <row r="1018" spans="1:24" ht="14.1" customHeight="1" x14ac:dyDescent="0.2">
      <c r="A1018" s="4">
        <v>29</v>
      </c>
      <c r="B1018" s="45"/>
      <c r="I1018" s="177"/>
      <c r="J1018" s="177"/>
      <c r="K1018" s="173"/>
      <c r="L1018" s="177"/>
      <c r="P1018" s="177"/>
      <c r="S1018" s="180"/>
    </row>
    <row r="1019" spans="1:24" ht="14.1" customHeight="1" x14ac:dyDescent="0.2">
      <c r="A1019" s="4">
        <v>30</v>
      </c>
      <c r="B1019" s="45"/>
      <c r="I1019" s="177"/>
      <c r="J1019" s="177"/>
      <c r="K1019" s="173"/>
      <c r="L1019" s="177"/>
      <c r="P1019" s="177"/>
      <c r="S1019" s="180"/>
    </row>
    <row r="1020" spans="1:24" ht="14.1" customHeight="1" x14ac:dyDescent="0.2">
      <c r="A1020" s="4">
        <v>31</v>
      </c>
      <c r="B1020" s="45"/>
      <c r="I1020" s="177"/>
      <c r="J1020" s="177"/>
      <c r="K1020" s="173"/>
      <c r="L1020" s="177"/>
      <c r="P1020" s="177"/>
      <c r="S1020" s="180"/>
      <c r="W1020" s="5"/>
      <c r="X1020" s="5"/>
    </row>
    <row r="1021" spans="1:24" ht="14.1" customHeight="1" x14ac:dyDescent="0.2">
      <c r="A1021" s="4">
        <v>32</v>
      </c>
      <c r="B1021" s="45"/>
      <c r="I1021" s="177"/>
      <c r="J1021" s="177"/>
      <c r="K1021" s="173"/>
      <c r="L1021" s="177"/>
      <c r="P1021" s="177"/>
      <c r="S1021" s="180"/>
    </row>
    <row r="1022" spans="1:24" ht="14.1" customHeight="1" x14ac:dyDescent="0.2">
      <c r="A1022" s="4">
        <v>33</v>
      </c>
      <c r="B1022" s="45"/>
      <c r="I1022" s="177"/>
      <c r="J1022" s="177"/>
      <c r="K1022" s="173"/>
      <c r="L1022" s="177"/>
      <c r="P1022" s="177"/>
      <c r="S1022" s="180"/>
    </row>
    <row r="1023" spans="1:24" ht="14.1" customHeight="1" x14ac:dyDescent="0.2">
      <c r="A1023" s="4">
        <v>34</v>
      </c>
      <c r="B1023" s="45"/>
      <c r="I1023" s="177"/>
      <c r="J1023" s="177"/>
      <c r="K1023" s="173"/>
      <c r="L1023" s="177"/>
      <c r="P1023" s="177"/>
      <c r="S1023" s="180"/>
    </row>
    <row r="1024" spans="1:24" ht="14.1" customHeight="1" x14ac:dyDescent="0.2">
      <c r="A1024" s="4">
        <v>35</v>
      </c>
      <c r="B1024" s="45"/>
      <c r="I1024" s="177"/>
      <c r="J1024" s="177"/>
      <c r="K1024" s="173"/>
      <c r="L1024" s="177"/>
      <c r="P1024" s="177"/>
      <c r="S1024" s="180"/>
    </row>
    <row r="1025" spans="1:19" ht="14.1" customHeight="1" x14ac:dyDescent="0.2">
      <c r="A1025" s="4">
        <v>36</v>
      </c>
      <c r="B1025" s="45"/>
      <c r="I1025" s="177"/>
      <c r="J1025" s="177"/>
      <c r="K1025" s="173"/>
      <c r="L1025" s="177"/>
      <c r="P1025" s="177"/>
      <c r="S1025" s="180"/>
    </row>
    <row r="1026" spans="1:19" ht="14.1" customHeight="1" x14ac:dyDescent="0.2">
      <c r="A1026" s="4">
        <v>37</v>
      </c>
      <c r="B1026" s="45"/>
      <c r="I1026" s="177"/>
      <c r="J1026" s="177"/>
      <c r="K1026" s="173"/>
      <c r="L1026" s="177"/>
      <c r="P1026" s="177"/>
      <c r="S1026" s="180"/>
    </row>
    <row r="1027" spans="1:19" ht="14.1" customHeight="1" x14ac:dyDescent="0.2">
      <c r="A1027" s="4">
        <v>38</v>
      </c>
      <c r="B1027" s="45"/>
      <c r="I1027" s="177"/>
      <c r="J1027" s="177"/>
      <c r="K1027" s="173"/>
      <c r="L1027" s="177"/>
      <c r="P1027" s="177"/>
      <c r="S1027" s="180"/>
    </row>
    <row r="1028" spans="1:19" ht="14.1" customHeight="1" thickBot="1" x14ac:dyDescent="0.25">
      <c r="A1028" s="16">
        <v>39</v>
      </c>
      <c r="B1028" s="16"/>
      <c r="C1028" s="16"/>
      <c r="D1028" s="16"/>
      <c r="E1028" s="16"/>
      <c r="F1028" s="16"/>
      <c r="G1028" s="16"/>
      <c r="H1028" s="16"/>
      <c r="I1028" s="16"/>
      <c r="J1028" s="16"/>
      <c r="K1028" s="151"/>
      <c r="L1028" s="16"/>
      <c r="M1028" s="16"/>
      <c r="N1028" s="16"/>
      <c r="O1028" s="16"/>
      <c r="P1028" s="16"/>
      <c r="Q1028" s="16"/>
      <c r="R1028" s="16"/>
      <c r="S1028" s="16"/>
    </row>
    <row r="1029" spans="1:19" ht="14.1" customHeight="1" x14ac:dyDescent="0.2">
      <c r="S1029" s="4" t="str">
        <f>+$S$109</f>
        <v>Recap Schedules:  E-13a</v>
      </c>
    </row>
  </sheetData>
  <mergeCells count="51">
    <mergeCell ref="H219:L219"/>
    <mergeCell ref="H977:L977"/>
    <mergeCell ref="B990:D990"/>
    <mergeCell ref="B485:F485"/>
    <mergeCell ref="H435:L435"/>
    <mergeCell ref="B267:K267"/>
    <mergeCell ref="H273:L273"/>
    <mergeCell ref="B807:K807"/>
    <mergeCell ref="B773:D773"/>
    <mergeCell ref="H381:L381"/>
    <mergeCell ref="H489:L489"/>
    <mergeCell ref="H543:L543"/>
    <mergeCell ref="H923:L923"/>
    <mergeCell ref="B286:D286"/>
    <mergeCell ref="B827:D827"/>
    <mergeCell ref="B900:D900"/>
    <mergeCell ref="B881:D881"/>
    <mergeCell ref="H327:L327"/>
    <mergeCell ref="H652:L652"/>
    <mergeCell ref="B665:D665"/>
    <mergeCell ref="B666:D666"/>
    <mergeCell ref="B556:D556"/>
    <mergeCell ref="H597:L597"/>
    <mergeCell ref="B649:K649"/>
    <mergeCell ref="H542:L542"/>
    <mergeCell ref="H596:L596"/>
    <mergeCell ref="H651:L651"/>
    <mergeCell ref="H705:L705"/>
    <mergeCell ref="H759:L759"/>
    <mergeCell ref="H868:L868"/>
    <mergeCell ref="H706:L706"/>
    <mergeCell ref="H813:L813"/>
    <mergeCell ref="H2:L2"/>
    <mergeCell ref="H56:L56"/>
    <mergeCell ref="H110:L110"/>
    <mergeCell ref="H164:L164"/>
    <mergeCell ref="H218:L218"/>
    <mergeCell ref="H3:L3"/>
    <mergeCell ref="H57:L57"/>
    <mergeCell ref="H111:L111"/>
    <mergeCell ref="H165:L165"/>
    <mergeCell ref="H867:L867"/>
    <mergeCell ref="H922:L922"/>
    <mergeCell ref="H976:L976"/>
    <mergeCell ref="H272:L272"/>
    <mergeCell ref="H326:L326"/>
    <mergeCell ref="H380:L380"/>
    <mergeCell ref="H434:L434"/>
    <mergeCell ref="H488:L488"/>
    <mergeCell ref="H760:L760"/>
    <mergeCell ref="H814:L814"/>
  </mergeCells>
  <phoneticPr fontId="4" type="noConversion"/>
  <printOptions horizontalCentered="1" verticalCentered="1"/>
  <pageMargins left="0.5" right="0.5" top="1" bottom="0.35" header="0.5" footer="0.25"/>
  <pageSetup scale="60" fitToHeight="0" orientation="landscape" r:id="rId1"/>
  <headerFooter alignWithMargins="0"/>
  <rowBreaks count="18" manualBreakCount="18">
    <brk id="55" max="18" man="1"/>
    <brk id="109" max="18" man="1"/>
    <brk id="163" max="18" man="1"/>
    <brk id="217" max="18" man="1"/>
    <brk id="271" max="18" man="1"/>
    <brk id="325" max="18" man="1"/>
    <brk id="379" max="18" man="1"/>
    <brk id="433" max="18" man="1"/>
    <brk id="487" max="18" man="1"/>
    <brk id="541" max="18" man="1"/>
    <brk id="595" max="18" man="1"/>
    <brk id="650" max="18" man="1"/>
    <brk id="704" max="18" man="1"/>
    <brk id="758" max="18" man="1"/>
    <brk id="812" max="18" man="1"/>
    <brk id="866" max="18" man="1"/>
    <brk id="921" max="18" man="1"/>
    <brk id="975" max="18" man="1"/>
  </rowBreaks>
  <customProperties>
    <customPr name="_pios_id" r:id="rId2"/>
    <customPr name="EpmWorksheetKeyString_GU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02C88-77C0-4B2B-B374-0CF914D970BC}">
  <dimension ref="B2:I325"/>
  <sheetViews>
    <sheetView topLeftCell="B1" zoomScale="150" zoomScaleNormal="150" workbookViewId="0">
      <selection activeCell="F4" sqref="F4:F325"/>
    </sheetView>
  </sheetViews>
  <sheetFormatPr defaultRowHeight="12.75" x14ac:dyDescent="0.2"/>
  <cols>
    <col min="1" max="1" width="9.140625" style="19"/>
    <col min="2" max="2" width="61.140625" style="19" bestFit="1" customWidth="1"/>
    <col min="3" max="3" width="39.85546875" style="100" bestFit="1" customWidth="1"/>
    <col min="4" max="4" width="13.42578125" style="100" bestFit="1" customWidth="1"/>
    <col min="5" max="5" width="15.28515625" style="100" bestFit="1" customWidth="1"/>
    <col min="6" max="6" width="10" style="19" bestFit="1" customWidth="1"/>
    <col min="7" max="7" width="9.140625" style="19"/>
    <col min="8" max="8" width="9.85546875" style="19" bestFit="1" customWidth="1"/>
    <col min="9" max="16384" width="9.140625" style="19"/>
  </cols>
  <sheetData>
    <row r="2" spans="2:9" x14ac:dyDescent="0.2">
      <c r="B2" s="94" t="s">
        <v>256</v>
      </c>
      <c r="D2" s="94" t="s">
        <v>734</v>
      </c>
      <c r="E2" s="94" t="s">
        <v>735</v>
      </c>
      <c r="F2" s="94" t="s">
        <v>736</v>
      </c>
    </row>
    <row r="3" spans="2:9" x14ac:dyDescent="0.2">
      <c r="B3" s="12" t="s">
        <v>569</v>
      </c>
    </row>
    <row r="4" spans="2:9" x14ac:dyDescent="0.2">
      <c r="C4" s="42" t="s">
        <v>15</v>
      </c>
      <c r="D4" s="112">
        <v>0.7</v>
      </c>
      <c r="E4" s="112">
        <f>+'E-13c'!N72</f>
        <v>0.70569914070750495</v>
      </c>
      <c r="F4" s="164">
        <f>+E4/D4-1</f>
        <v>8.1416295821499229E-3</v>
      </c>
      <c r="H4" s="165"/>
      <c r="I4" s="168"/>
    </row>
    <row r="5" spans="2:9" x14ac:dyDescent="0.2">
      <c r="C5" s="42" t="s">
        <v>255</v>
      </c>
      <c r="D5" s="112">
        <v>0.7</v>
      </c>
      <c r="E5" s="112">
        <f>+'E-13c'!N73</f>
        <v>0.70569914070750495</v>
      </c>
      <c r="F5" s="164">
        <f>+E5/D5-1</f>
        <v>8.1416295821499229E-3</v>
      </c>
      <c r="H5" s="165"/>
      <c r="I5" s="168"/>
    </row>
    <row r="6" spans="2:9" x14ac:dyDescent="0.2">
      <c r="C6" s="42"/>
      <c r="D6" s="112"/>
      <c r="E6" s="112"/>
      <c r="F6" s="164"/>
      <c r="H6" s="165"/>
      <c r="I6" s="168"/>
    </row>
    <row r="7" spans="2:9" x14ac:dyDescent="0.2">
      <c r="B7" s="45" t="s">
        <v>43</v>
      </c>
      <c r="C7" s="147"/>
      <c r="D7" s="112"/>
      <c r="E7" s="112"/>
      <c r="F7" s="164"/>
      <c r="H7" s="165"/>
      <c r="I7" s="168"/>
    </row>
    <row r="8" spans="2:9" x14ac:dyDescent="0.2">
      <c r="C8" s="42" t="s">
        <v>15</v>
      </c>
      <c r="D8" s="112"/>
      <c r="E8" s="112"/>
      <c r="F8" s="164"/>
      <c r="H8" s="165"/>
      <c r="I8" s="168"/>
    </row>
    <row r="9" spans="2:9" x14ac:dyDescent="0.2">
      <c r="C9" s="148" t="s">
        <v>141</v>
      </c>
      <c r="D9" s="112">
        <v>57.69</v>
      </c>
      <c r="E9" s="112">
        <f>+'E-13c'!N80</f>
        <v>58.159690610594225</v>
      </c>
      <c r="F9" s="164">
        <f t="shared" ref="F9:F69" si="0">+E9/D9-1</f>
        <v>8.1416295821499229E-3</v>
      </c>
      <c r="H9" s="165"/>
      <c r="I9" s="168"/>
    </row>
    <row r="10" spans="2:9" x14ac:dyDescent="0.2">
      <c r="C10" s="148" t="s">
        <v>142</v>
      </c>
      <c r="D10" s="112">
        <v>67.69</v>
      </c>
      <c r="E10" s="112">
        <f>+'E-13c'!N81</f>
        <v>68.241106906415723</v>
      </c>
      <c r="F10" s="164">
        <f t="shared" si="0"/>
        <v>8.1416295821499229E-3</v>
      </c>
      <c r="H10" s="165"/>
      <c r="I10" s="168"/>
    </row>
    <row r="11" spans="2:9" x14ac:dyDescent="0.2">
      <c r="C11" s="42" t="s">
        <v>255</v>
      </c>
      <c r="D11" s="112">
        <v>60.84</v>
      </c>
      <c r="E11" s="112">
        <f>+'E-13c'!N82</f>
        <v>61.335336743778008</v>
      </c>
      <c r="F11" s="164">
        <f t="shared" si="0"/>
        <v>8.1416295821499229E-3</v>
      </c>
      <c r="H11" s="165"/>
      <c r="I11" s="168"/>
    </row>
    <row r="12" spans="2:9" x14ac:dyDescent="0.2">
      <c r="C12" s="42"/>
      <c r="D12" s="112"/>
      <c r="E12" s="112"/>
      <c r="F12" s="164"/>
      <c r="H12" s="165"/>
      <c r="I12" s="168"/>
    </row>
    <row r="13" spans="2:9" x14ac:dyDescent="0.2">
      <c r="B13" s="94" t="s">
        <v>84</v>
      </c>
      <c r="C13" s="42"/>
      <c r="D13" s="112"/>
      <c r="E13" s="112"/>
      <c r="F13" s="164"/>
      <c r="H13" s="165"/>
      <c r="I13" s="168"/>
    </row>
    <row r="14" spans="2:9" x14ac:dyDescent="0.2">
      <c r="B14" s="45" t="s">
        <v>569</v>
      </c>
      <c r="D14" s="112"/>
      <c r="E14" s="112"/>
      <c r="F14" s="164"/>
      <c r="H14" s="165"/>
      <c r="I14" s="168"/>
    </row>
    <row r="15" spans="2:9" x14ac:dyDescent="0.2">
      <c r="C15" s="42" t="s">
        <v>37</v>
      </c>
      <c r="D15" s="112">
        <v>0.74</v>
      </c>
      <c r="E15" s="112">
        <f>+'E-13c'!N126</f>
        <v>0.7460248058907909</v>
      </c>
      <c r="F15" s="164">
        <f t="shared" si="0"/>
        <v>8.1416295821499229E-3</v>
      </c>
      <c r="H15" s="165"/>
      <c r="I15" s="168"/>
    </row>
    <row r="16" spans="2:9" x14ac:dyDescent="0.2">
      <c r="C16" s="148" t="s">
        <v>38</v>
      </c>
      <c r="D16" s="112">
        <v>0.62267203664233062</v>
      </c>
      <c r="E16" s="112">
        <f>+'E-13c'!N127</f>
        <v>0.62774160171583537</v>
      </c>
      <c r="F16" s="164">
        <f t="shared" si="0"/>
        <v>8.1416295821499229E-3</v>
      </c>
      <c r="H16" s="165"/>
      <c r="I16" s="168"/>
    </row>
    <row r="17" spans="2:9" x14ac:dyDescent="0.2">
      <c r="C17" s="42" t="s">
        <v>62</v>
      </c>
      <c r="D17" s="112">
        <v>0.74</v>
      </c>
      <c r="E17" s="112">
        <f>+'E-13c'!N128</f>
        <v>0.7460248058907909</v>
      </c>
      <c r="F17" s="164">
        <f t="shared" si="0"/>
        <v>8.1416295821499229E-3</v>
      </c>
      <c r="H17" s="165"/>
      <c r="I17" s="168"/>
    </row>
    <row r="18" spans="2:9" x14ac:dyDescent="0.2">
      <c r="B18" s="45" t="s">
        <v>43</v>
      </c>
      <c r="D18" s="112"/>
      <c r="E18" s="112"/>
      <c r="F18" s="164"/>
      <c r="H18" s="165"/>
      <c r="I18" s="168"/>
    </row>
    <row r="19" spans="2:9" x14ac:dyDescent="0.2">
      <c r="C19" s="42" t="s">
        <v>15</v>
      </c>
      <c r="D19" s="112">
        <v>66.34</v>
      </c>
      <c r="E19" s="112">
        <f>+'E-13c'!N132</f>
        <v>66.880115706479828</v>
      </c>
      <c r="F19" s="164">
        <f t="shared" si="0"/>
        <v>8.1416295821499229E-3</v>
      </c>
      <c r="H19" s="165"/>
      <c r="I19" s="168"/>
    </row>
    <row r="20" spans="2:9" x14ac:dyDescent="0.2">
      <c r="C20" s="148" t="s">
        <v>38</v>
      </c>
      <c r="D20" s="112">
        <v>66.34</v>
      </c>
      <c r="E20" s="112">
        <f>+'E-13c'!N133</f>
        <v>66.880115706479828</v>
      </c>
      <c r="F20" s="164">
        <f t="shared" si="0"/>
        <v>8.1416295821499229E-3</v>
      </c>
      <c r="H20" s="165"/>
      <c r="I20" s="168"/>
    </row>
    <row r="21" spans="2:9" x14ac:dyDescent="0.2">
      <c r="C21" s="42" t="s">
        <v>61</v>
      </c>
      <c r="D21" s="112">
        <v>103.93</v>
      </c>
      <c r="E21" s="112">
        <f>+'E-13c'!N134</f>
        <v>104.77615956247284</v>
      </c>
      <c r="F21" s="164">
        <f t="shared" si="0"/>
        <v>8.1416295821499229E-3</v>
      </c>
      <c r="H21" s="165"/>
      <c r="I21" s="168"/>
    </row>
    <row r="22" spans="2:9" x14ac:dyDescent="0.2">
      <c r="C22" s="42" t="s">
        <v>63</v>
      </c>
      <c r="D22" s="112">
        <v>53.427500000000002</v>
      </c>
      <c r="E22" s="112">
        <f>+'E-13c'!N135</f>
        <v>53.862486914500316</v>
      </c>
      <c r="F22" s="164">
        <f t="shared" si="0"/>
        <v>8.1416295821499229E-3</v>
      </c>
      <c r="H22" s="165"/>
      <c r="I22" s="168"/>
    </row>
    <row r="23" spans="2:9" x14ac:dyDescent="0.2">
      <c r="B23" s="45" t="s">
        <v>41</v>
      </c>
      <c r="D23" s="112"/>
      <c r="E23" s="112"/>
      <c r="F23" s="164"/>
      <c r="H23" s="165"/>
      <c r="I23" s="168"/>
    </row>
    <row r="24" spans="2:9" x14ac:dyDescent="0.2">
      <c r="B24" s="45"/>
      <c r="C24" s="42" t="s">
        <v>15</v>
      </c>
      <c r="D24" s="112">
        <v>1.7</v>
      </c>
      <c r="E24" s="112">
        <f>+'E-13c'!N140</f>
        <v>1.7138407702896548</v>
      </c>
      <c r="F24" s="164">
        <f t="shared" si="0"/>
        <v>8.1416295821499229E-3</v>
      </c>
      <c r="H24" s="165"/>
      <c r="I24" s="168"/>
    </row>
    <row r="25" spans="2:9" x14ac:dyDescent="0.2">
      <c r="C25" s="42" t="s">
        <v>62</v>
      </c>
      <c r="D25" s="112">
        <v>1.7</v>
      </c>
      <c r="E25" s="112">
        <f>+'E-13c'!N141</f>
        <v>1.7138407702896548</v>
      </c>
      <c r="F25" s="164">
        <f t="shared" si="0"/>
        <v>8.1416295821499229E-3</v>
      </c>
      <c r="H25" s="165"/>
      <c r="I25" s="168"/>
    </row>
    <row r="26" spans="2:9" x14ac:dyDescent="0.2">
      <c r="B26" s="94" t="s">
        <v>582</v>
      </c>
      <c r="D26" s="112"/>
      <c r="E26" s="112"/>
      <c r="F26" s="164"/>
      <c r="H26" s="165"/>
      <c r="I26" s="168"/>
    </row>
    <row r="27" spans="2:9" x14ac:dyDescent="0.2">
      <c r="B27" s="45" t="s">
        <v>569</v>
      </c>
      <c r="D27" s="112"/>
      <c r="E27" s="112"/>
      <c r="F27" s="164"/>
      <c r="H27" s="165"/>
      <c r="I27" s="168"/>
    </row>
    <row r="28" spans="2:9" x14ac:dyDescent="0.2">
      <c r="C28" s="148" t="s">
        <v>197</v>
      </c>
      <c r="D28" s="112">
        <v>0.74</v>
      </c>
      <c r="E28" s="112">
        <f>+'E-13c'!N180</f>
        <v>0.7460248058907909</v>
      </c>
      <c r="F28" s="164">
        <f t="shared" si="0"/>
        <v>8.1416295821499229E-3</v>
      </c>
      <c r="H28" s="165"/>
      <c r="I28" s="168"/>
    </row>
    <row r="29" spans="2:9" x14ac:dyDescent="0.2">
      <c r="B29" s="45" t="s">
        <v>43</v>
      </c>
      <c r="D29" s="112"/>
      <c r="E29" s="112"/>
      <c r="F29" s="164"/>
      <c r="H29" s="165"/>
      <c r="I29" s="168"/>
    </row>
    <row r="30" spans="2:9" x14ac:dyDescent="0.2">
      <c r="C30" s="42" t="s">
        <v>198</v>
      </c>
      <c r="D30" s="112">
        <v>66.34</v>
      </c>
      <c r="E30" s="112">
        <f>+'E-13c'!N184</f>
        <v>66.880115706479828</v>
      </c>
      <c r="F30" s="164">
        <f t="shared" si="0"/>
        <v>8.1416295821499229E-3</v>
      </c>
      <c r="H30" s="165"/>
      <c r="I30" s="168"/>
    </row>
    <row r="31" spans="2:9" x14ac:dyDescent="0.2">
      <c r="B31" s="94" t="s">
        <v>606</v>
      </c>
      <c r="D31" s="112"/>
      <c r="E31" s="112"/>
      <c r="F31" s="164"/>
      <c r="H31" s="165"/>
      <c r="I31" s="168"/>
    </row>
    <row r="32" spans="2:9" x14ac:dyDescent="0.2">
      <c r="B32" s="45" t="s">
        <v>569</v>
      </c>
      <c r="D32" s="112"/>
      <c r="E32" s="112"/>
      <c r="F32" s="164"/>
      <c r="H32" s="165"/>
      <c r="I32" s="168"/>
    </row>
    <row r="33" spans="2:9" x14ac:dyDescent="0.2">
      <c r="C33" s="42" t="s">
        <v>71</v>
      </c>
      <c r="D33" s="112">
        <v>1.0727450387290098</v>
      </c>
      <c r="E33" s="112">
        <f>+'E-13c'!N233</f>
        <v>1.0814789314704305</v>
      </c>
      <c r="F33" s="164">
        <f t="shared" si="0"/>
        <v>8.1416295821499229E-3</v>
      </c>
      <c r="H33" s="165"/>
      <c r="I33" s="168"/>
    </row>
    <row r="34" spans="2:9" x14ac:dyDescent="0.2">
      <c r="C34" s="42" t="s">
        <v>70</v>
      </c>
      <c r="D34" s="112">
        <v>5.9275742948907526</v>
      </c>
      <c r="E34" s="112">
        <f>+'E-13c'!N234</f>
        <v>5.9758344091204263</v>
      </c>
      <c r="F34" s="164">
        <f t="shared" si="0"/>
        <v>8.1416295821499229E-3</v>
      </c>
      <c r="H34" s="165"/>
      <c r="I34" s="168"/>
    </row>
    <row r="35" spans="2:9" x14ac:dyDescent="0.2">
      <c r="C35" s="42" t="s">
        <v>190</v>
      </c>
      <c r="D35" s="112">
        <v>17.335869203546569</v>
      </c>
      <c r="E35" s="112">
        <f>+'E-13c'!N235</f>
        <v>17.477011429086446</v>
      </c>
      <c r="F35" s="164">
        <f t="shared" si="0"/>
        <v>8.1416295821499229E-3</v>
      </c>
      <c r="H35" s="165"/>
      <c r="I35" s="168"/>
    </row>
    <row r="36" spans="2:9" x14ac:dyDescent="0.2">
      <c r="B36" s="54" t="s">
        <v>402</v>
      </c>
      <c r="C36" s="77" t="s">
        <v>73</v>
      </c>
      <c r="D36" s="112">
        <v>1.0727450387290098</v>
      </c>
      <c r="E36" s="112">
        <f>+'E-13c'!N341</f>
        <v>1.0814789314704305</v>
      </c>
      <c r="F36" s="164">
        <f t="shared" si="0"/>
        <v>8.1416295821499229E-3</v>
      </c>
      <c r="H36" s="165"/>
      <c r="I36" s="168"/>
    </row>
    <row r="37" spans="2:9" x14ac:dyDescent="0.2">
      <c r="B37" s="54" t="s">
        <v>402</v>
      </c>
      <c r="C37" s="77" t="s">
        <v>75</v>
      </c>
      <c r="D37" s="112">
        <v>5.9275742948907526</v>
      </c>
      <c r="E37" s="112">
        <f>+'E-13c'!N342</f>
        <v>5.9758344091204263</v>
      </c>
      <c r="F37" s="164">
        <f t="shared" si="0"/>
        <v>8.1416295821499229E-3</v>
      </c>
      <c r="H37" s="165"/>
      <c r="I37" s="168"/>
    </row>
    <row r="38" spans="2:9" x14ac:dyDescent="0.2">
      <c r="B38" s="54" t="s">
        <v>402</v>
      </c>
      <c r="C38" s="77" t="s">
        <v>191</v>
      </c>
      <c r="D38" s="112">
        <v>17.335869203546569</v>
      </c>
      <c r="E38" s="112">
        <f>+'E-13c'!N343</f>
        <v>17.477011429086446</v>
      </c>
      <c r="F38" s="164">
        <f t="shared" si="0"/>
        <v>8.1416295821499229E-3</v>
      </c>
      <c r="H38" s="165"/>
      <c r="I38" s="168"/>
    </row>
    <row r="39" spans="2:9" x14ac:dyDescent="0.2">
      <c r="C39" s="148" t="s">
        <v>69</v>
      </c>
      <c r="D39" s="112">
        <v>1.0727450387290098</v>
      </c>
      <c r="E39" s="112">
        <f>+'E-13c'!N236</f>
        <v>1.0814789314704305</v>
      </c>
      <c r="F39" s="164">
        <f t="shared" si="0"/>
        <v>8.1416295821499229E-3</v>
      </c>
      <c r="H39" s="279"/>
      <c r="I39" s="168"/>
    </row>
    <row r="40" spans="2:9" x14ac:dyDescent="0.2">
      <c r="C40" s="148" t="s">
        <v>72</v>
      </c>
      <c r="D40" s="112">
        <v>5.9275742948907526</v>
      </c>
      <c r="E40" s="112">
        <f>+'E-13c'!N237</f>
        <v>5.9758344091204263</v>
      </c>
      <c r="F40" s="164">
        <f t="shared" si="0"/>
        <v>8.1416295821499229E-3</v>
      </c>
      <c r="H40" s="279"/>
      <c r="I40" s="168"/>
    </row>
    <row r="41" spans="2:9" x14ac:dyDescent="0.2">
      <c r="C41" s="148" t="s">
        <v>192</v>
      </c>
      <c r="D41" s="112">
        <v>17.335869203546569</v>
      </c>
      <c r="E41" s="112">
        <f>+'E-13c'!N238</f>
        <v>17.477011429086446</v>
      </c>
      <c r="F41" s="164">
        <f t="shared" si="0"/>
        <v>8.1416295821499229E-3</v>
      </c>
      <c r="H41" s="165"/>
      <c r="I41" s="168"/>
    </row>
    <row r="42" spans="2:9" x14ac:dyDescent="0.2">
      <c r="C42" s="148"/>
      <c r="D42" s="112"/>
      <c r="E42" s="112"/>
      <c r="F42" s="164"/>
      <c r="H42" s="165"/>
      <c r="I42" s="168"/>
    </row>
    <row r="43" spans="2:9" x14ac:dyDescent="0.2">
      <c r="C43" s="148"/>
      <c r="D43" s="112"/>
      <c r="E43" s="112"/>
      <c r="F43" s="164"/>
      <c r="H43" s="165"/>
      <c r="I43" s="168"/>
    </row>
    <row r="44" spans="2:9" x14ac:dyDescent="0.2">
      <c r="C44" s="148"/>
      <c r="D44" s="112"/>
      <c r="E44" s="112"/>
      <c r="F44" s="164"/>
      <c r="H44" s="165"/>
      <c r="I44" s="168"/>
    </row>
    <row r="45" spans="2:9" x14ac:dyDescent="0.2">
      <c r="B45" s="62" t="s">
        <v>43</v>
      </c>
      <c r="D45" s="112"/>
      <c r="E45" s="112"/>
      <c r="F45" s="164"/>
      <c r="H45" s="165"/>
      <c r="I45" s="168"/>
    </row>
    <row r="46" spans="2:9" x14ac:dyDescent="0.2">
      <c r="C46" s="42" t="s">
        <v>71</v>
      </c>
      <c r="D46" s="112">
        <v>7.3</v>
      </c>
      <c r="E46" s="112">
        <f>+'E-13c'!N242</f>
        <v>7.3594338959496941</v>
      </c>
      <c r="F46" s="164">
        <f t="shared" si="0"/>
        <v>8.1416295821499229E-3</v>
      </c>
      <c r="G46" s="163"/>
      <c r="H46" s="165"/>
      <c r="I46" s="168"/>
    </row>
    <row r="47" spans="2:9" x14ac:dyDescent="0.2">
      <c r="C47" s="42" t="s">
        <v>70</v>
      </c>
      <c r="D47" s="112">
        <v>7.3</v>
      </c>
      <c r="E47" s="112">
        <f>+'E-13c'!N243</f>
        <v>7.3594338959496941</v>
      </c>
      <c r="F47" s="164">
        <f t="shared" si="0"/>
        <v>8.1416295821499229E-3</v>
      </c>
      <c r="H47" s="165"/>
      <c r="I47" s="168"/>
    </row>
    <row r="48" spans="2:9" x14ac:dyDescent="0.2">
      <c r="C48" s="42" t="s">
        <v>190</v>
      </c>
      <c r="D48" s="112">
        <v>7.3</v>
      </c>
      <c r="E48" s="112">
        <f>+'E-13c'!N244</f>
        <v>7.3594338959496941</v>
      </c>
      <c r="F48" s="164">
        <f t="shared" si="0"/>
        <v>8.1416295821499229E-3</v>
      </c>
      <c r="H48" s="165"/>
      <c r="I48" s="168"/>
    </row>
    <row r="49" spans="2:9" x14ac:dyDescent="0.2">
      <c r="C49" s="77" t="s">
        <v>73</v>
      </c>
      <c r="D49" s="112">
        <v>70.58</v>
      </c>
      <c r="E49" s="112">
        <f>+'E-13c'!N347</f>
        <v>71.154636215908141</v>
      </c>
      <c r="F49" s="164">
        <f t="shared" si="0"/>
        <v>8.1416295821499229E-3</v>
      </c>
      <c r="H49" s="165"/>
      <c r="I49" s="168"/>
    </row>
    <row r="50" spans="2:9" x14ac:dyDescent="0.2">
      <c r="C50" s="77" t="s">
        <v>75</v>
      </c>
      <c r="D50" s="112">
        <v>70.58</v>
      </c>
      <c r="E50" s="112">
        <f>+'E-13c'!N348</f>
        <v>71.154636215908141</v>
      </c>
      <c r="F50" s="164">
        <f t="shared" si="0"/>
        <v>8.1416295821499229E-3</v>
      </c>
      <c r="H50" s="165"/>
      <c r="I50" s="168"/>
    </row>
    <row r="51" spans="2:9" x14ac:dyDescent="0.2">
      <c r="C51" s="77" t="s">
        <v>191</v>
      </c>
      <c r="D51" s="112">
        <v>70.58</v>
      </c>
      <c r="E51" s="112">
        <f>+'E-13c'!N349</f>
        <v>71.154636215908141</v>
      </c>
      <c r="F51" s="164">
        <f t="shared" si="0"/>
        <v>8.1416295821499229E-3</v>
      </c>
      <c r="H51" s="165"/>
      <c r="I51" s="168"/>
    </row>
    <row r="52" spans="2:9" x14ac:dyDescent="0.2">
      <c r="C52" s="148" t="s">
        <v>85</v>
      </c>
      <c r="D52" s="112">
        <v>11.83</v>
      </c>
      <c r="E52" s="112">
        <f>+'E-13c'!N245</f>
        <v>11.926315477956834</v>
      </c>
      <c r="F52" s="164">
        <f t="shared" si="0"/>
        <v>8.1416295821499229E-3</v>
      </c>
      <c r="H52" s="165"/>
      <c r="I52" s="168"/>
    </row>
    <row r="53" spans="2:9" x14ac:dyDescent="0.2">
      <c r="C53" s="148" t="s">
        <v>86</v>
      </c>
      <c r="D53" s="112">
        <v>11.83</v>
      </c>
      <c r="E53" s="112">
        <f>+'E-13c'!N246</f>
        <v>11.926315477956834</v>
      </c>
      <c r="F53" s="164">
        <f t="shared" si="0"/>
        <v>8.1416295821499229E-3</v>
      </c>
      <c r="H53" s="165"/>
      <c r="I53" s="168"/>
    </row>
    <row r="54" spans="2:9" x14ac:dyDescent="0.2">
      <c r="C54" s="148" t="s">
        <v>196</v>
      </c>
      <c r="D54" s="112">
        <v>11.83</v>
      </c>
      <c r="E54" s="112">
        <f>+'E-13c'!N247</f>
        <v>11.926315477956834</v>
      </c>
      <c r="F54" s="164">
        <f t="shared" si="0"/>
        <v>8.1416295821499229E-3</v>
      </c>
      <c r="H54" s="165"/>
      <c r="I54" s="168"/>
    </row>
    <row r="55" spans="2:9" x14ac:dyDescent="0.2">
      <c r="C55" s="148" t="s">
        <v>87</v>
      </c>
      <c r="D55" s="112">
        <v>5.6646000000000001</v>
      </c>
      <c r="E55" s="112">
        <f>+'E-13c'!N248</f>
        <v>5.7107190749310464</v>
      </c>
      <c r="F55" s="164">
        <f t="shared" si="0"/>
        <v>8.1416295821499229E-3</v>
      </c>
      <c r="H55" s="165"/>
      <c r="I55" s="168"/>
    </row>
    <row r="56" spans="2:9" x14ac:dyDescent="0.2">
      <c r="C56" s="148" t="s">
        <v>88</v>
      </c>
      <c r="D56" s="112">
        <v>5.6646000000000001</v>
      </c>
      <c r="E56" s="112">
        <f>+'E-13c'!N249</f>
        <v>5.7107190749310464</v>
      </c>
      <c r="F56" s="164">
        <f t="shared" si="0"/>
        <v>8.1416295821499229E-3</v>
      </c>
      <c r="H56" s="165"/>
      <c r="I56" s="168"/>
    </row>
    <row r="57" spans="2:9" x14ac:dyDescent="0.2">
      <c r="C57" s="148" t="s">
        <v>195</v>
      </c>
      <c r="D57" s="112">
        <v>5.6646000000000001</v>
      </c>
      <c r="E57" s="112">
        <f>+'E-13c'!N250</f>
        <v>5.7107190749310464</v>
      </c>
      <c r="F57" s="164">
        <f t="shared" si="0"/>
        <v>8.1416295821499229E-3</v>
      </c>
      <c r="H57" s="165"/>
      <c r="I57" s="168"/>
    </row>
    <row r="58" spans="2:9" x14ac:dyDescent="0.2">
      <c r="B58" s="74" t="s">
        <v>42</v>
      </c>
      <c r="D58" s="112"/>
      <c r="E58" s="112"/>
      <c r="F58" s="164"/>
      <c r="H58" s="165"/>
      <c r="I58" s="168"/>
    </row>
    <row r="59" spans="2:9" x14ac:dyDescent="0.2">
      <c r="C59" s="42" t="s">
        <v>71</v>
      </c>
      <c r="D59" s="112">
        <v>13.75</v>
      </c>
      <c r="E59" s="112">
        <f>+'E-13c'!N255</f>
        <v>13.861947406754561</v>
      </c>
      <c r="F59" s="164">
        <f t="shared" si="0"/>
        <v>8.1416295821499229E-3</v>
      </c>
      <c r="H59" s="165"/>
      <c r="I59" s="168"/>
    </row>
    <row r="60" spans="2:9" x14ac:dyDescent="0.2">
      <c r="C60" s="42" t="s">
        <v>70</v>
      </c>
      <c r="D60" s="112">
        <v>13.75</v>
      </c>
      <c r="E60" s="112">
        <f>+'E-13c'!N256</f>
        <v>13.861947406754561</v>
      </c>
      <c r="F60" s="164">
        <f t="shared" si="0"/>
        <v>8.1416295821499229E-3</v>
      </c>
      <c r="H60" s="165"/>
      <c r="I60" s="168"/>
    </row>
    <row r="61" spans="2:9" x14ac:dyDescent="0.2">
      <c r="C61" s="42" t="s">
        <v>190</v>
      </c>
      <c r="D61" s="112">
        <v>13.75</v>
      </c>
      <c r="E61" s="112">
        <f>+'E-13c'!N257</f>
        <v>13.861947406754561</v>
      </c>
      <c r="F61" s="164">
        <f t="shared" si="0"/>
        <v>8.1416295821499229E-3</v>
      </c>
      <c r="H61" s="165"/>
      <c r="I61" s="168"/>
    </row>
    <row r="62" spans="2:9" x14ac:dyDescent="0.2">
      <c r="C62" s="77" t="s">
        <v>73</v>
      </c>
      <c r="D62" s="112">
        <v>0</v>
      </c>
      <c r="E62" s="112">
        <f>+'E-13c'!N353</f>
        <v>0</v>
      </c>
      <c r="F62" s="164"/>
      <c r="H62" s="165"/>
      <c r="I62" s="168"/>
    </row>
    <row r="63" spans="2:9" x14ac:dyDescent="0.2">
      <c r="C63" s="77" t="s">
        <v>75</v>
      </c>
      <c r="D63" s="112">
        <v>0</v>
      </c>
      <c r="E63" s="112">
        <f>+'E-13c'!N354</f>
        <v>0</v>
      </c>
      <c r="F63" s="164"/>
      <c r="H63" s="165"/>
      <c r="I63" s="168"/>
    </row>
    <row r="64" spans="2:9" x14ac:dyDescent="0.2">
      <c r="C64" s="77" t="s">
        <v>191</v>
      </c>
      <c r="D64" s="112">
        <v>0</v>
      </c>
      <c r="E64" s="112">
        <f>+'E-13c'!N355</f>
        <v>0</v>
      </c>
      <c r="F64" s="164"/>
      <c r="H64" s="165"/>
      <c r="I64" s="168"/>
    </row>
    <row r="65" spans="2:9" x14ac:dyDescent="0.2">
      <c r="C65" s="42" t="s">
        <v>80</v>
      </c>
      <c r="D65" s="112">
        <v>4.4000000000000004</v>
      </c>
      <c r="E65" s="112">
        <f>+'E-13c'!N258</f>
        <v>4.4358231701614601</v>
      </c>
      <c r="F65" s="164">
        <f t="shared" si="0"/>
        <v>8.1416295821499229E-3</v>
      </c>
      <c r="H65" s="165"/>
      <c r="I65" s="168"/>
    </row>
    <row r="66" spans="2:9" x14ac:dyDescent="0.2">
      <c r="C66" s="42" t="s">
        <v>81</v>
      </c>
      <c r="D66" s="112">
        <v>4.4000000000000004</v>
      </c>
      <c r="E66" s="112">
        <f>+'E-13c'!N259</f>
        <v>4.4358231701614601</v>
      </c>
      <c r="F66" s="164">
        <f t="shared" si="0"/>
        <v>8.1416295821499229E-3</v>
      </c>
      <c r="H66" s="165"/>
      <c r="I66" s="168"/>
    </row>
    <row r="67" spans="2:9" x14ac:dyDescent="0.2">
      <c r="C67" s="148" t="s">
        <v>194</v>
      </c>
      <c r="D67" s="112">
        <v>4.4000000000000004</v>
      </c>
      <c r="E67" s="112">
        <f>+'E-13c'!N260</f>
        <v>4.4358231701614601</v>
      </c>
      <c r="F67" s="164">
        <f t="shared" si="0"/>
        <v>8.1416295821499229E-3</v>
      </c>
      <c r="H67" s="165"/>
      <c r="I67" s="168"/>
    </row>
    <row r="68" spans="2:9" x14ac:dyDescent="0.2">
      <c r="C68" s="42" t="s">
        <v>82</v>
      </c>
      <c r="D68" s="112">
        <v>8.99</v>
      </c>
      <c r="E68" s="112">
        <f>+'E-13c'!N261</f>
        <v>9.0631932499435273</v>
      </c>
      <c r="F68" s="164">
        <f t="shared" si="0"/>
        <v>8.1416295821499229E-3</v>
      </c>
      <c r="H68" s="165"/>
      <c r="I68" s="168"/>
    </row>
    <row r="69" spans="2:9" x14ac:dyDescent="0.2">
      <c r="C69" s="42" t="s">
        <v>83</v>
      </c>
      <c r="D69" s="112">
        <v>8.99</v>
      </c>
      <c r="E69" s="112">
        <f>+'E-13c'!N262</f>
        <v>9.0631932499435273</v>
      </c>
      <c r="F69" s="164">
        <f t="shared" si="0"/>
        <v>8.1416295821499229E-3</v>
      </c>
      <c r="H69" s="165"/>
      <c r="I69" s="168"/>
    </row>
    <row r="70" spans="2:9" x14ac:dyDescent="0.2">
      <c r="C70" s="148" t="s">
        <v>193</v>
      </c>
      <c r="D70" s="112">
        <v>8.99</v>
      </c>
      <c r="E70" s="112">
        <f>+'E-13c'!N263</f>
        <v>9.0631932499435273</v>
      </c>
      <c r="F70" s="164">
        <f t="shared" ref="F70:F133" si="1">+E70/D70-1</f>
        <v>8.1416295821499229E-3</v>
      </c>
      <c r="H70" s="165"/>
      <c r="I70" s="168"/>
    </row>
    <row r="71" spans="2:9" x14ac:dyDescent="0.2">
      <c r="B71" s="62"/>
      <c r="D71" s="112"/>
      <c r="E71" s="112"/>
      <c r="F71" s="164"/>
      <c r="H71" s="165"/>
      <c r="I71" s="168"/>
    </row>
    <row r="72" spans="2:9" x14ac:dyDescent="0.2">
      <c r="C72" s="42"/>
      <c r="D72" s="113"/>
      <c r="E72" s="113"/>
      <c r="F72" s="164"/>
      <c r="H72" s="166"/>
      <c r="I72" s="168"/>
    </row>
    <row r="73" spans="2:9" x14ac:dyDescent="0.2">
      <c r="C73" s="42"/>
      <c r="D73" s="113"/>
      <c r="E73" s="113"/>
      <c r="F73" s="164"/>
      <c r="H73" s="166"/>
      <c r="I73" s="168"/>
    </row>
    <row r="74" spans="2:9" x14ac:dyDescent="0.2">
      <c r="C74" s="111"/>
      <c r="D74" s="113"/>
      <c r="E74" s="113"/>
      <c r="F74" s="164"/>
      <c r="H74" s="166"/>
      <c r="I74" s="168"/>
    </row>
    <row r="75" spans="2:9" x14ac:dyDescent="0.2">
      <c r="C75" s="77"/>
      <c r="D75" s="113"/>
      <c r="E75" s="113"/>
      <c r="F75" s="164"/>
      <c r="H75" s="166"/>
      <c r="I75" s="168"/>
    </row>
    <row r="76" spans="2:9" x14ac:dyDescent="0.2">
      <c r="C76" s="42"/>
      <c r="D76" s="113"/>
      <c r="E76" s="113"/>
      <c r="F76" s="164"/>
      <c r="H76" s="166"/>
      <c r="I76" s="168"/>
    </row>
    <row r="77" spans="2:9" x14ac:dyDescent="0.2">
      <c r="C77" s="148"/>
      <c r="D77" s="113"/>
      <c r="E77" s="113"/>
      <c r="F77" s="164"/>
      <c r="H77" s="166"/>
      <c r="I77" s="168"/>
    </row>
    <row r="78" spans="2:9" x14ac:dyDescent="0.2">
      <c r="B78" s="62" t="s">
        <v>575</v>
      </c>
      <c r="D78" s="112"/>
      <c r="E78" s="112"/>
      <c r="F78" s="164"/>
      <c r="H78" s="165"/>
      <c r="I78" s="168"/>
    </row>
    <row r="79" spans="2:9" x14ac:dyDescent="0.2">
      <c r="C79" s="42" t="s">
        <v>39</v>
      </c>
      <c r="D79" s="112">
        <v>-0.48275483010242831</v>
      </c>
      <c r="E79" s="112">
        <f>+'E-13c'!N289</f>
        <v>-0.48668524110811601</v>
      </c>
      <c r="F79" s="164">
        <f t="shared" si="1"/>
        <v>8.1416295821499229E-3</v>
      </c>
      <c r="H79" s="165"/>
      <c r="I79" s="168"/>
    </row>
    <row r="80" spans="2:9" x14ac:dyDescent="0.2">
      <c r="C80" s="42" t="s">
        <v>190</v>
      </c>
      <c r="D80" s="112">
        <v>-2.0463240776089906</v>
      </c>
      <c r="E80" s="112">
        <f>+'E-13c'!N290</f>
        <v>-2.0629844902539176</v>
      </c>
      <c r="F80" s="164">
        <f t="shared" si="1"/>
        <v>8.1416295821499229E-3</v>
      </c>
      <c r="H80" s="165"/>
      <c r="I80" s="168"/>
    </row>
    <row r="81" spans="2:9" x14ac:dyDescent="0.2">
      <c r="C81" s="111" t="s">
        <v>57</v>
      </c>
      <c r="D81" s="112">
        <v>-1.2234700620305061</v>
      </c>
      <c r="E81" s="112">
        <f>+'E-13c'!N359</f>
        <v>-1.2334311020804085</v>
      </c>
      <c r="F81" s="164">
        <f t="shared" si="1"/>
        <v>8.1416295821499229E-3</v>
      </c>
      <c r="H81" s="165"/>
      <c r="I81" s="168"/>
    </row>
    <row r="82" spans="2:9" x14ac:dyDescent="0.2">
      <c r="C82" s="77" t="s">
        <v>191</v>
      </c>
      <c r="D82" s="112">
        <v>-5.2344030896579916</v>
      </c>
      <c r="E82" s="112">
        <f>+'E-13c'!N360</f>
        <v>-5.2770196606976478</v>
      </c>
      <c r="F82" s="164">
        <f t="shared" si="1"/>
        <v>8.1416295821499229E-3</v>
      </c>
      <c r="H82" s="165"/>
      <c r="I82" s="168"/>
    </row>
    <row r="83" spans="2:9" x14ac:dyDescent="0.2">
      <c r="C83" s="42" t="s">
        <v>64</v>
      </c>
      <c r="D83" s="112">
        <v>-0.48275483010242831</v>
      </c>
      <c r="E83" s="112">
        <f>+'E-13c'!N291</f>
        <v>-0.48668524110811601</v>
      </c>
      <c r="F83" s="164">
        <f t="shared" si="1"/>
        <v>8.1416295821499229E-3</v>
      </c>
      <c r="H83" s="165"/>
      <c r="I83" s="168"/>
    </row>
    <row r="84" spans="2:9" x14ac:dyDescent="0.2">
      <c r="C84" s="148" t="s">
        <v>192</v>
      </c>
      <c r="D84" s="112">
        <v>-2.0463240776089906</v>
      </c>
      <c r="E84" s="112">
        <f>+'E-13c'!N292</f>
        <v>-2.0629844902539176</v>
      </c>
      <c r="F84" s="164">
        <f t="shared" si="1"/>
        <v>8.1416295821499229E-3</v>
      </c>
      <c r="H84" s="165"/>
      <c r="I84" s="168"/>
    </row>
    <row r="85" spans="2:9" x14ac:dyDescent="0.2">
      <c r="B85" s="62" t="s">
        <v>41</v>
      </c>
      <c r="D85" s="112"/>
      <c r="E85" s="112"/>
      <c r="F85" s="164"/>
      <c r="H85" s="165"/>
      <c r="I85" s="168"/>
    </row>
    <row r="86" spans="2:9" x14ac:dyDescent="0.2">
      <c r="C86" s="42" t="s">
        <v>40</v>
      </c>
      <c r="D86" s="112">
        <v>0.67480378207017755</v>
      </c>
      <c r="E86" s="112">
        <f>+'E-13c'!N296</f>
        <v>0.68029778450442679</v>
      </c>
      <c r="F86" s="164">
        <f t="shared" si="1"/>
        <v>8.1416295821499229E-3</v>
      </c>
      <c r="H86" s="165"/>
      <c r="I86" s="168"/>
    </row>
    <row r="87" spans="2:9" x14ac:dyDescent="0.2">
      <c r="C87" s="42" t="s">
        <v>39</v>
      </c>
      <c r="D87" s="112">
        <v>0.67480378207017755</v>
      </c>
      <c r="E87" s="112">
        <f>+'E-13c'!N297</f>
        <v>0.68029778450442679</v>
      </c>
      <c r="F87" s="164">
        <f t="shared" si="1"/>
        <v>8.1416295821499229E-3</v>
      </c>
      <c r="H87" s="165"/>
      <c r="I87" s="168"/>
    </row>
    <row r="88" spans="2:9" x14ac:dyDescent="0.2">
      <c r="C88" s="42" t="s">
        <v>190</v>
      </c>
      <c r="D88" s="112">
        <v>0.67480378207017755</v>
      </c>
      <c r="E88" s="112">
        <f>+'E-13c'!N298</f>
        <v>0.68029778450442679</v>
      </c>
      <c r="F88" s="164">
        <f t="shared" si="1"/>
        <v>8.1416295821499229E-3</v>
      </c>
      <c r="H88" s="165"/>
      <c r="I88" s="168"/>
    </row>
    <row r="89" spans="2:9" x14ac:dyDescent="0.2">
      <c r="C89" s="111" t="s">
        <v>89</v>
      </c>
      <c r="D89" s="112">
        <v>1.7</v>
      </c>
      <c r="E89" s="112">
        <f>+'E-13c'!N364</f>
        <v>1.7138407702896548</v>
      </c>
      <c r="F89" s="164">
        <f t="shared" si="1"/>
        <v>8.1416295821499229E-3</v>
      </c>
      <c r="H89" s="165"/>
      <c r="I89" s="168"/>
    </row>
    <row r="90" spans="2:9" x14ac:dyDescent="0.2">
      <c r="C90" s="111" t="s">
        <v>57</v>
      </c>
      <c r="D90" s="112">
        <v>1.7</v>
      </c>
      <c r="E90" s="112">
        <f>+'E-13c'!N365</f>
        <v>1.7138407702896548</v>
      </c>
      <c r="F90" s="164">
        <f t="shared" si="1"/>
        <v>8.1416295821499229E-3</v>
      </c>
      <c r="H90" s="165"/>
      <c r="I90" s="168"/>
    </row>
    <row r="91" spans="2:9" x14ac:dyDescent="0.2">
      <c r="C91" s="77" t="s">
        <v>191</v>
      </c>
      <c r="D91" s="112">
        <v>1.7</v>
      </c>
      <c r="E91" s="112">
        <f>+'E-13c'!N366</f>
        <v>1.7138407702896548</v>
      </c>
      <c r="F91" s="164">
        <f t="shared" si="1"/>
        <v>8.1416295821499229E-3</v>
      </c>
      <c r="H91" s="165"/>
      <c r="I91" s="168"/>
    </row>
    <row r="92" spans="2:9" x14ac:dyDescent="0.2">
      <c r="C92" s="42" t="s">
        <v>65</v>
      </c>
      <c r="D92" s="112">
        <v>0.67480378207017755</v>
      </c>
      <c r="E92" s="112">
        <f>+'E-13c'!N299</f>
        <v>0.68029778450442679</v>
      </c>
      <c r="F92" s="164">
        <f t="shared" si="1"/>
        <v>8.1416295821499229E-3</v>
      </c>
      <c r="H92" s="165"/>
      <c r="I92" s="168"/>
    </row>
    <row r="93" spans="2:9" x14ac:dyDescent="0.2">
      <c r="C93" s="42" t="s">
        <v>64</v>
      </c>
      <c r="D93" s="112">
        <v>0.67480378207017755</v>
      </c>
      <c r="E93" s="112">
        <f>+'E-13c'!N300</f>
        <v>0.68029778450442679</v>
      </c>
      <c r="F93" s="164">
        <f t="shared" si="1"/>
        <v>8.1416295821499229E-3</v>
      </c>
      <c r="H93" s="165"/>
      <c r="I93" s="168"/>
    </row>
    <row r="94" spans="2:9" x14ac:dyDescent="0.2">
      <c r="C94" s="148" t="s">
        <v>192</v>
      </c>
      <c r="D94" s="112">
        <v>0.67480378207017755</v>
      </c>
      <c r="E94" s="112">
        <f>+'E-13c'!N301</f>
        <v>0.68029778450442679</v>
      </c>
      <c r="F94" s="164">
        <f t="shared" si="1"/>
        <v>8.1416295821499229E-3</v>
      </c>
      <c r="H94" s="165"/>
      <c r="I94" s="168"/>
    </row>
    <row r="95" spans="2:9" x14ac:dyDescent="0.2">
      <c r="C95" s="148"/>
      <c r="D95" s="112"/>
      <c r="E95" s="112"/>
      <c r="F95" s="164"/>
      <c r="H95" s="165"/>
      <c r="I95" s="168"/>
    </row>
    <row r="96" spans="2:9" x14ac:dyDescent="0.2">
      <c r="C96" s="148"/>
      <c r="D96" s="112"/>
      <c r="E96" s="112"/>
      <c r="F96" s="164"/>
      <c r="H96" s="165"/>
      <c r="I96" s="168"/>
    </row>
    <row r="97" spans="2:9" x14ac:dyDescent="0.2">
      <c r="B97" s="94" t="s">
        <v>401</v>
      </c>
      <c r="D97" s="112"/>
      <c r="E97" s="112"/>
      <c r="F97" s="164"/>
      <c r="H97" s="165"/>
      <c r="I97" s="168"/>
    </row>
    <row r="98" spans="2:9" x14ac:dyDescent="0.2">
      <c r="B98" s="62" t="s">
        <v>569</v>
      </c>
      <c r="D98" s="112"/>
      <c r="E98" s="112"/>
      <c r="F98" s="164"/>
      <c r="H98" s="165"/>
      <c r="I98" s="168"/>
    </row>
    <row r="99" spans="2:9" x14ac:dyDescent="0.2">
      <c r="B99" s="12"/>
      <c r="C99" s="42" t="s">
        <v>71</v>
      </c>
      <c r="D99" s="112">
        <v>1.8946628469481879</v>
      </c>
      <c r="E99" s="112">
        <f>+'E-13c'!N721</f>
        <v>1.9100884900311017</v>
      </c>
      <c r="F99" s="164">
        <f t="shared" si="1"/>
        <v>8.1416295821499229E-3</v>
      </c>
      <c r="H99" s="165"/>
      <c r="I99" s="168"/>
    </row>
    <row r="100" spans="2:9" x14ac:dyDescent="0.2">
      <c r="B100" s="12"/>
      <c r="C100" s="42" t="s">
        <v>70</v>
      </c>
      <c r="D100" s="112">
        <v>6.7494921031099304</v>
      </c>
      <c r="E100" s="112">
        <f>+'E-13c'!N722</f>
        <v>6.8044439676810979</v>
      </c>
      <c r="F100" s="164">
        <f t="shared" si="1"/>
        <v>8.1416295821499229E-3</v>
      </c>
      <c r="H100" s="165"/>
      <c r="I100" s="168"/>
    </row>
    <row r="101" spans="2:9" x14ac:dyDescent="0.2">
      <c r="B101" s="12"/>
      <c r="C101" s="42" t="s">
        <v>90</v>
      </c>
      <c r="D101" s="112">
        <v>18.157787011765748</v>
      </c>
      <c r="E101" s="112">
        <f>+'E-13c'!N723</f>
        <v>18.305620987647117</v>
      </c>
      <c r="F101" s="164">
        <f t="shared" si="1"/>
        <v>8.1416295821499229E-3</v>
      </c>
      <c r="H101" s="165"/>
      <c r="I101" s="168"/>
    </row>
    <row r="102" spans="2:9" x14ac:dyDescent="0.2">
      <c r="B102" s="12"/>
      <c r="C102" s="148" t="s">
        <v>97</v>
      </c>
      <c r="D102" s="112">
        <v>1.8946628469481879</v>
      </c>
      <c r="E102" s="112">
        <f>+'E-13c'!N724</f>
        <v>1.9100884900311017</v>
      </c>
      <c r="F102" s="164">
        <f t="shared" si="1"/>
        <v>8.1416295821499229E-3</v>
      </c>
      <c r="H102" s="165"/>
      <c r="I102" s="168"/>
    </row>
    <row r="103" spans="2:9" x14ac:dyDescent="0.2">
      <c r="C103" s="148" t="s">
        <v>66</v>
      </c>
      <c r="D103" s="112">
        <v>6.7494921031099304</v>
      </c>
      <c r="E103" s="112">
        <f>+'E-13c'!N725</f>
        <v>6.8044439676810979</v>
      </c>
      <c r="F103" s="164">
        <f t="shared" si="1"/>
        <v>8.1416295821499229E-3</v>
      </c>
      <c r="H103" s="165"/>
      <c r="I103" s="168"/>
    </row>
    <row r="104" spans="2:9" x14ac:dyDescent="0.2">
      <c r="C104" s="148" t="s">
        <v>67</v>
      </c>
      <c r="D104" s="112">
        <v>18.157787011765748</v>
      </c>
      <c r="E104" s="112">
        <f>+'E-13c'!N726</f>
        <v>18.305620987647117</v>
      </c>
      <c r="F104" s="164">
        <f t="shared" si="1"/>
        <v>8.1416295821499229E-3</v>
      </c>
      <c r="H104" s="165"/>
      <c r="I104" s="168"/>
    </row>
    <row r="105" spans="2:9" x14ac:dyDescent="0.2">
      <c r="B105" s="62" t="s">
        <v>51</v>
      </c>
      <c r="D105" s="112"/>
      <c r="E105" s="112"/>
      <c r="F105" s="164"/>
      <c r="H105" s="165"/>
      <c r="I105" s="168"/>
    </row>
    <row r="106" spans="2:9" x14ac:dyDescent="0.2">
      <c r="B106" s="12"/>
      <c r="C106" s="42" t="s">
        <v>71</v>
      </c>
      <c r="D106" s="112">
        <v>7.3</v>
      </c>
      <c r="E106" s="112">
        <f>+'E-13c'!N730</f>
        <v>7.3594338959496941</v>
      </c>
      <c r="F106" s="164">
        <f t="shared" si="1"/>
        <v>8.1416295821499229E-3</v>
      </c>
      <c r="H106" s="165"/>
      <c r="I106" s="168"/>
    </row>
    <row r="107" spans="2:9" x14ac:dyDescent="0.2">
      <c r="B107" s="12"/>
      <c r="C107" s="42" t="s">
        <v>70</v>
      </c>
      <c r="D107" s="112">
        <v>7.3</v>
      </c>
      <c r="E107" s="112">
        <f>+'E-13c'!N731</f>
        <v>7.3594338959496941</v>
      </c>
      <c r="F107" s="164">
        <f t="shared" si="1"/>
        <v>8.1416295821499229E-3</v>
      </c>
      <c r="H107" s="165"/>
      <c r="I107" s="168"/>
    </row>
    <row r="108" spans="2:9" x14ac:dyDescent="0.2">
      <c r="B108" s="12"/>
      <c r="C108" s="42" t="s">
        <v>90</v>
      </c>
      <c r="D108" s="112">
        <v>7.3</v>
      </c>
      <c r="E108" s="112">
        <f>+'E-13c'!N732</f>
        <v>7.3594338959496941</v>
      </c>
      <c r="F108" s="164">
        <f t="shared" si="1"/>
        <v>8.1416295821499229E-3</v>
      </c>
      <c r="H108" s="165"/>
      <c r="I108" s="168"/>
    </row>
    <row r="109" spans="2:9" x14ac:dyDescent="0.2">
      <c r="B109" s="12"/>
      <c r="C109" s="148" t="s">
        <v>98</v>
      </c>
      <c r="D109" s="112">
        <v>11.83</v>
      </c>
      <c r="E109" s="112">
        <f>+'E-13c'!N733</f>
        <v>11.926315477956834</v>
      </c>
      <c r="F109" s="164">
        <f t="shared" si="1"/>
        <v>8.1416295821499229E-3</v>
      </c>
      <c r="H109" s="165"/>
      <c r="I109" s="168"/>
    </row>
    <row r="110" spans="2:9" x14ac:dyDescent="0.2">
      <c r="C110" s="148" t="s">
        <v>99</v>
      </c>
      <c r="D110" s="112">
        <v>11.83</v>
      </c>
      <c r="E110" s="112">
        <f>+'E-13c'!N734</f>
        <v>11.926315477956834</v>
      </c>
      <c r="F110" s="164">
        <f t="shared" si="1"/>
        <v>8.1416295821499229E-3</v>
      </c>
      <c r="H110" s="165"/>
      <c r="I110" s="168"/>
    </row>
    <row r="111" spans="2:9" x14ac:dyDescent="0.2">
      <c r="C111" s="148" t="s">
        <v>100</v>
      </c>
      <c r="D111" s="112">
        <v>11.83</v>
      </c>
      <c r="E111" s="112">
        <f>+'E-13c'!N735</f>
        <v>11.926315477956834</v>
      </c>
      <c r="F111" s="164">
        <f t="shared" si="1"/>
        <v>8.1416295821499229E-3</v>
      </c>
      <c r="H111" s="165"/>
      <c r="I111" s="168"/>
    </row>
    <row r="112" spans="2:9" x14ac:dyDescent="0.2">
      <c r="C112" s="148" t="s">
        <v>101</v>
      </c>
      <c r="D112" s="112">
        <v>5.6646000000000001</v>
      </c>
      <c r="E112" s="112">
        <f>+'E-13c'!N736</f>
        <v>5.7107190749310464</v>
      </c>
      <c r="F112" s="164">
        <f t="shared" si="1"/>
        <v>8.1416295821499229E-3</v>
      </c>
      <c r="H112" s="165"/>
      <c r="I112" s="168"/>
    </row>
    <row r="113" spans="2:9" x14ac:dyDescent="0.2">
      <c r="C113" s="148" t="s">
        <v>102</v>
      </c>
      <c r="D113" s="112">
        <v>5.6646000000000001</v>
      </c>
      <c r="E113" s="112">
        <f>+'E-13c'!N737</f>
        <v>5.7107190749310464</v>
      </c>
      <c r="F113" s="164">
        <f t="shared" si="1"/>
        <v>8.1416295821499229E-3</v>
      </c>
      <c r="H113" s="165"/>
      <c r="I113" s="168"/>
    </row>
    <row r="114" spans="2:9" x14ac:dyDescent="0.2">
      <c r="C114" s="148" t="s">
        <v>103</v>
      </c>
      <c r="D114" s="112">
        <v>5.6646000000000001</v>
      </c>
      <c r="E114" s="112">
        <f>+'E-13c'!N738</f>
        <v>5.7107190749310464</v>
      </c>
      <c r="F114" s="164">
        <f t="shared" si="1"/>
        <v>8.1416295821499229E-3</v>
      </c>
      <c r="H114" s="165"/>
      <c r="I114" s="168"/>
    </row>
    <row r="115" spans="2:9" x14ac:dyDescent="0.2">
      <c r="B115" s="62" t="s">
        <v>133</v>
      </c>
      <c r="D115" s="112"/>
      <c r="E115" s="112"/>
      <c r="F115" s="164"/>
      <c r="H115" s="165"/>
      <c r="I115" s="168"/>
    </row>
    <row r="116" spans="2:9" x14ac:dyDescent="0.2">
      <c r="B116" s="62"/>
      <c r="C116" s="148" t="s">
        <v>609</v>
      </c>
      <c r="D116" s="112">
        <v>8.5</v>
      </c>
      <c r="E116" s="112">
        <f>+'E-13c'!N742</f>
        <v>8.5692038514482736</v>
      </c>
      <c r="F116" s="164">
        <f t="shared" si="1"/>
        <v>8.1416295821499229E-3</v>
      </c>
      <c r="H116" s="165"/>
      <c r="I116" s="168"/>
    </row>
    <row r="117" spans="2:9" x14ac:dyDescent="0.2">
      <c r="B117" s="62"/>
      <c r="C117" s="148" t="s">
        <v>610</v>
      </c>
      <c r="D117" s="112">
        <v>8.5</v>
      </c>
      <c r="E117" s="112">
        <f>+'E-13c'!N743</f>
        <v>8.5692038514482736</v>
      </c>
      <c r="F117" s="164">
        <f t="shared" si="1"/>
        <v>8.1416295821499229E-3</v>
      </c>
      <c r="H117" s="165"/>
      <c r="I117" s="168"/>
    </row>
    <row r="118" spans="2:9" x14ac:dyDescent="0.2">
      <c r="B118" s="62"/>
      <c r="C118" s="148" t="s">
        <v>598</v>
      </c>
      <c r="D118" s="112">
        <v>8.5</v>
      </c>
      <c r="E118" s="112">
        <f>+'E-13c'!N744</f>
        <v>8.5692038514482736</v>
      </c>
      <c r="F118" s="164">
        <f t="shared" si="1"/>
        <v>8.1416295821499229E-3</v>
      </c>
      <c r="H118" s="165"/>
      <c r="I118" s="168"/>
    </row>
    <row r="119" spans="2:9" x14ac:dyDescent="0.2">
      <c r="B119" s="12"/>
      <c r="C119" s="148" t="s">
        <v>98</v>
      </c>
      <c r="D119" s="112">
        <v>8.5</v>
      </c>
      <c r="E119" s="112">
        <f>+'E-13c'!N745</f>
        <v>8.5692038514482736</v>
      </c>
      <c r="F119" s="164">
        <f t="shared" si="1"/>
        <v>8.1416295821499229E-3</v>
      </c>
      <c r="H119" s="165"/>
      <c r="I119" s="168"/>
    </row>
    <row r="120" spans="2:9" x14ac:dyDescent="0.2">
      <c r="C120" s="148" t="s">
        <v>99</v>
      </c>
      <c r="D120" s="112">
        <v>8.5</v>
      </c>
      <c r="E120" s="112">
        <f>+'E-13c'!N746</f>
        <v>8.5692038514482736</v>
      </c>
      <c r="F120" s="164">
        <f t="shared" si="1"/>
        <v>8.1416295821499229E-3</v>
      </c>
      <c r="H120" s="165"/>
      <c r="I120" s="168"/>
    </row>
    <row r="121" spans="2:9" x14ac:dyDescent="0.2">
      <c r="C121" s="148" t="s">
        <v>100</v>
      </c>
      <c r="D121" s="112">
        <v>8.5</v>
      </c>
      <c r="E121" s="112">
        <f>+'E-13c'!N747</f>
        <v>8.5692038514482736</v>
      </c>
      <c r="F121" s="164">
        <f t="shared" si="1"/>
        <v>8.1416295821499229E-3</v>
      </c>
      <c r="H121" s="165"/>
      <c r="I121" s="168"/>
    </row>
    <row r="122" spans="2:9" x14ac:dyDescent="0.2">
      <c r="C122" s="148" t="s">
        <v>101</v>
      </c>
      <c r="D122" s="112">
        <v>8.5</v>
      </c>
      <c r="E122" s="112">
        <f>+'E-13c'!N748</f>
        <v>8.5692038514482736</v>
      </c>
      <c r="F122" s="164">
        <f t="shared" si="1"/>
        <v>8.1416295821499229E-3</v>
      </c>
      <c r="H122" s="165"/>
      <c r="I122" s="168"/>
    </row>
    <row r="123" spans="2:9" x14ac:dyDescent="0.2">
      <c r="C123" s="148" t="s">
        <v>102</v>
      </c>
      <c r="D123" s="112">
        <v>8.5</v>
      </c>
      <c r="E123" s="112">
        <f>+'E-13c'!N749</f>
        <v>8.5692038514482736</v>
      </c>
      <c r="F123" s="164">
        <f t="shared" si="1"/>
        <v>8.1416295821499229E-3</v>
      </c>
      <c r="H123" s="165"/>
      <c r="I123" s="168"/>
    </row>
    <row r="124" spans="2:9" x14ac:dyDescent="0.2">
      <c r="C124" s="148" t="s">
        <v>103</v>
      </c>
      <c r="D124" s="112">
        <v>8.5</v>
      </c>
      <c r="E124" s="112">
        <f>+'E-13c'!N750</f>
        <v>8.5692038514482736</v>
      </c>
      <c r="F124" s="164">
        <f t="shared" si="1"/>
        <v>8.1416295821499229E-3</v>
      </c>
      <c r="H124" s="165"/>
      <c r="I124" s="168"/>
    </row>
    <row r="125" spans="2:9" x14ac:dyDescent="0.2">
      <c r="B125" s="62" t="s">
        <v>53</v>
      </c>
      <c r="D125" s="112"/>
      <c r="E125" s="112"/>
      <c r="F125" s="164"/>
      <c r="H125" s="165"/>
      <c r="I125" s="168"/>
    </row>
    <row r="126" spans="2:9" x14ac:dyDescent="0.2">
      <c r="B126" s="12"/>
      <c r="C126" s="42" t="s">
        <v>71</v>
      </c>
      <c r="D126" s="112">
        <v>13.75</v>
      </c>
      <c r="E126" s="112">
        <f>+'E-13c'!N776</f>
        <v>13.861947406754561</v>
      </c>
      <c r="F126" s="164">
        <f t="shared" si="1"/>
        <v>8.1416295821499229E-3</v>
      </c>
      <c r="H126" s="165"/>
      <c r="I126" s="168"/>
    </row>
    <row r="127" spans="2:9" x14ac:dyDescent="0.2">
      <c r="B127" s="12"/>
      <c r="C127" s="42" t="s">
        <v>70</v>
      </c>
      <c r="D127" s="112">
        <v>13.75</v>
      </c>
      <c r="E127" s="112">
        <f>+'E-13c'!N777</f>
        <v>13.861947406754561</v>
      </c>
      <c r="F127" s="164">
        <f t="shared" si="1"/>
        <v>8.1416295821499229E-3</v>
      </c>
      <c r="H127" s="165"/>
      <c r="I127" s="168"/>
    </row>
    <row r="128" spans="2:9" x14ac:dyDescent="0.2">
      <c r="B128" s="12"/>
      <c r="C128" s="42" t="s">
        <v>90</v>
      </c>
      <c r="D128" s="112">
        <v>13.75</v>
      </c>
      <c r="E128" s="112">
        <f>+'E-13c'!N778</f>
        <v>13.861947406754561</v>
      </c>
      <c r="F128" s="164">
        <f t="shared" si="1"/>
        <v>8.1416295821499229E-3</v>
      </c>
      <c r="H128" s="165"/>
      <c r="I128" s="168"/>
    </row>
    <row r="129" spans="2:9" x14ac:dyDescent="0.2">
      <c r="B129" s="12"/>
      <c r="C129" s="148" t="s">
        <v>93</v>
      </c>
      <c r="D129" s="112">
        <v>4.4000000000000004</v>
      </c>
      <c r="E129" s="112">
        <f>+'E-13c'!N779</f>
        <v>4.4358231701614601</v>
      </c>
      <c r="F129" s="164">
        <f t="shared" si="1"/>
        <v>8.1416295821499229E-3</v>
      </c>
      <c r="H129" s="165"/>
      <c r="I129" s="168"/>
    </row>
    <row r="130" spans="2:9" x14ac:dyDescent="0.2">
      <c r="C130" s="148" t="s">
        <v>104</v>
      </c>
      <c r="D130" s="112">
        <v>4.4000000000000004</v>
      </c>
      <c r="E130" s="112">
        <f>+'E-13c'!N780</f>
        <v>4.4358231701614601</v>
      </c>
      <c r="F130" s="164">
        <f t="shared" si="1"/>
        <v>8.1416295821499229E-3</v>
      </c>
      <c r="H130" s="165"/>
      <c r="I130" s="168"/>
    </row>
    <row r="131" spans="2:9" x14ac:dyDescent="0.2">
      <c r="C131" s="148" t="s">
        <v>94</v>
      </c>
      <c r="D131" s="112">
        <v>4.4000000000000004</v>
      </c>
      <c r="E131" s="112">
        <f>+'E-13c'!N781</f>
        <v>4.4358231701614601</v>
      </c>
      <c r="F131" s="164">
        <f t="shared" si="1"/>
        <v>8.1416295821499229E-3</v>
      </c>
      <c r="H131" s="165"/>
      <c r="I131" s="168"/>
    </row>
    <row r="132" spans="2:9" x14ac:dyDescent="0.2">
      <c r="C132" s="148" t="s">
        <v>95</v>
      </c>
      <c r="D132" s="112">
        <v>8.99</v>
      </c>
      <c r="E132" s="112">
        <f>+'E-13c'!N782</f>
        <v>9.0631932499435273</v>
      </c>
      <c r="F132" s="164">
        <f t="shared" si="1"/>
        <v>8.1416295821499229E-3</v>
      </c>
      <c r="H132" s="165"/>
      <c r="I132" s="168"/>
    </row>
    <row r="133" spans="2:9" x14ac:dyDescent="0.2">
      <c r="C133" s="148" t="s">
        <v>105</v>
      </c>
      <c r="D133" s="112">
        <v>8.99</v>
      </c>
      <c r="E133" s="112">
        <f>+'E-13c'!N783</f>
        <v>9.0631932499435273</v>
      </c>
      <c r="F133" s="164">
        <f t="shared" si="1"/>
        <v>8.1416295821499229E-3</v>
      </c>
      <c r="H133" s="165"/>
      <c r="I133" s="168"/>
    </row>
    <row r="134" spans="2:9" x14ac:dyDescent="0.2">
      <c r="C134" s="148" t="s">
        <v>96</v>
      </c>
      <c r="D134" s="112">
        <v>8.99</v>
      </c>
      <c r="E134" s="112">
        <f>+'E-13c'!N784</f>
        <v>9.0631932499435273</v>
      </c>
      <c r="F134" s="164">
        <f t="shared" ref="F134:F194" si="2">+E134/D134-1</f>
        <v>8.1416295821499229E-3</v>
      </c>
      <c r="H134" s="165"/>
      <c r="I134" s="168"/>
    </row>
    <row r="135" spans="2:9" x14ac:dyDescent="0.2">
      <c r="B135" s="62" t="s">
        <v>52</v>
      </c>
      <c r="D135" s="112"/>
      <c r="E135" s="112"/>
      <c r="F135" s="164"/>
      <c r="H135" s="165"/>
      <c r="I135" s="168"/>
    </row>
    <row r="136" spans="2:9" x14ac:dyDescent="0.2">
      <c r="B136" s="62"/>
      <c r="C136" s="148" t="s">
        <v>623</v>
      </c>
      <c r="D136" s="112">
        <v>1.7</v>
      </c>
      <c r="E136" s="112">
        <f>+'E-13c'!N786</f>
        <v>1.7138407702896548</v>
      </c>
      <c r="F136" s="164">
        <f t="shared" si="2"/>
        <v>8.1416295821499229E-3</v>
      </c>
      <c r="H136" s="165"/>
      <c r="I136" s="168"/>
    </row>
    <row r="137" spans="2:9" x14ac:dyDescent="0.2">
      <c r="B137" s="62"/>
      <c r="C137" s="148" t="s">
        <v>624</v>
      </c>
      <c r="D137" s="112">
        <v>1.7</v>
      </c>
      <c r="E137" s="112">
        <f>+'E-13c'!N787</f>
        <v>1.7138407702896548</v>
      </c>
      <c r="F137" s="164">
        <f t="shared" si="2"/>
        <v>8.1416295821499229E-3</v>
      </c>
      <c r="H137" s="165"/>
      <c r="I137" s="168"/>
    </row>
    <row r="138" spans="2:9" x14ac:dyDescent="0.2">
      <c r="B138" s="62"/>
      <c r="C138" s="148" t="s">
        <v>625</v>
      </c>
      <c r="D138" s="112">
        <v>1.7</v>
      </c>
      <c r="E138" s="112">
        <f>+'E-13c'!N788</f>
        <v>1.7138407702896548</v>
      </c>
      <c r="F138" s="164">
        <f t="shared" si="2"/>
        <v>8.1416295821499229E-3</v>
      </c>
      <c r="H138" s="165"/>
      <c r="I138" s="168"/>
    </row>
    <row r="139" spans="2:9" x14ac:dyDescent="0.2">
      <c r="B139" s="62"/>
      <c r="C139" s="148" t="s">
        <v>628</v>
      </c>
      <c r="D139" s="112">
        <v>1.65</v>
      </c>
      <c r="E139" s="112">
        <f>+'E-13c'!N789</f>
        <v>1.6634336888105472</v>
      </c>
      <c r="F139" s="164">
        <f t="shared" si="2"/>
        <v>8.1416295821499229E-3</v>
      </c>
      <c r="H139" s="165"/>
      <c r="I139" s="168"/>
    </row>
    <row r="140" spans="2:9" x14ac:dyDescent="0.2">
      <c r="B140" s="62"/>
      <c r="C140" s="148" t="s">
        <v>626</v>
      </c>
      <c r="D140" s="112">
        <v>1.65</v>
      </c>
      <c r="E140" s="112">
        <f>+'E-13c'!N790</f>
        <v>1.6634336888105472</v>
      </c>
      <c r="F140" s="164">
        <f t="shared" si="2"/>
        <v>8.1416295821499229E-3</v>
      </c>
      <c r="H140" s="165"/>
      <c r="I140" s="168"/>
    </row>
    <row r="141" spans="2:9" x14ac:dyDescent="0.2">
      <c r="B141" s="62"/>
      <c r="C141" s="148" t="s">
        <v>629</v>
      </c>
      <c r="D141" s="112">
        <v>1.65</v>
      </c>
      <c r="E141" s="112">
        <f>+'E-13c'!N791</f>
        <v>1.6634336888105472</v>
      </c>
      <c r="F141" s="164">
        <f t="shared" si="2"/>
        <v>8.1416295821499229E-3</v>
      </c>
      <c r="H141" s="165"/>
      <c r="I141" s="168"/>
    </row>
    <row r="142" spans="2:9" x14ac:dyDescent="0.2">
      <c r="B142" s="62"/>
      <c r="C142" s="148" t="s">
        <v>630</v>
      </c>
      <c r="D142" s="112">
        <v>0.65450000000000008</v>
      </c>
      <c r="E142" s="112">
        <f>+'E-13c'!N792</f>
        <v>0.65982869656151721</v>
      </c>
      <c r="F142" s="164">
        <f t="shared" si="2"/>
        <v>8.1416295821499229E-3</v>
      </c>
      <c r="H142" s="165"/>
      <c r="I142" s="168"/>
    </row>
    <row r="143" spans="2:9" x14ac:dyDescent="0.2">
      <c r="B143" s="62"/>
      <c r="C143" s="148" t="s">
        <v>631</v>
      </c>
      <c r="D143" s="112">
        <v>0.65450000000000008</v>
      </c>
      <c r="E143" s="112">
        <f>+'E-13c'!N793</f>
        <v>0.65982869656151721</v>
      </c>
      <c r="F143" s="164">
        <f t="shared" si="2"/>
        <v>8.1416295821499229E-3</v>
      </c>
      <c r="H143" s="165"/>
      <c r="I143" s="168"/>
    </row>
    <row r="144" spans="2:9" x14ac:dyDescent="0.2">
      <c r="B144" s="62"/>
      <c r="C144" s="148" t="s">
        <v>627</v>
      </c>
      <c r="D144" s="112">
        <v>0.65450000000000008</v>
      </c>
      <c r="E144" s="112">
        <f>+'E-13c'!N794</f>
        <v>0.65982869656151721</v>
      </c>
      <c r="F144" s="164">
        <f t="shared" si="2"/>
        <v>8.1416295821499229E-3</v>
      </c>
      <c r="H144" s="165"/>
      <c r="I144" s="168"/>
    </row>
    <row r="145" spans="2:9" x14ac:dyDescent="0.2">
      <c r="C145" s="148" t="s">
        <v>106</v>
      </c>
      <c r="D145" s="112">
        <v>1.7</v>
      </c>
      <c r="E145" s="112">
        <f>+'E-13c'!N795</f>
        <v>1.7138407702896548</v>
      </c>
      <c r="F145" s="164">
        <f t="shared" si="2"/>
        <v>8.1416295821499229E-3</v>
      </c>
      <c r="H145" s="165"/>
      <c r="I145" s="168"/>
    </row>
    <row r="146" spans="2:9" x14ac:dyDescent="0.2">
      <c r="C146" s="148" t="s">
        <v>107</v>
      </c>
      <c r="D146" s="112">
        <v>1.7</v>
      </c>
      <c r="E146" s="112">
        <f>+'E-13c'!N796</f>
        <v>1.7138407702896548</v>
      </c>
      <c r="F146" s="164">
        <f t="shared" si="2"/>
        <v>8.1416295821499229E-3</v>
      </c>
      <c r="H146" s="165"/>
      <c r="I146" s="168"/>
    </row>
    <row r="147" spans="2:9" x14ac:dyDescent="0.2">
      <c r="C147" s="148" t="s">
        <v>108</v>
      </c>
      <c r="D147" s="112">
        <v>1.7</v>
      </c>
      <c r="E147" s="112">
        <f>+'E-13c'!N797</f>
        <v>1.7138407702896548</v>
      </c>
      <c r="F147" s="164">
        <f t="shared" si="2"/>
        <v>8.1416295821499229E-3</v>
      </c>
      <c r="H147" s="165"/>
      <c r="I147" s="168"/>
    </row>
    <row r="148" spans="2:9" x14ac:dyDescent="0.2">
      <c r="C148" s="148" t="s">
        <v>109</v>
      </c>
      <c r="D148" s="112">
        <v>1.65</v>
      </c>
      <c r="E148" s="112">
        <f>+'E-13c'!N798</f>
        <v>1.6634336888105472</v>
      </c>
      <c r="F148" s="164">
        <f t="shared" si="2"/>
        <v>8.1416295821499229E-3</v>
      </c>
      <c r="H148" s="165"/>
      <c r="I148" s="168"/>
    </row>
    <row r="149" spans="2:9" x14ac:dyDescent="0.2">
      <c r="C149" s="148" t="s">
        <v>110</v>
      </c>
      <c r="D149" s="112">
        <v>1.65</v>
      </c>
      <c r="E149" s="112">
        <f>+'E-13c'!N799</f>
        <v>1.6634336888105472</v>
      </c>
      <c r="F149" s="164">
        <f t="shared" si="2"/>
        <v>8.1416295821499229E-3</v>
      </c>
      <c r="H149" s="165"/>
      <c r="I149" s="168"/>
    </row>
    <row r="150" spans="2:9" x14ac:dyDescent="0.2">
      <c r="C150" s="148" t="s">
        <v>111</v>
      </c>
      <c r="D150" s="112">
        <v>1.65</v>
      </c>
      <c r="E150" s="112">
        <f>+'E-13c'!N800</f>
        <v>1.6634336888105472</v>
      </c>
      <c r="F150" s="164">
        <f t="shared" si="2"/>
        <v>8.1416295821499229E-3</v>
      </c>
      <c r="H150" s="165"/>
      <c r="I150" s="168"/>
    </row>
    <row r="151" spans="2:9" x14ac:dyDescent="0.2">
      <c r="C151" s="148" t="s">
        <v>112</v>
      </c>
      <c r="D151" s="112">
        <v>0.65450000000000008</v>
      </c>
      <c r="E151" s="112">
        <f>+'E-13c'!N801</f>
        <v>0.65982869656151721</v>
      </c>
      <c r="F151" s="164">
        <f t="shared" si="2"/>
        <v>8.1416295821499229E-3</v>
      </c>
      <c r="H151" s="165"/>
      <c r="I151" s="168"/>
    </row>
    <row r="152" spans="2:9" x14ac:dyDescent="0.2">
      <c r="C152" s="148" t="s">
        <v>113</v>
      </c>
      <c r="D152" s="112">
        <v>0.65450000000000008</v>
      </c>
      <c r="E152" s="112">
        <f>+'E-13c'!N802</f>
        <v>0.65982869656151721</v>
      </c>
      <c r="F152" s="164">
        <f t="shared" si="2"/>
        <v>8.1416295821499229E-3</v>
      </c>
      <c r="H152" s="165"/>
      <c r="I152" s="168"/>
    </row>
    <row r="153" spans="2:9" x14ac:dyDescent="0.2">
      <c r="C153" s="148" t="s">
        <v>114</v>
      </c>
      <c r="D153" s="112">
        <v>0.65450000000000008</v>
      </c>
      <c r="E153" s="112">
        <f>+'E-13c'!N803</f>
        <v>0.65982869656151721</v>
      </c>
      <c r="F153" s="164">
        <f t="shared" si="2"/>
        <v>8.1416295821499229E-3</v>
      </c>
      <c r="H153" s="165"/>
      <c r="I153" s="168"/>
    </row>
    <row r="154" spans="2:9" x14ac:dyDescent="0.2">
      <c r="C154" s="148"/>
      <c r="D154" s="112"/>
      <c r="E154" s="112"/>
      <c r="F154" s="164"/>
      <c r="H154" s="165"/>
      <c r="I154" s="168"/>
    </row>
    <row r="155" spans="2:9" x14ac:dyDescent="0.2">
      <c r="B155" s="62"/>
      <c r="D155" s="112"/>
      <c r="E155" s="112"/>
      <c r="F155" s="164"/>
      <c r="H155" s="165"/>
      <c r="I155" s="168"/>
    </row>
    <row r="156" spans="2:9" x14ac:dyDescent="0.2">
      <c r="B156" s="12"/>
      <c r="C156" s="42"/>
      <c r="D156" s="113"/>
      <c r="E156" s="113"/>
      <c r="F156" s="164"/>
      <c r="H156" s="166"/>
      <c r="I156" s="168"/>
    </row>
    <row r="157" spans="2:9" x14ac:dyDescent="0.2">
      <c r="B157" s="12"/>
      <c r="C157" s="42"/>
      <c r="D157" s="113"/>
      <c r="E157" s="113"/>
      <c r="F157" s="164"/>
      <c r="H157" s="166"/>
      <c r="I157" s="168"/>
    </row>
    <row r="158" spans="2:9" x14ac:dyDescent="0.2">
      <c r="C158" s="42"/>
      <c r="D158" s="113"/>
      <c r="E158" s="113"/>
      <c r="F158" s="164"/>
      <c r="H158" s="166"/>
      <c r="I158" s="168"/>
    </row>
    <row r="159" spans="2:9" x14ac:dyDescent="0.2">
      <c r="C159" s="42"/>
      <c r="D159" s="113"/>
      <c r="E159" s="113"/>
      <c r="F159" s="164"/>
      <c r="H159" s="166"/>
      <c r="I159" s="168"/>
    </row>
    <row r="160" spans="2:9" x14ac:dyDescent="0.2">
      <c r="B160" s="12"/>
      <c r="D160" s="112"/>
      <c r="E160" s="112"/>
      <c r="F160" s="164"/>
      <c r="H160" s="165"/>
      <c r="I160" s="168"/>
    </row>
    <row r="161" spans="2:9" x14ac:dyDescent="0.2">
      <c r="C161" s="42"/>
      <c r="D161" s="112"/>
      <c r="E161" s="112"/>
      <c r="F161" s="164"/>
      <c r="H161" s="165"/>
      <c r="I161" s="168"/>
    </row>
    <row r="162" spans="2:9" x14ac:dyDescent="0.2">
      <c r="C162" s="42"/>
      <c r="D162" s="112"/>
      <c r="E162" s="112"/>
      <c r="F162" s="164"/>
      <c r="H162" s="165"/>
      <c r="I162" s="168"/>
    </row>
    <row r="163" spans="2:9" x14ac:dyDescent="0.2">
      <c r="B163" s="74" t="s">
        <v>573</v>
      </c>
      <c r="D163" s="112"/>
      <c r="E163" s="112"/>
      <c r="F163" s="164"/>
      <c r="H163" s="165"/>
      <c r="I163" s="168"/>
    </row>
    <row r="164" spans="2:9" x14ac:dyDescent="0.2">
      <c r="B164" s="4"/>
      <c r="C164" s="42" t="s">
        <v>70</v>
      </c>
      <c r="D164" s="112">
        <v>-0.48275483010242831</v>
      </c>
      <c r="E164" s="112">
        <f>+'E-13c'!N847</f>
        <v>-0.48668524110811601</v>
      </c>
      <c r="F164" s="164">
        <f t="shared" si="2"/>
        <v>8.1416295821499229E-3</v>
      </c>
      <c r="H164" s="165"/>
      <c r="I164" s="168"/>
    </row>
    <row r="165" spans="2:9" x14ac:dyDescent="0.2">
      <c r="B165" s="4"/>
      <c r="C165" s="42" t="s">
        <v>90</v>
      </c>
      <c r="D165" s="112">
        <v>-2.0463240776089906</v>
      </c>
      <c r="E165" s="112">
        <f>+'E-13c'!N848</f>
        <v>-2.0629844902539176</v>
      </c>
      <c r="F165" s="164">
        <f t="shared" si="2"/>
        <v>8.1416295821499229E-3</v>
      </c>
      <c r="H165" s="165"/>
      <c r="I165" s="168"/>
    </row>
    <row r="166" spans="2:9" x14ac:dyDescent="0.2">
      <c r="C166" s="42" t="s">
        <v>64</v>
      </c>
      <c r="D166" s="112">
        <v>-0.48275483010242831</v>
      </c>
      <c r="E166" s="112">
        <f>+'E-13c'!N849</f>
        <v>-0.48668524110811601</v>
      </c>
      <c r="F166" s="164">
        <f t="shared" si="2"/>
        <v>8.1416295821499229E-3</v>
      </c>
      <c r="H166" s="165"/>
      <c r="I166" s="168"/>
    </row>
    <row r="167" spans="2:9" x14ac:dyDescent="0.2">
      <c r="C167" s="42" t="s">
        <v>68</v>
      </c>
      <c r="D167" s="112">
        <v>-2.0463240776089906</v>
      </c>
      <c r="E167" s="112">
        <f>+'E-13c'!N850</f>
        <v>-2.0629844902539176</v>
      </c>
      <c r="F167" s="164">
        <f t="shared" si="2"/>
        <v>8.1416295821499229E-3</v>
      </c>
      <c r="H167" s="165"/>
      <c r="I167" s="168"/>
    </row>
    <row r="168" spans="2:9" x14ac:dyDescent="0.2">
      <c r="B168" s="74" t="s">
        <v>574</v>
      </c>
      <c r="D168" s="112"/>
      <c r="E168" s="112"/>
      <c r="F168" s="164"/>
      <c r="H168" s="165"/>
      <c r="I168" s="168"/>
    </row>
    <row r="169" spans="2:9" x14ac:dyDescent="0.2">
      <c r="B169" s="74"/>
      <c r="C169" s="42" t="s">
        <v>633</v>
      </c>
      <c r="D169" s="112">
        <v>-1.29</v>
      </c>
      <c r="E169" s="112">
        <f>+'E-13c'!N853</f>
        <v>-1.3005027021609734</v>
      </c>
      <c r="F169" s="164">
        <f t="shared" si="2"/>
        <v>8.1416295821499229E-3</v>
      </c>
      <c r="H169" s="165"/>
      <c r="I169" s="168"/>
    </row>
    <row r="170" spans="2:9" x14ac:dyDescent="0.2">
      <c r="B170" s="74"/>
      <c r="C170" s="42" t="s">
        <v>634</v>
      </c>
      <c r="D170" s="112">
        <v>-1.7</v>
      </c>
      <c r="E170" s="112">
        <f>+'E-13c'!N854</f>
        <v>-1.7138407702896548</v>
      </c>
      <c r="F170" s="164">
        <f t="shared" si="2"/>
        <v>8.1416295821499229E-3</v>
      </c>
      <c r="H170" s="165"/>
      <c r="I170" s="168"/>
    </row>
    <row r="171" spans="2:9" x14ac:dyDescent="0.2">
      <c r="C171" s="42" t="s">
        <v>64</v>
      </c>
      <c r="D171" s="112">
        <v>-1.29</v>
      </c>
      <c r="E171" s="112">
        <f>+'E-13c'!N855</f>
        <v>-1.3005027021609734</v>
      </c>
      <c r="F171" s="164">
        <f t="shared" si="2"/>
        <v>8.1416295821499229E-3</v>
      </c>
      <c r="H171" s="165"/>
      <c r="I171" s="168"/>
    </row>
    <row r="172" spans="2:9" x14ac:dyDescent="0.2">
      <c r="C172" s="42" t="s">
        <v>68</v>
      </c>
      <c r="D172" s="112">
        <v>-1.7</v>
      </c>
      <c r="E172" s="112">
        <f>+'E-13c'!N856</f>
        <v>-1.7138407702896548</v>
      </c>
      <c r="F172" s="164">
        <f t="shared" si="2"/>
        <v>8.1416295821499229E-3</v>
      </c>
      <c r="H172" s="165"/>
      <c r="I172" s="168"/>
    </row>
    <row r="173" spans="2:9" x14ac:dyDescent="0.2">
      <c r="B173" s="62" t="s">
        <v>361</v>
      </c>
      <c r="D173" s="112"/>
      <c r="E173" s="112"/>
      <c r="F173" s="164"/>
      <c r="H173" s="165"/>
      <c r="I173" s="168"/>
    </row>
    <row r="174" spans="2:9" x14ac:dyDescent="0.2">
      <c r="B174" s="12"/>
      <c r="C174" s="42" t="s">
        <v>71</v>
      </c>
      <c r="D174" s="112">
        <v>0.67480378207017755</v>
      </c>
      <c r="E174" s="112">
        <f>+'E-13c'!N884</f>
        <v>0.68029778450442679</v>
      </c>
      <c r="F174" s="164">
        <f t="shared" si="2"/>
        <v>8.1416295821499229E-3</v>
      </c>
      <c r="H174" s="165"/>
      <c r="I174" s="168"/>
    </row>
    <row r="175" spans="2:9" x14ac:dyDescent="0.2">
      <c r="B175" s="12"/>
      <c r="C175" s="42" t="s">
        <v>70</v>
      </c>
      <c r="D175" s="112">
        <v>0.67480378207017755</v>
      </c>
      <c r="E175" s="112">
        <f>+'E-13c'!N885</f>
        <v>0.68029778450442679</v>
      </c>
      <c r="F175" s="164">
        <f t="shared" si="2"/>
        <v>8.1416295821499229E-3</v>
      </c>
      <c r="H175" s="165"/>
      <c r="I175" s="168"/>
    </row>
    <row r="176" spans="2:9" x14ac:dyDescent="0.2">
      <c r="B176" s="12"/>
      <c r="C176" s="42" t="s">
        <v>90</v>
      </c>
      <c r="D176" s="112">
        <v>0.67480378207017755</v>
      </c>
      <c r="E176" s="112">
        <f>+'E-13c'!N886</f>
        <v>0.68029778450442679</v>
      </c>
      <c r="F176" s="164">
        <f t="shared" si="2"/>
        <v>8.1416295821499229E-3</v>
      </c>
      <c r="H176" s="165"/>
      <c r="I176" s="168"/>
    </row>
    <row r="177" spans="2:9" x14ac:dyDescent="0.2">
      <c r="B177" s="12"/>
      <c r="C177" s="148" t="s">
        <v>97</v>
      </c>
      <c r="D177" s="112">
        <v>0.67480378207017755</v>
      </c>
      <c r="E177" s="112">
        <f>+'E-13c'!N887</f>
        <v>0.68029778450442679</v>
      </c>
      <c r="F177" s="164">
        <f t="shared" si="2"/>
        <v>8.1416295821499229E-3</v>
      </c>
      <c r="H177" s="165"/>
      <c r="I177" s="168"/>
    </row>
    <row r="178" spans="2:9" x14ac:dyDescent="0.2">
      <c r="C178" s="42" t="s">
        <v>64</v>
      </c>
      <c r="D178" s="112">
        <v>0.67480378207017755</v>
      </c>
      <c r="E178" s="112">
        <f>+'E-13c'!N888</f>
        <v>0.68029778450442679</v>
      </c>
      <c r="F178" s="164">
        <f t="shared" si="2"/>
        <v>8.1416295821499229E-3</v>
      </c>
      <c r="H178" s="165"/>
      <c r="I178" s="168"/>
    </row>
    <row r="179" spans="2:9" x14ac:dyDescent="0.2">
      <c r="C179" s="42" t="s">
        <v>68</v>
      </c>
      <c r="D179" s="112">
        <v>0.67480378207017755</v>
      </c>
      <c r="E179" s="112">
        <f>+'E-13c'!N889</f>
        <v>0.68029778450442679</v>
      </c>
      <c r="F179" s="164">
        <f t="shared" si="2"/>
        <v>8.1416295821499229E-3</v>
      </c>
      <c r="G179" s="164"/>
      <c r="H179" s="165"/>
      <c r="I179" s="168"/>
    </row>
    <row r="180" spans="2:9" x14ac:dyDescent="0.2">
      <c r="C180" s="42"/>
      <c r="D180" s="112"/>
      <c r="E180" s="112"/>
      <c r="F180" s="164"/>
      <c r="H180" s="165"/>
      <c r="I180" s="168"/>
    </row>
    <row r="181" spans="2:9" x14ac:dyDescent="0.2">
      <c r="B181" s="19" t="s">
        <v>46</v>
      </c>
      <c r="C181" s="42"/>
      <c r="D181" s="112"/>
      <c r="E181" s="112"/>
      <c r="F181" s="164"/>
      <c r="H181" s="165"/>
      <c r="I181" s="168"/>
    </row>
    <row r="182" spans="2:9" x14ac:dyDescent="0.2">
      <c r="C182" s="42" t="s">
        <v>40</v>
      </c>
      <c r="D182" s="112">
        <v>2.0099999999999998</v>
      </c>
      <c r="E182" s="112">
        <f>+'E-13c'!N830</f>
        <v>2.0263646754601212</v>
      </c>
      <c r="F182" s="164">
        <f t="shared" si="2"/>
        <v>8.1416295821499229E-3</v>
      </c>
      <c r="G182" s="164"/>
      <c r="H182" s="165"/>
      <c r="I182" s="168"/>
    </row>
    <row r="183" spans="2:9" x14ac:dyDescent="0.2">
      <c r="C183" s="42" t="s">
        <v>39</v>
      </c>
      <c r="D183" s="112">
        <v>2.0099999999999998</v>
      </c>
      <c r="E183" s="112">
        <f>+'E-13c'!N831</f>
        <v>2.0263646754601212</v>
      </c>
      <c r="F183" s="164">
        <f t="shared" si="2"/>
        <v>8.1416295821499229E-3</v>
      </c>
      <c r="H183" s="165"/>
      <c r="I183" s="168"/>
    </row>
    <row r="184" spans="2:9" x14ac:dyDescent="0.2">
      <c r="C184" s="42" t="s">
        <v>190</v>
      </c>
      <c r="D184" s="112">
        <v>2.0099999999999998</v>
      </c>
      <c r="E184" s="112">
        <f>+'E-13c'!N832</f>
        <v>2.0263646754601212</v>
      </c>
      <c r="F184" s="164">
        <f t="shared" si="2"/>
        <v>8.1416295821499229E-3</v>
      </c>
      <c r="H184" s="165"/>
      <c r="I184" s="168"/>
    </row>
    <row r="185" spans="2:9" x14ac:dyDescent="0.2">
      <c r="C185" s="42" t="s">
        <v>65</v>
      </c>
      <c r="D185" s="112">
        <v>2.0099999999999998</v>
      </c>
      <c r="E185" s="112">
        <f>+'E-13c'!N833</f>
        <v>2.0263646754601212</v>
      </c>
      <c r="F185" s="164">
        <f t="shared" si="2"/>
        <v>8.1416295821499229E-3</v>
      </c>
      <c r="H185" s="165"/>
      <c r="I185" s="168"/>
    </row>
    <row r="186" spans="2:9" x14ac:dyDescent="0.2">
      <c r="C186" s="42" t="s">
        <v>64</v>
      </c>
      <c r="D186" s="112">
        <v>2.0099999999999998</v>
      </c>
      <c r="E186" s="112">
        <f>+'E-13c'!N834</f>
        <v>2.0263646754601212</v>
      </c>
      <c r="F186" s="164">
        <f t="shared" si="2"/>
        <v>8.1416295821499229E-3</v>
      </c>
      <c r="H186" s="165"/>
      <c r="I186" s="168"/>
    </row>
    <row r="187" spans="2:9" x14ac:dyDescent="0.2">
      <c r="C187" s="42" t="s">
        <v>192</v>
      </c>
      <c r="D187" s="112">
        <v>2.0099999999999998</v>
      </c>
      <c r="E187" s="112">
        <f>+'E-13c'!N835</f>
        <v>2.0263646754601212</v>
      </c>
      <c r="F187" s="164">
        <f t="shared" si="2"/>
        <v>8.1416295821499229E-3</v>
      </c>
      <c r="H187" s="165"/>
      <c r="I187" s="168"/>
    </row>
    <row r="188" spans="2:9" x14ac:dyDescent="0.2">
      <c r="B188" s="19" t="s">
        <v>49</v>
      </c>
      <c r="C188" s="42"/>
      <c r="D188" s="112"/>
      <c r="E188" s="112"/>
      <c r="F188" s="164"/>
      <c r="H188" s="165"/>
      <c r="I188" s="168"/>
    </row>
    <row r="189" spans="2:9" x14ac:dyDescent="0.2">
      <c r="C189" s="42" t="s">
        <v>40</v>
      </c>
      <c r="D189" s="112">
        <v>-1.01</v>
      </c>
      <c r="E189" s="112">
        <f>+'E-13c'!N838</f>
        <v>-1.0182230458779715</v>
      </c>
      <c r="F189" s="164">
        <f t="shared" si="2"/>
        <v>8.1416295821499229E-3</v>
      </c>
      <c r="H189" s="165"/>
      <c r="I189" s="168"/>
    </row>
    <row r="190" spans="2:9" x14ac:dyDescent="0.2">
      <c r="C190" s="42" t="s">
        <v>39</v>
      </c>
      <c r="D190" s="112">
        <v>-1.01</v>
      </c>
      <c r="E190" s="112">
        <f>+'E-13c'!N839</f>
        <v>-1.0182230458779715</v>
      </c>
      <c r="F190" s="164">
        <f t="shared" si="2"/>
        <v>8.1416295821499229E-3</v>
      </c>
      <c r="H190" s="165"/>
      <c r="I190" s="168"/>
    </row>
    <row r="191" spans="2:9" x14ac:dyDescent="0.2">
      <c r="C191" s="42" t="s">
        <v>190</v>
      </c>
      <c r="D191" s="112">
        <v>-1.01</v>
      </c>
      <c r="E191" s="112">
        <f>+'E-13c'!N840</f>
        <v>-1.0182230458779715</v>
      </c>
      <c r="F191" s="164">
        <f t="shared" si="2"/>
        <v>8.1416295821499229E-3</v>
      </c>
      <c r="H191" s="165"/>
      <c r="I191" s="168"/>
    </row>
    <row r="192" spans="2:9" x14ac:dyDescent="0.2">
      <c r="C192" s="42" t="s">
        <v>65</v>
      </c>
      <c r="D192" s="112">
        <v>-1.01</v>
      </c>
      <c r="E192" s="112">
        <f>+'E-13c'!N841</f>
        <v>-1.0182230458779715</v>
      </c>
      <c r="F192" s="164">
        <f t="shared" si="2"/>
        <v>8.1416295821499229E-3</v>
      </c>
      <c r="H192" s="165"/>
      <c r="I192" s="168"/>
    </row>
    <row r="193" spans="2:9" x14ac:dyDescent="0.2">
      <c r="C193" s="42" t="s">
        <v>64</v>
      </c>
      <c r="D193" s="112">
        <v>-1.01</v>
      </c>
      <c r="E193" s="112">
        <f>+'E-13c'!N842</f>
        <v>-1.0182230458779715</v>
      </c>
      <c r="F193" s="164">
        <f t="shared" si="2"/>
        <v>8.1416295821499229E-3</v>
      </c>
      <c r="H193" s="165"/>
      <c r="I193" s="168"/>
    </row>
    <row r="194" spans="2:9" x14ac:dyDescent="0.2">
      <c r="C194" s="42" t="s">
        <v>660</v>
      </c>
      <c r="D194" s="112">
        <v>-1.01</v>
      </c>
      <c r="E194" s="112">
        <f>+'E-13c'!N843</f>
        <v>-1.0182230458779715</v>
      </c>
      <c r="F194" s="164">
        <f t="shared" si="2"/>
        <v>8.1416295821499229E-3</v>
      </c>
      <c r="H194" s="165"/>
      <c r="I194" s="168"/>
    </row>
    <row r="195" spans="2:9" x14ac:dyDescent="0.2">
      <c r="C195" s="42"/>
      <c r="D195" s="112"/>
      <c r="E195" s="112"/>
      <c r="F195" s="164"/>
      <c r="H195" s="165"/>
      <c r="I195" s="168"/>
    </row>
    <row r="196" spans="2:9" x14ac:dyDescent="0.2">
      <c r="B196" s="94" t="s">
        <v>571</v>
      </c>
      <c r="D196" s="112"/>
      <c r="E196" s="112"/>
      <c r="F196" s="164"/>
      <c r="H196" s="165"/>
      <c r="I196" s="168"/>
    </row>
    <row r="197" spans="2:9" x14ac:dyDescent="0.2">
      <c r="B197" s="62" t="s">
        <v>569</v>
      </c>
      <c r="D197" s="112"/>
      <c r="E197" s="112"/>
      <c r="F197" s="164"/>
      <c r="H197" s="165"/>
      <c r="I197" s="168"/>
    </row>
    <row r="198" spans="2:9" x14ac:dyDescent="0.2">
      <c r="C198" s="42" t="s">
        <v>39</v>
      </c>
      <c r="D198" s="112">
        <v>19.359856399905436</v>
      </c>
      <c r="E198" s="112">
        <f>+'E-13c'!N395</f>
        <v>19.51747717947708</v>
      </c>
      <c r="F198" s="164">
        <f t="shared" ref="F198:F261" si="3">+E198/D198-1</f>
        <v>8.1416295821499229E-3</v>
      </c>
      <c r="H198" s="165"/>
      <c r="I198" s="168"/>
    </row>
    <row r="199" spans="2:9" x14ac:dyDescent="0.2">
      <c r="C199" s="148" t="s">
        <v>66</v>
      </c>
      <c r="D199" s="112">
        <v>19.359856399905436</v>
      </c>
      <c r="E199" s="112">
        <f>+'E-13c'!N396</f>
        <v>19.51747717947708</v>
      </c>
      <c r="F199" s="164">
        <f t="shared" si="3"/>
        <v>8.1416295821499229E-3</v>
      </c>
      <c r="H199" s="165"/>
      <c r="I199" s="168"/>
    </row>
    <row r="200" spans="2:9" x14ac:dyDescent="0.2">
      <c r="B200" s="62" t="s">
        <v>45</v>
      </c>
      <c r="D200" s="112"/>
      <c r="E200" s="112"/>
      <c r="F200" s="164"/>
      <c r="H200" s="165"/>
      <c r="I200" s="168"/>
    </row>
    <row r="201" spans="2:9" x14ac:dyDescent="0.2">
      <c r="C201" s="42" t="s">
        <v>39</v>
      </c>
      <c r="D201" s="112">
        <v>10.34</v>
      </c>
      <c r="E201" s="112">
        <f>+'E-13c'!N400</f>
        <v>10.42418444987943</v>
      </c>
      <c r="F201" s="164">
        <f t="shared" si="3"/>
        <v>8.1416295821499229E-3</v>
      </c>
      <c r="H201" s="165"/>
      <c r="I201" s="168"/>
    </row>
    <row r="202" spans="2:9" x14ac:dyDescent="0.2">
      <c r="C202" s="148" t="s">
        <v>86</v>
      </c>
      <c r="D202" s="112">
        <v>15.71</v>
      </c>
      <c r="E202" s="112">
        <f>+'E-13c'!N401</f>
        <v>15.837905000735576</v>
      </c>
      <c r="F202" s="164">
        <f t="shared" si="3"/>
        <v>8.1416295821499229E-3</v>
      </c>
      <c r="H202" s="165"/>
      <c r="I202" s="168"/>
    </row>
    <row r="203" spans="2:9" x14ac:dyDescent="0.2">
      <c r="C203" s="148" t="s">
        <v>88</v>
      </c>
      <c r="D203" s="112">
        <v>8.4</v>
      </c>
      <c r="E203" s="112">
        <f>+'E-13c'!N402</f>
        <v>8.4683896884900598</v>
      </c>
      <c r="F203" s="164">
        <f t="shared" si="3"/>
        <v>8.1416295821499229E-3</v>
      </c>
      <c r="H203" s="165"/>
      <c r="I203" s="168"/>
    </row>
    <row r="204" spans="2:9" x14ac:dyDescent="0.2">
      <c r="B204" s="62" t="s">
        <v>36</v>
      </c>
      <c r="D204" s="112"/>
      <c r="E204" s="112"/>
      <c r="F204" s="164"/>
      <c r="H204" s="165"/>
      <c r="I204" s="168"/>
    </row>
    <row r="205" spans="2:9" x14ac:dyDescent="0.2">
      <c r="C205" s="42" t="s">
        <v>39</v>
      </c>
      <c r="D205" s="112">
        <v>11.5</v>
      </c>
      <c r="E205" s="112">
        <f>+'E-13c'!N406</f>
        <v>11.593628740194724</v>
      </c>
      <c r="F205" s="164">
        <f t="shared" si="3"/>
        <v>8.1416295821499229E-3</v>
      </c>
      <c r="H205" s="165"/>
      <c r="I205" s="168"/>
    </row>
    <row r="206" spans="2:9" x14ac:dyDescent="0.2">
      <c r="C206" s="148" t="s">
        <v>181</v>
      </c>
      <c r="D206" s="112">
        <v>3.65</v>
      </c>
      <c r="E206" s="112">
        <f>+'E-13c'!N407</f>
        <v>3.6797169479748471</v>
      </c>
      <c r="F206" s="164">
        <f t="shared" si="3"/>
        <v>8.1416295821499229E-3</v>
      </c>
      <c r="H206" s="165"/>
      <c r="I206" s="168"/>
    </row>
    <row r="207" spans="2:9" x14ac:dyDescent="0.2">
      <c r="C207" s="148" t="s">
        <v>183</v>
      </c>
      <c r="D207" s="112">
        <v>7.82</v>
      </c>
      <c r="E207" s="112">
        <f>+'E-13c'!N408</f>
        <v>7.8836675433324128</v>
      </c>
      <c r="F207" s="164">
        <f t="shared" si="3"/>
        <v>8.1416295821499229E-3</v>
      </c>
      <c r="H207" s="165"/>
      <c r="I207" s="168"/>
    </row>
    <row r="208" spans="2:9" x14ac:dyDescent="0.2">
      <c r="C208" s="148"/>
      <c r="D208" s="112"/>
      <c r="E208" s="112"/>
      <c r="F208" s="164"/>
      <c r="H208" s="165"/>
      <c r="I208" s="168"/>
    </row>
    <row r="209" spans="2:9" x14ac:dyDescent="0.2">
      <c r="B209" s="94" t="s">
        <v>46</v>
      </c>
      <c r="C209" s="148"/>
      <c r="D209" s="112"/>
      <c r="E209" s="112"/>
      <c r="F209" s="164"/>
      <c r="H209" s="165"/>
      <c r="I209" s="168"/>
    </row>
    <row r="210" spans="2:9" x14ac:dyDescent="0.2">
      <c r="C210" s="148" t="s">
        <v>39</v>
      </c>
      <c r="D210" s="112">
        <v>2.0099999999999998</v>
      </c>
      <c r="E210" s="112">
        <f>+'E-13c'!N417</f>
        <v>2.0263646754601212</v>
      </c>
      <c r="F210" s="164">
        <f t="shared" si="3"/>
        <v>8.1416295821499229E-3</v>
      </c>
      <c r="H210" s="165"/>
      <c r="I210" s="168"/>
    </row>
    <row r="211" spans="2:9" x14ac:dyDescent="0.2">
      <c r="C211" s="148" t="s">
        <v>64</v>
      </c>
      <c r="D211" s="112">
        <v>2.0099999999999998</v>
      </c>
      <c r="E211" s="112">
        <f>+'E-13c'!N418</f>
        <v>2.0263646754601212</v>
      </c>
      <c r="F211" s="164">
        <f t="shared" si="3"/>
        <v>8.1416295821499229E-3</v>
      </c>
      <c r="H211" s="165"/>
      <c r="I211" s="168"/>
    </row>
    <row r="212" spans="2:9" x14ac:dyDescent="0.2">
      <c r="C212" s="148"/>
      <c r="D212" s="112"/>
      <c r="E212" s="112"/>
      <c r="F212" s="164"/>
      <c r="H212" s="165"/>
      <c r="I212" s="168"/>
    </row>
    <row r="213" spans="2:9" x14ac:dyDescent="0.2">
      <c r="B213" s="94" t="s">
        <v>49</v>
      </c>
      <c r="C213" s="148"/>
      <c r="D213" s="112"/>
      <c r="E213" s="112"/>
      <c r="F213" s="164"/>
      <c r="H213" s="165"/>
      <c r="I213" s="168"/>
    </row>
    <row r="214" spans="2:9" x14ac:dyDescent="0.2">
      <c r="C214" s="148" t="s">
        <v>39</v>
      </c>
      <c r="D214" s="112">
        <v>-1.01</v>
      </c>
      <c r="E214" s="112">
        <f>+'E-13c'!N422</f>
        <v>-1.0182230458779715</v>
      </c>
      <c r="F214" s="164">
        <f t="shared" si="3"/>
        <v>8.1416295821499229E-3</v>
      </c>
      <c r="H214" s="165"/>
      <c r="I214" s="168"/>
    </row>
    <row r="215" spans="2:9" x14ac:dyDescent="0.2">
      <c r="C215" s="148" t="s">
        <v>64</v>
      </c>
      <c r="D215" s="112">
        <v>-1.01</v>
      </c>
      <c r="E215" s="112">
        <f>+'E-13c'!N423</f>
        <v>-1.0182230458779715</v>
      </c>
      <c r="F215" s="164">
        <f t="shared" si="3"/>
        <v>8.1416295821499229E-3</v>
      </c>
      <c r="H215" s="165"/>
      <c r="I215" s="168"/>
    </row>
    <row r="216" spans="2:9" x14ac:dyDescent="0.2">
      <c r="C216" s="148"/>
      <c r="D216" s="112"/>
      <c r="E216" s="112"/>
      <c r="F216" s="164"/>
      <c r="H216" s="165"/>
      <c r="I216" s="168"/>
    </row>
    <row r="217" spans="2:9" x14ac:dyDescent="0.2">
      <c r="B217" s="74" t="s">
        <v>204</v>
      </c>
      <c r="C217" s="148"/>
      <c r="D217" s="112"/>
      <c r="E217" s="112"/>
      <c r="F217" s="164"/>
      <c r="H217" s="165"/>
      <c r="I217" s="168"/>
    </row>
    <row r="218" spans="2:9" x14ac:dyDescent="0.2">
      <c r="C218" s="42" t="s">
        <v>39</v>
      </c>
      <c r="D218" s="112">
        <v>0.67480378207017755</v>
      </c>
      <c r="E218" s="112">
        <f>+'E-13c'!N412</f>
        <v>0.68029778450442679</v>
      </c>
      <c r="F218" s="164">
        <f t="shared" si="3"/>
        <v>8.1416295821499229E-3</v>
      </c>
      <c r="H218" s="165"/>
      <c r="I218" s="168"/>
    </row>
    <row r="219" spans="2:9" x14ac:dyDescent="0.2">
      <c r="C219" s="148" t="s">
        <v>66</v>
      </c>
      <c r="D219" s="112">
        <v>0.67480378207017755</v>
      </c>
      <c r="E219" s="112">
        <f>+'E-13c'!N413</f>
        <v>0.68029778450442679</v>
      </c>
      <c r="F219" s="164">
        <f t="shared" si="3"/>
        <v>8.1416295821499229E-3</v>
      </c>
      <c r="H219" s="165"/>
      <c r="I219" s="168"/>
    </row>
    <row r="220" spans="2:9" x14ac:dyDescent="0.2">
      <c r="B220" s="62"/>
      <c r="D220" s="112"/>
      <c r="E220" s="112"/>
      <c r="F220" s="164"/>
      <c r="H220" s="165"/>
      <c r="I220" s="168"/>
    </row>
    <row r="221" spans="2:9" x14ac:dyDescent="0.2">
      <c r="C221" s="42"/>
      <c r="D221" s="113"/>
      <c r="E221" s="113"/>
      <c r="F221" s="164"/>
      <c r="H221" s="166"/>
      <c r="I221" s="168"/>
    </row>
    <row r="222" spans="2:9" x14ac:dyDescent="0.2">
      <c r="C222" s="148"/>
      <c r="D222" s="113"/>
      <c r="E222" s="113"/>
      <c r="F222" s="164"/>
      <c r="H222" s="166"/>
      <c r="I222" s="168"/>
    </row>
    <row r="223" spans="2:9" x14ac:dyDescent="0.2">
      <c r="B223" s="94" t="s">
        <v>572</v>
      </c>
      <c r="C223" s="148"/>
      <c r="D223" s="112"/>
      <c r="E223" s="112"/>
      <c r="F223" s="164"/>
      <c r="H223" s="165"/>
      <c r="I223" s="168"/>
    </row>
    <row r="224" spans="2:9" x14ac:dyDescent="0.2">
      <c r="B224" s="94" t="s">
        <v>569</v>
      </c>
      <c r="C224" s="148"/>
      <c r="D224" s="112"/>
      <c r="E224" s="112"/>
      <c r="F224" s="164"/>
      <c r="H224" s="165"/>
      <c r="I224" s="168"/>
    </row>
    <row r="225" spans="2:9" x14ac:dyDescent="0.2">
      <c r="C225" s="148" t="s">
        <v>47</v>
      </c>
      <c r="D225" s="112">
        <v>83.222579279678143</v>
      </c>
      <c r="E225" s="112">
        <f>+'E-13c'!N449</f>
        <v>83.900146693044391</v>
      </c>
      <c r="F225" s="164">
        <f t="shared" si="3"/>
        <v>8.1416295821499229E-3</v>
      </c>
      <c r="H225" s="165"/>
      <c r="I225" s="168"/>
    </row>
    <row r="226" spans="2:9" x14ac:dyDescent="0.2">
      <c r="C226" s="148" t="s">
        <v>67</v>
      </c>
      <c r="D226" s="112">
        <v>83.222579279678143</v>
      </c>
      <c r="E226" s="112">
        <f>+'E-13c'!N450</f>
        <v>83.900146693044391</v>
      </c>
      <c r="F226" s="164">
        <f t="shared" si="3"/>
        <v>8.1416295821499229E-3</v>
      </c>
      <c r="H226" s="165"/>
      <c r="I226" s="168"/>
    </row>
    <row r="227" spans="2:9" x14ac:dyDescent="0.2">
      <c r="C227" s="148"/>
      <c r="D227" s="112"/>
      <c r="E227" s="112"/>
      <c r="F227" s="164"/>
      <c r="H227" s="165"/>
      <c r="I227" s="168"/>
    </row>
    <row r="228" spans="2:9" x14ac:dyDescent="0.2">
      <c r="B228" s="94" t="s">
        <v>45</v>
      </c>
      <c r="C228" s="148" t="s">
        <v>47</v>
      </c>
      <c r="D228" s="112">
        <v>11.42</v>
      </c>
      <c r="E228" s="112">
        <f>+'E-13c'!N454</f>
        <v>11.512977409828151</v>
      </c>
      <c r="F228" s="164">
        <f t="shared" si="3"/>
        <v>8.1416295821499229E-3</v>
      </c>
      <c r="H228" s="165"/>
      <c r="I228" s="168"/>
    </row>
    <row r="229" spans="2:9" x14ac:dyDescent="0.2">
      <c r="C229" s="148" t="s">
        <v>91</v>
      </c>
      <c r="D229" s="112">
        <v>13.75</v>
      </c>
      <c r="E229" s="112">
        <f>+'E-13c'!N455</f>
        <v>13.861947406754561</v>
      </c>
      <c r="F229" s="164">
        <f t="shared" si="3"/>
        <v>8.1416295821499229E-3</v>
      </c>
      <c r="H229" s="165"/>
      <c r="I229" s="168"/>
    </row>
    <row r="230" spans="2:9" x14ac:dyDescent="0.2">
      <c r="C230" s="148" t="s">
        <v>92</v>
      </c>
      <c r="D230" s="112">
        <v>10.69</v>
      </c>
      <c r="E230" s="112">
        <f>+'E-13c'!N456</f>
        <v>10.777034020233183</v>
      </c>
      <c r="F230" s="164">
        <f t="shared" si="3"/>
        <v>8.1416295821499229E-3</v>
      </c>
      <c r="H230" s="165"/>
      <c r="I230" s="168"/>
    </row>
    <row r="231" spans="2:9" x14ac:dyDescent="0.2">
      <c r="C231" s="148"/>
      <c r="D231" s="112"/>
      <c r="E231" s="112"/>
      <c r="F231" s="164"/>
      <c r="H231" s="165"/>
      <c r="I231" s="168"/>
    </row>
    <row r="232" spans="2:9" x14ac:dyDescent="0.2">
      <c r="B232" s="94" t="s">
        <v>36</v>
      </c>
      <c r="C232" s="148" t="s">
        <v>47</v>
      </c>
      <c r="D232" s="112">
        <v>8.99</v>
      </c>
      <c r="E232" s="112">
        <f>+'E-13c'!N460</f>
        <v>9.0631932499435273</v>
      </c>
      <c r="F232" s="164">
        <f t="shared" si="3"/>
        <v>8.1416295821499229E-3</v>
      </c>
      <c r="H232" s="165"/>
      <c r="I232" s="168"/>
    </row>
    <row r="233" spans="2:9" x14ac:dyDescent="0.2">
      <c r="C233" s="148" t="s">
        <v>182</v>
      </c>
      <c r="D233" s="112">
        <v>2.86</v>
      </c>
      <c r="E233" s="112">
        <f>+'E-13c'!N461</f>
        <v>2.8832850606049485</v>
      </c>
      <c r="F233" s="164">
        <f t="shared" si="3"/>
        <v>8.1416295821499229E-3</v>
      </c>
      <c r="H233" s="165"/>
      <c r="I233" s="168"/>
    </row>
    <row r="234" spans="2:9" x14ac:dyDescent="0.2">
      <c r="C234" s="148" t="s">
        <v>184</v>
      </c>
      <c r="D234" s="112">
        <v>6.1</v>
      </c>
      <c r="E234" s="112">
        <f>+'E-13c'!N462</f>
        <v>6.1496639404511138</v>
      </c>
      <c r="F234" s="164">
        <f t="shared" si="3"/>
        <v>8.1416295821499229E-3</v>
      </c>
      <c r="H234" s="165"/>
      <c r="I234" s="168"/>
    </row>
    <row r="235" spans="2:9" x14ac:dyDescent="0.2">
      <c r="C235" s="148"/>
      <c r="D235" s="112"/>
      <c r="E235" s="112"/>
      <c r="F235" s="164"/>
      <c r="H235" s="165"/>
      <c r="I235" s="168"/>
    </row>
    <row r="236" spans="2:9" x14ac:dyDescent="0.2">
      <c r="B236" s="94" t="s">
        <v>46</v>
      </c>
      <c r="C236" s="148"/>
      <c r="D236" s="112"/>
      <c r="E236" s="112"/>
      <c r="F236" s="164"/>
      <c r="H236" s="165"/>
      <c r="I236" s="168"/>
    </row>
    <row r="237" spans="2:9" x14ac:dyDescent="0.2">
      <c r="C237" s="148" t="s">
        <v>190</v>
      </c>
      <c r="D237" s="112">
        <v>2.0099999999999998</v>
      </c>
      <c r="E237" s="112">
        <f>+'E-13c'!N471</f>
        <v>2.0263646754601212</v>
      </c>
      <c r="F237" s="164">
        <f t="shared" si="3"/>
        <v>8.1416295821499229E-3</v>
      </c>
      <c r="H237" s="165"/>
      <c r="I237" s="168"/>
    </row>
    <row r="238" spans="2:9" x14ac:dyDescent="0.2">
      <c r="C238" s="148" t="s">
        <v>192</v>
      </c>
      <c r="D238" s="112">
        <v>2.0099999999999998</v>
      </c>
      <c r="E238" s="112">
        <f>+'E-13c'!N472</f>
        <v>2.0263646754601212</v>
      </c>
      <c r="F238" s="164">
        <f t="shared" si="3"/>
        <v>8.1416295821499229E-3</v>
      </c>
      <c r="H238" s="165"/>
      <c r="I238" s="168"/>
    </row>
    <row r="239" spans="2:9" x14ac:dyDescent="0.2">
      <c r="B239" s="94" t="s">
        <v>49</v>
      </c>
      <c r="C239" s="148"/>
      <c r="D239" s="112"/>
      <c r="E239" s="112"/>
      <c r="F239" s="164"/>
      <c r="H239" s="165"/>
      <c r="I239" s="168"/>
    </row>
    <row r="240" spans="2:9" x14ac:dyDescent="0.2">
      <c r="C240" s="148" t="s">
        <v>190</v>
      </c>
      <c r="D240" s="112">
        <v>-1.01</v>
      </c>
      <c r="E240" s="112">
        <f>+'E-13c'!N476</f>
        <v>-1.0182230458779715</v>
      </c>
      <c r="F240" s="164">
        <f t="shared" si="3"/>
        <v>8.1416295821499229E-3</v>
      </c>
      <c r="H240" s="165"/>
      <c r="I240" s="168"/>
    </row>
    <row r="241" spans="2:9" x14ac:dyDescent="0.2">
      <c r="C241" s="148" t="s">
        <v>192</v>
      </c>
      <c r="D241" s="112">
        <v>-1.01</v>
      </c>
      <c r="E241" s="112">
        <f>+'E-13c'!N477</f>
        <v>-1.0182230458779715</v>
      </c>
      <c r="F241" s="164">
        <f t="shared" si="3"/>
        <v>8.1416295821499229E-3</v>
      </c>
      <c r="H241" s="165"/>
      <c r="I241" s="168"/>
    </row>
    <row r="242" spans="2:9" x14ac:dyDescent="0.2">
      <c r="C242" s="148"/>
      <c r="D242" s="112"/>
      <c r="E242" s="112"/>
      <c r="F242" s="164"/>
      <c r="H242" s="165"/>
      <c r="I242" s="168"/>
    </row>
    <row r="243" spans="2:9" x14ac:dyDescent="0.2">
      <c r="B243" s="94" t="s">
        <v>204</v>
      </c>
      <c r="C243" s="148" t="s">
        <v>47</v>
      </c>
      <c r="D243" s="112">
        <v>0.67480378207017755</v>
      </c>
      <c r="E243" s="112">
        <f>+'E-13c'!N466</f>
        <v>0.68029778450442679</v>
      </c>
      <c r="F243" s="164">
        <f t="shared" si="3"/>
        <v>8.1416295821499229E-3</v>
      </c>
      <c r="H243" s="165"/>
      <c r="I243" s="168"/>
    </row>
    <row r="244" spans="2:9" x14ac:dyDescent="0.2">
      <c r="C244" s="148" t="s">
        <v>67</v>
      </c>
      <c r="D244" s="112">
        <v>0.67480378207017755</v>
      </c>
      <c r="E244" s="112">
        <f>+'E-13c'!N467</f>
        <v>0.68029778450442679</v>
      </c>
      <c r="F244" s="164">
        <f t="shared" si="3"/>
        <v>8.1416295821499229E-3</v>
      </c>
      <c r="H244" s="165"/>
      <c r="I244" s="168"/>
    </row>
    <row r="245" spans="2:9" x14ac:dyDescent="0.2">
      <c r="C245" s="148"/>
      <c r="D245" s="112"/>
      <c r="E245" s="112"/>
      <c r="F245" s="164"/>
      <c r="H245" s="165"/>
      <c r="I245" s="168"/>
    </row>
    <row r="246" spans="2:9" x14ac:dyDescent="0.2">
      <c r="B246" s="94" t="s">
        <v>398</v>
      </c>
      <c r="D246" s="112"/>
      <c r="E246" s="112"/>
      <c r="F246" s="164"/>
      <c r="H246" s="165"/>
      <c r="I246" s="168"/>
    </row>
    <row r="247" spans="2:9" x14ac:dyDescent="0.2">
      <c r="B247" s="62" t="s">
        <v>569</v>
      </c>
      <c r="D247" s="112"/>
      <c r="E247" s="112"/>
      <c r="F247" s="164"/>
      <c r="H247" s="165"/>
      <c r="I247" s="168"/>
    </row>
    <row r="248" spans="2:9" x14ac:dyDescent="0.2">
      <c r="B248" s="12"/>
      <c r="C248" s="42" t="s">
        <v>632</v>
      </c>
      <c r="D248" s="112">
        <v>20.181774208124615</v>
      </c>
      <c r="E248" s="112">
        <f>+'E-13c'!N504</f>
        <v>20.346086738037751</v>
      </c>
      <c r="F248" s="164">
        <f t="shared" si="3"/>
        <v>8.1416295821499229E-3</v>
      </c>
      <c r="H248" s="165"/>
      <c r="I248" s="168"/>
    </row>
    <row r="249" spans="2:9" x14ac:dyDescent="0.2">
      <c r="C249" s="148" t="s">
        <v>64</v>
      </c>
      <c r="D249" s="112">
        <v>20.181774208124615</v>
      </c>
      <c r="E249" s="112">
        <f>+'E-13c'!N505</f>
        <v>20.346086738037751</v>
      </c>
      <c r="F249" s="164">
        <f t="shared" si="3"/>
        <v>8.1416295821499229E-3</v>
      </c>
      <c r="H249" s="165"/>
      <c r="I249" s="168"/>
    </row>
    <row r="250" spans="2:9" x14ac:dyDescent="0.2">
      <c r="B250" s="62" t="s">
        <v>51</v>
      </c>
      <c r="D250" s="112"/>
      <c r="E250" s="112"/>
      <c r="F250" s="164"/>
      <c r="H250" s="165"/>
      <c r="I250" s="168"/>
    </row>
    <row r="251" spans="2:9" x14ac:dyDescent="0.2">
      <c r="B251" s="12"/>
      <c r="C251" s="42" t="s">
        <v>39</v>
      </c>
      <c r="D251" s="112">
        <v>10.34</v>
      </c>
      <c r="E251" s="112">
        <f>+'E-13c'!N509</f>
        <v>10.42418444987943</v>
      </c>
      <c r="F251" s="164">
        <f t="shared" si="3"/>
        <v>8.1416295821499229E-3</v>
      </c>
      <c r="H251" s="165"/>
      <c r="I251" s="168"/>
    </row>
    <row r="252" spans="2:9" x14ac:dyDescent="0.2">
      <c r="C252" s="148" t="s">
        <v>99</v>
      </c>
      <c r="D252" s="112">
        <v>15.71</v>
      </c>
      <c r="E252" s="112">
        <f>+'E-13c'!N510</f>
        <v>15.837905000735576</v>
      </c>
      <c r="F252" s="164">
        <f t="shared" si="3"/>
        <v>8.1416295821499229E-3</v>
      </c>
      <c r="H252" s="165"/>
      <c r="I252" s="168"/>
    </row>
    <row r="253" spans="2:9" x14ac:dyDescent="0.2">
      <c r="C253" s="148" t="s">
        <v>102</v>
      </c>
      <c r="D253" s="112">
        <v>8.4</v>
      </c>
      <c r="E253" s="112">
        <f>+'E-13c'!N511</f>
        <v>8.4683896884900598</v>
      </c>
      <c r="F253" s="164">
        <f t="shared" si="3"/>
        <v>8.1416295821499229E-3</v>
      </c>
      <c r="H253" s="165"/>
      <c r="I253" s="168"/>
    </row>
    <row r="254" spans="2:9" x14ac:dyDescent="0.2">
      <c r="B254" s="62" t="s">
        <v>133</v>
      </c>
      <c r="D254" s="112"/>
      <c r="E254" s="112"/>
      <c r="F254" s="164"/>
      <c r="H254" s="165"/>
      <c r="I254" s="168"/>
    </row>
    <row r="255" spans="2:9" x14ac:dyDescent="0.2">
      <c r="B255" s="62"/>
      <c r="C255" s="148" t="s">
        <v>608</v>
      </c>
      <c r="D255" s="112">
        <v>8.5</v>
      </c>
      <c r="E255" s="112">
        <f>+'E-13c'!N515</f>
        <v>8.5692038514482736</v>
      </c>
      <c r="F255" s="164">
        <f t="shared" si="3"/>
        <v>8.1416295821499229E-3</v>
      </c>
      <c r="H255" s="165"/>
      <c r="I255" s="168"/>
    </row>
    <row r="256" spans="2:9" x14ac:dyDescent="0.2">
      <c r="C256" s="148" t="s">
        <v>99</v>
      </c>
      <c r="D256" s="112">
        <v>8.5</v>
      </c>
      <c r="E256" s="112">
        <f>+'E-13c'!N516</f>
        <v>8.5692038514482736</v>
      </c>
      <c r="F256" s="164">
        <f t="shared" si="3"/>
        <v>8.1416295821499229E-3</v>
      </c>
      <c r="H256" s="165"/>
      <c r="I256" s="168"/>
    </row>
    <row r="257" spans="2:9" x14ac:dyDescent="0.2">
      <c r="C257" s="148" t="s">
        <v>102</v>
      </c>
      <c r="D257" s="112">
        <v>8.5</v>
      </c>
      <c r="E257" s="112">
        <f>+'E-13c'!N517</f>
        <v>8.5692038514482736</v>
      </c>
      <c r="F257" s="164">
        <f t="shared" si="3"/>
        <v>8.1416295821499229E-3</v>
      </c>
      <c r="H257" s="165"/>
      <c r="I257" s="168"/>
    </row>
    <row r="258" spans="2:9" x14ac:dyDescent="0.2">
      <c r="B258" s="62" t="s">
        <v>53</v>
      </c>
      <c r="D258" s="112"/>
      <c r="E258" s="112"/>
      <c r="F258" s="164"/>
      <c r="H258" s="165"/>
      <c r="I258" s="168"/>
    </row>
    <row r="259" spans="2:9" x14ac:dyDescent="0.2">
      <c r="B259" s="12"/>
      <c r="C259" s="42" t="s">
        <v>39</v>
      </c>
      <c r="D259" s="112">
        <v>11.5</v>
      </c>
      <c r="E259" s="112">
        <f>+'E-13c'!N521</f>
        <v>11.593628740194724</v>
      </c>
      <c r="F259" s="164">
        <f t="shared" si="3"/>
        <v>8.1416295821499229E-3</v>
      </c>
      <c r="H259" s="165"/>
      <c r="I259" s="168"/>
    </row>
    <row r="260" spans="2:9" x14ac:dyDescent="0.2">
      <c r="C260" s="148" t="s">
        <v>185</v>
      </c>
      <c r="D260" s="112">
        <v>3.65</v>
      </c>
      <c r="E260" s="112">
        <f>+'E-13c'!N522</f>
        <v>3.6797169479748471</v>
      </c>
      <c r="F260" s="164">
        <f t="shared" si="3"/>
        <v>8.1416295821499229E-3</v>
      </c>
      <c r="H260" s="165"/>
      <c r="I260" s="168"/>
    </row>
    <row r="261" spans="2:9" x14ac:dyDescent="0.2">
      <c r="C261" s="148" t="s">
        <v>187</v>
      </c>
      <c r="D261" s="112">
        <v>7.82</v>
      </c>
      <c r="E261" s="112">
        <f>+'E-13c'!N523</f>
        <v>7.8836675433324128</v>
      </c>
      <c r="F261" s="164">
        <f t="shared" si="3"/>
        <v>8.1416295821499229E-3</v>
      </c>
      <c r="H261" s="165"/>
      <c r="I261" s="168"/>
    </row>
    <row r="262" spans="2:9" x14ac:dyDescent="0.2">
      <c r="B262" s="62" t="s">
        <v>52</v>
      </c>
      <c r="D262" s="112"/>
      <c r="E262" s="112"/>
      <c r="F262" s="164"/>
      <c r="H262" s="165"/>
      <c r="I262" s="168"/>
    </row>
    <row r="263" spans="2:9" x14ac:dyDescent="0.2">
      <c r="B263" s="62"/>
      <c r="C263" s="148" t="s">
        <v>635</v>
      </c>
      <c r="D263" s="112">
        <v>1.2933058517163978</v>
      </c>
      <c r="E263" s="112">
        <f>+'E-13c'!N527</f>
        <v>1.3038354688974996</v>
      </c>
      <c r="F263" s="164">
        <f t="shared" ref="F263:F325" si="4">+E263/D263-1</f>
        <v>8.1416295821499229E-3</v>
      </c>
      <c r="H263" s="165"/>
      <c r="I263" s="168"/>
    </row>
    <row r="264" spans="2:9" x14ac:dyDescent="0.2">
      <c r="B264" s="62"/>
      <c r="C264" s="148" t="s">
        <v>637</v>
      </c>
      <c r="D264" s="112">
        <v>1.38</v>
      </c>
      <c r="E264" s="112">
        <f>+'E-13c'!N528</f>
        <v>1.3912354488233667</v>
      </c>
      <c r="F264" s="164">
        <f t="shared" si="4"/>
        <v>8.1416295821499229E-3</v>
      </c>
      <c r="H264" s="165"/>
      <c r="I264" s="168"/>
    </row>
    <row r="265" spans="2:9" x14ac:dyDescent="0.2">
      <c r="B265" s="62"/>
      <c r="C265" s="148" t="s">
        <v>636</v>
      </c>
      <c r="D265" s="112">
        <v>0.5474</v>
      </c>
      <c r="E265" s="112">
        <f>+'E-13c'!N529</f>
        <v>0.55185672803326891</v>
      </c>
      <c r="F265" s="164">
        <f t="shared" si="4"/>
        <v>8.1416295821499229E-3</v>
      </c>
      <c r="H265" s="165"/>
      <c r="I265" s="168"/>
    </row>
    <row r="266" spans="2:9" x14ac:dyDescent="0.2">
      <c r="C266" s="148" t="s">
        <v>116</v>
      </c>
      <c r="D266" s="112">
        <v>1.2933058517163978</v>
      </c>
      <c r="E266" s="112">
        <f>+'E-13c'!N530</f>
        <v>1.3038354688974996</v>
      </c>
      <c r="F266" s="164">
        <f t="shared" si="4"/>
        <v>8.1416295821499229E-3</v>
      </c>
      <c r="H266" s="165"/>
      <c r="I266" s="168"/>
    </row>
    <row r="267" spans="2:9" x14ac:dyDescent="0.2">
      <c r="C267" s="148" t="s">
        <v>576</v>
      </c>
      <c r="D267" s="112">
        <v>1.38</v>
      </c>
      <c r="E267" s="112">
        <f>+'E-13c'!N531</f>
        <v>1.3912354488233667</v>
      </c>
      <c r="F267" s="164">
        <f t="shared" si="4"/>
        <v>8.1416295821499229E-3</v>
      </c>
      <c r="H267" s="165"/>
      <c r="I267" s="168"/>
    </row>
    <row r="268" spans="2:9" x14ac:dyDescent="0.2">
      <c r="C268" s="148" t="s">
        <v>577</v>
      </c>
      <c r="D268" s="112">
        <v>0.5474</v>
      </c>
      <c r="E268" s="112">
        <f>+'E-13c'!N532</f>
        <v>0.55185672803326891</v>
      </c>
      <c r="F268" s="164">
        <f t="shared" si="4"/>
        <v>8.1416295821499229E-3</v>
      </c>
      <c r="H268" s="165"/>
      <c r="I268" s="168"/>
    </row>
    <row r="269" spans="2:9" x14ac:dyDescent="0.2">
      <c r="C269" s="148"/>
      <c r="D269" s="112"/>
      <c r="E269" s="112"/>
      <c r="F269" s="164"/>
      <c r="H269" s="165"/>
      <c r="I269" s="168"/>
    </row>
    <row r="270" spans="2:9" x14ac:dyDescent="0.2">
      <c r="B270" s="94" t="s">
        <v>46</v>
      </c>
      <c r="C270" s="148"/>
      <c r="D270" s="112"/>
      <c r="E270" s="112"/>
      <c r="F270" s="164"/>
      <c r="H270" s="165"/>
      <c r="I270" s="168"/>
    </row>
    <row r="271" spans="2:9" x14ac:dyDescent="0.2">
      <c r="C271" s="148" t="s">
        <v>39</v>
      </c>
      <c r="D271" s="112">
        <v>2.0100000000000002</v>
      </c>
      <c r="E271" s="112">
        <f>+'E-13c'!N537</f>
        <v>2.0263646754601217</v>
      </c>
      <c r="F271" s="164">
        <f t="shared" si="4"/>
        <v>8.1416295821499229E-3</v>
      </c>
      <c r="H271" s="165"/>
      <c r="I271" s="168"/>
    </row>
    <row r="272" spans="2:9" x14ac:dyDescent="0.2">
      <c r="C272" s="148" t="s">
        <v>64</v>
      </c>
      <c r="D272" s="112">
        <v>2.0100000000000002</v>
      </c>
      <c r="E272" s="112">
        <f>+'E-13c'!N538</f>
        <v>2.0263646754601217</v>
      </c>
      <c r="F272" s="164">
        <f t="shared" si="4"/>
        <v>8.1416295821499229E-3</v>
      </c>
      <c r="H272" s="165"/>
      <c r="I272" s="168"/>
    </row>
    <row r="273" spans="2:9" x14ac:dyDescent="0.2">
      <c r="C273" s="148"/>
      <c r="D273" s="112"/>
      <c r="E273" s="112"/>
      <c r="F273" s="164"/>
      <c r="H273" s="165"/>
      <c r="I273" s="168"/>
    </row>
    <row r="274" spans="2:9" x14ac:dyDescent="0.2">
      <c r="B274" s="94" t="s">
        <v>49</v>
      </c>
      <c r="C274" s="148"/>
      <c r="D274" s="112"/>
      <c r="E274" s="112"/>
      <c r="F274" s="164"/>
      <c r="H274" s="165"/>
      <c r="I274" s="168"/>
    </row>
    <row r="275" spans="2:9" x14ac:dyDescent="0.2">
      <c r="C275" s="148" t="s">
        <v>39</v>
      </c>
      <c r="D275" s="112">
        <v>-1.01</v>
      </c>
      <c r="E275" s="112">
        <f>+'E-13c'!N559</f>
        <v>-1.0182230458779715</v>
      </c>
      <c r="F275" s="164">
        <f t="shared" si="4"/>
        <v>8.1416295821499229E-3</v>
      </c>
      <c r="H275" s="165"/>
      <c r="I275" s="168"/>
    </row>
    <row r="276" spans="2:9" x14ac:dyDescent="0.2">
      <c r="C276" s="148" t="s">
        <v>64</v>
      </c>
      <c r="D276" s="112">
        <v>-1.01</v>
      </c>
      <c r="E276" s="112">
        <f>+'E-13c'!N560</f>
        <v>-1.0182230458779715</v>
      </c>
      <c r="F276" s="164">
        <f t="shared" si="4"/>
        <v>8.1416295821499229E-3</v>
      </c>
      <c r="H276" s="165"/>
      <c r="I276" s="168"/>
    </row>
    <row r="277" spans="2:9" x14ac:dyDescent="0.2">
      <c r="C277" s="148"/>
      <c r="D277" s="112"/>
      <c r="E277" s="112"/>
      <c r="F277" s="164"/>
      <c r="H277" s="165"/>
      <c r="I277" s="168"/>
    </row>
    <row r="278" spans="2:9" x14ac:dyDescent="0.2">
      <c r="B278" s="74" t="s">
        <v>204</v>
      </c>
      <c r="C278" s="148"/>
      <c r="D278" s="112"/>
      <c r="E278" s="112"/>
      <c r="F278" s="164"/>
      <c r="H278" s="165"/>
      <c r="I278" s="168"/>
    </row>
    <row r="279" spans="2:9" x14ac:dyDescent="0.2">
      <c r="C279" s="42" t="s">
        <v>39</v>
      </c>
      <c r="D279" s="112">
        <v>0.67480378207017755</v>
      </c>
      <c r="E279" s="112">
        <f>+'E-13c'!N564</f>
        <v>0.68029778450442679</v>
      </c>
      <c r="F279" s="164">
        <f t="shared" si="4"/>
        <v>8.1416295821499229E-3</v>
      </c>
      <c r="H279" s="165"/>
      <c r="I279" s="168"/>
    </row>
    <row r="280" spans="2:9" x14ac:dyDescent="0.2">
      <c r="C280" s="148" t="s">
        <v>66</v>
      </c>
      <c r="D280" s="112">
        <v>0.67480378207017755</v>
      </c>
      <c r="E280" s="112">
        <f>+'E-13c'!N565</f>
        <v>0.68029778450442679</v>
      </c>
      <c r="F280" s="164">
        <f t="shared" si="4"/>
        <v>8.1416295821499229E-3</v>
      </c>
      <c r="H280" s="165"/>
      <c r="I280" s="168"/>
    </row>
    <row r="281" spans="2:9" x14ac:dyDescent="0.2">
      <c r="C281" s="148"/>
      <c r="D281" s="112"/>
      <c r="E281" s="112"/>
      <c r="F281" s="164"/>
      <c r="H281" s="165"/>
      <c r="I281" s="168"/>
    </row>
    <row r="282" spans="2:9" x14ac:dyDescent="0.2">
      <c r="B282" s="62"/>
      <c r="D282" s="112"/>
      <c r="E282" s="112"/>
      <c r="F282" s="164"/>
      <c r="H282" s="165"/>
      <c r="I282" s="168"/>
    </row>
    <row r="283" spans="2:9" x14ac:dyDescent="0.2">
      <c r="B283" s="12"/>
      <c r="C283" s="42"/>
      <c r="D283" s="113"/>
      <c r="E283" s="113"/>
      <c r="F283" s="164"/>
      <c r="H283" s="166"/>
      <c r="I283" s="168"/>
    </row>
    <row r="284" spans="2:9" x14ac:dyDescent="0.2">
      <c r="B284" s="12"/>
      <c r="C284" s="42"/>
      <c r="D284" s="113"/>
      <c r="E284" s="113"/>
      <c r="F284" s="164"/>
      <c r="H284" s="166"/>
      <c r="I284" s="168"/>
    </row>
    <row r="285" spans="2:9" x14ac:dyDescent="0.2">
      <c r="D285" s="112"/>
      <c r="E285" s="112"/>
      <c r="F285" s="164"/>
      <c r="H285" s="165"/>
      <c r="I285" s="168"/>
    </row>
    <row r="286" spans="2:9" x14ac:dyDescent="0.2">
      <c r="B286" s="94" t="s">
        <v>399</v>
      </c>
      <c r="C286" s="42"/>
      <c r="D286" s="112"/>
      <c r="E286" s="112"/>
      <c r="F286" s="164"/>
      <c r="H286" s="165"/>
      <c r="I286" s="168"/>
    </row>
    <row r="287" spans="2:9" x14ac:dyDescent="0.2">
      <c r="B287" s="94" t="s">
        <v>569</v>
      </c>
      <c r="C287" s="42"/>
      <c r="D287" s="112"/>
      <c r="E287" s="112"/>
      <c r="F287" s="164"/>
      <c r="H287" s="165"/>
      <c r="I287" s="168"/>
    </row>
    <row r="288" spans="2:9" x14ac:dyDescent="0.2">
      <c r="C288" s="42" t="s">
        <v>47</v>
      </c>
      <c r="D288" s="112">
        <v>84.044497087897327</v>
      </c>
      <c r="E288" s="112">
        <f>+'E-13c'!N612</f>
        <v>84.728756251605063</v>
      </c>
      <c r="F288" s="164">
        <f t="shared" si="4"/>
        <v>8.1416295821499229E-3</v>
      </c>
      <c r="H288" s="165"/>
      <c r="I288" s="168"/>
    </row>
    <row r="289" spans="2:9" x14ac:dyDescent="0.2">
      <c r="C289" s="42" t="s">
        <v>115</v>
      </c>
      <c r="D289" s="112">
        <v>84.044497087897327</v>
      </c>
      <c r="E289" s="112">
        <f>+'E-13c'!N613</f>
        <v>84.728756251605063</v>
      </c>
      <c r="F289" s="164">
        <f t="shared" si="4"/>
        <v>8.1416295821499229E-3</v>
      </c>
      <c r="H289" s="165"/>
      <c r="I289" s="168"/>
    </row>
    <row r="290" spans="2:9" x14ac:dyDescent="0.2">
      <c r="B290" s="94" t="s">
        <v>51</v>
      </c>
      <c r="C290" s="42"/>
      <c r="D290" s="112"/>
      <c r="E290" s="112"/>
      <c r="F290" s="164"/>
      <c r="H290" s="165"/>
      <c r="I290" s="168"/>
    </row>
    <row r="291" spans="2:9" x14ac:dyDescent="0.2">
      <c r="C291" s="42" t="s">
        <v>47</v>
      </c>
      <c r="D291" s="112">
        <v>11.42</v>
      </c>
      <c r="E291" s="112">
        <f>+'E-13c'!N617</f>
        <v>11.512977409828151</v>
      </c>
      <c r="F291" s="164">
        <f t="shared" si="4"/>
        <v>8.1416295821499229E-3</v>
      </c>
      <c r="H291" s="165"/>
      <c r="I291" s="168"/>
    </row>
    <row r="292" spans="2:9" x14ac:dyDescent="0.2">
      <c r="C292" s="42" t="s">
        <v>100</v>
      </c>
      <c r="D292" s="112">
        <v>13.75</v>
      </c>
      <c r="E292" s="112">
        <f>+'E-13c'!N618</f>
        <v>13.861947406754561</v>
      </c>
      <c r="F292" s="164">
        <f t="shared" si="4"/>
        <v>8.1416295821499229E-3</v>
      </c>
      <c r="H292" s="165"/>
      <c r="I292" s="168"/>
    </row>
    <row r="293" spans="2:9" x14ac:dyDescent="0.2">
      <c r="C293" s="42" t="s">
        <v>103</v>
      </c>
      <c r="D293" s="112">
        <v>10.69</v>
      </c>
      <c r="E293" s="112">
        <f>+'E-13c'!N619</f>
        <v>10.777034020233183</v>
      </c>
      <c r="F293" s="164">
        <f t="shared" si="4"/>
        <v>8.1416295821499229E-3</v>
      </c>
      <c r="H293" s="165"/>
      <c r="I293" s="168"/>
    </row>
    <row r="294" spans="2:9" x14ac:dyDescent="0.2">
      <c r="B294" s="94" t="s">
        <v>133</v>
      </c>
      <c r="C294" s="42"/>
      <c r="D294" s="112"/>
      <c r="E294" s="112"/>
      <c r="F294" s="164"/>
      <c r="H294" s="165"/>
      <c r="I294" s="168"/>
    </row>
    <row r="295" spans="2:9" x14ac:dyDescent="0.2">
      <c r="B295" s="94"/>
      <c r="C295" s="42" t="s">
        <v>607</v>
      </c>
      <c r="D295" s="112">
        <v>8.5</v>
      </c>
      <c r="E295" s="112">
        <f>+'E-13c'!N623</f>
        <v>8.5692038514482736</v>
      </c>
      <c r="F295" s="164">
        <f t="shared" si="4"/>
        <v>8.1416295821499229E-3</v>
      </c>
      <c r="H295" s="165"/>
      <c r="I295" s="168"/>
    </row>
    <row r="296" spans="2:9" x14ac:dyDescent="0.2">
      <c r="C296" s="42" t="s">
        <v>100</v>
      </c>
      <c r="D296" s="112">
        <v>8.5</v>
      </c>
      <c r="E296" s="112">
        <f>+'E-13c'!N624</f>
        <v>8.5692038514482736</v>
      </c>
      <c r="F296" s="164">
        <f t="shared" si="4"/>
        <v>8.1416295821499229E-3</v>
      </c>
      <c r="H296" s="165"/>
      <c r="I296" s="168"/>
    </row>
    <row r="297" spans="2:9" x14ac:dyDescent="0.2">
      <c r="C297" s="42" t="s">
        <v>103</v>
      </c>
      <c r="D297" s="112">
        <v>8.5</v>
      </c>
      <c r="E297" s="112">
        <f>+'E-13c'!N625</f>
        <v>8.5692038514482736</v>
      </c>
      <c r="F297" s="164">
        <f t="shared" si="4"/>
        <v>8.1416295821499229E-3</v>
      </c>
      <c r="H297" s="165"/>
      <c r="I297" s="168"/>
    </row>
    <row r="298" spans="2:9" x14ac:dyDescent="0.2">
      <c r="B298" s="94" t="s">
        <v>53</v>
      </c>
      <c r="C298" s="42"/>
      <c r="D298" s="112"/>
      <c r="E298" s="112"/>
      <c r="F298" s="164"/>
      <c r="H298" s="165"/>
      <c r="I298" s="168"/>
    </row>
    <row r="299" spans="2:9" x14ac:dyDescent="0.2">
      <c r="C299" s="42" t="s">
        <v>47</v>
      </c>
      <c r="D299" s="112">
        <v>8.99</v>
      </c>
      <c r="E299" s="112">
        <f>+'E-13c'!N629</f>
        <v>9.0631932499435273</v>
      </c>
      <c r="F299" s="164">
        <f t="shared" si="4"/>
        <v>8.1416295821499229E-3</v>
      </c>
      <c r="H299" s="165"/>
      <c r="I299" s="168"/>
    </row>
    <row r="300" spans="2:9" x14ac:dyDescent="0.2">
      <c r="C300" s="42" t="s">
        <v>186</v>
      </c>
      <c r="D300" s="112">
        <v>2.86</v>
      </c>
      <c r="E300" s="112">
        <f>+'E-13c'!N630</f>
        <v>2.8832850606049485</v>
      </c>
      <c r="F300" s="164">
        <f t="shared" si="4"/>
        <v>8.1416295821499229E-3</v>
      </c>
      <c r="H300" s="165"/>
      <c r="I300" s="168"/>
    </row>
    <row r="301" spans="2:9" x14ac:dyDescent="0.2">
      <c r="C301" s="42" t="s">
        <v>188</v>
      </c>
      <c r="D301" s="112">
        <v>6.1</v>
      </c>
      <c r="E301" s="112">
        <f>+'E-13c'!N631</f>
        <v>6.1496639404511138</v>
      </c>
      <c r="F301" s="164">
        <f t="shared" si="4"/>
        <v>8.1416295821499229E-3</v>
      </c>
      <c r="H301" s="165"/>
      <c r="I301" s="168"/>
    </row>
    <row r="302" spans="2:9" x14ac:dyDescent="0.2">
      <c r="B302" s="94" t="s">
        <v>52</v>
      </c>
      <c r="C302" s="42"/>
      <c r="D302" s="112"/>
      <c r="E302" s="112"/>
      <c r="F302" s="164"/>
      <c r="H302" s="165"/>
      <c r="I302" s="168"/>
    </row>
    <row r="303" spans="2:9" x14ac:dyDescent="0.2">
      <c r="B303" s="94"/>
      <c r="C303" s="42" t="s">
        <v>620</v>
      </c>
      <c r="D303" s="112">
        <v>0.83</v>
      </c>
      <c r="E303" s="112">
        <f>+'E-13c'!N635</f>
        <v>0.8367575525531844</v>
      </c>
      <c r="F303" s="164">
        <f t="shared" si="4"/>
        <v>8.1416295821499229E-3</v>
      </c>
      <c r="H303" s="165"/>
      <c r="I303" s="168"/>
    </row>
    <row r="304" spans="2:9" x14ac:dyDescent="0.2">
      <c r="B304" s="94"/>
      <c r="C304" s="42" t="s">
        <v>621</v>
      </c>
      <c r="D304" s="112">
        <v>1.0788</v>
      </c>
      <c r="E304" s="112">
        <f>+'E-13c'!N636</f>
        <v>1.0875831899932233</v>
      </c>
      <c r="F304" s="164">
        <f t="shared" si="4"/>
        <v>8.1416295821499229E-3</v>
      </c>
      <c r="H304" s="165"/>
      <c r="I304" s="168"/>
    </row>
    <row r="305" spans="2:9" x14ac:dyDescent="0.2">
      <c r="B305" s="94"/>
      <c r="C305" s="42" t="s">
        <v>622</v>
      </c>
      <c r="D305" s="112">
        <v>0.42792400000000003</v>
      </c>
      <c r="E305" s="112">
        <f>+'E-13c'!N637</f>
        <v>0.43140799869731195</v>
      </c>
      <c r="F305" s="164">
        <f t="shared" si="4"/>
        <v>8.1416295821499229E-3</v>
      </c>
      <c r="H305" s="165"/>
      <c r="I305" s="168"/>
    </row>
    <row r="306" spans="2:9" x14ac:dyDescent="0.2">
      <c r="C306" s="42" t="s">
        <v>117</v>
      </c>
      <c r="D306" s="112">
        <v>0.83</v>
      </c>
      <c r="E306" s="112">
        <f>+'E-13c'!N638</f>
        <v>0.8367575525531844</v>
      </c>
      <c r="F306" s="164">
        <f t="shared" si="4"/>
        <v>8.1416295821499229E-3</v>
      </c>
      <c r="H306" s="165"/>
      <c r="I306" s="168"/>
    </row>
    <row r="307" spans="2:9" x14ac:dyDescent="0.2">
      <c r="C307" s="42" t="s">
        <v>118</v>
      </c>
      <c r="D307" s="112">
        <v>1.0788</v>
      </c>
      <c r="E307" s="112">
        <f>+'E-13c'!N639</f>
        <v>1.0875831899932233</v>
      </c>
      <c r="F307" s="164">
        <f t="shared" si="4"/>
        <v>8.1416295821499229E-3</v>
      </c>
      <c r="H307" s="165"/>
      <c r="I307" s="168"/>
    </row>
    <row r="308" spans="2:9" x14ac:dyDescent="0.2">
      <c r="C308" s="42" t="s">
        <v>119</v>
      </c>
      <c r="D308" s="112">
        <v>0.42792400000000003</v>
      </c>
      <c r="E308" s="112">
        <f>+'E-13c'!N640</f>
        <v>0.43140799869731195</v>
      </c>
      <c r="F308" s="164">
        <f t="shared" si="4"/>
        <v>8.1416295821499229E-3</v>
      </c>
      <c r="H308" s="165"/>
      <c r="I308" s="168"/>
    </row>
    <row r="309" spans="2:9" x14ac:dyDescent="0.2">
      <c r="C309" s="42"/>
      <c r="D309" s="112"/>
      <c r="E309" s="112"/>
      <c r="F309" s="164"/>
      <c r="H309" s="165"/>
      <c r="I309" s="168"/>
    </row>
    <row r="310" spans="2:9" x14ac:dyDescent="0.2">
      <c r="B310" s="94" t="s">
        <v>46</v>
      </c>
      <c r="C310" s="42"/>
      <c r="D310" s="112"/>
      <c r="E310" s="112"/>
      <c r="F310" s="164"/>
      <c r="H310" s="165"/>
      <c r="I310" s="168"/>
    </row>
    <row r="311" spans="2:9" x14ac:dyDescent="0.2">
      <c r="C311" s="42" t="s">
        <v>190</v>
      </c>
      <c r="D311" s="112">
        <v>2.0100000000000002</v>
      </c>
      <c r="E311" s="112">
        <f>+'E-13c'!N645</f>
        <v>2.0263646754601217</v>
      </c>
      <c r="F311" s="164">
        <f t="shared" si="4"/>
        <v>8.1416295821499229E-3</v>
      </c>
      <c r="H311" s="165"/>
      <c r="I311" s="168"/>
    </row>
    <row r="312" spans="2:9" x14ac:dyDescent="0.2">
      <c r="C312" s="42" t="s">
        <v>192</v>
      </c>
      <c r="D312" s="112">
        <v>2.0100000000000002</v>
      </c>
      <c r="E312" s="112">
        <f>+'E-13c'!N646</f>
        <v>2.0263646754601217</v>
      </c>
      <c r="F312" s="164">
        <f t="shared" si="4"/>
        <v>8.1416295821499229E-3</v>
      </c>
      <c r="H312" s="165"/>
      <c r="I312" s="168"/>
    </row>
    <row r="313" spans="2:9" x14ac:dyDescent="0.2">
      <c r="B313" s="94" t="s">
        <v>49</v>
      </c>
      <c r="C313" s="42"/>
      <c r="D313" s="112"/>
      <c r="E313" s="112"/>
      <c r="F313" s="164"/>
      <c r="H313" s="165"/>
      <c r="I313" s="168"/>
    </row>
    <row r="314" spans="2:9" x14ac:dyDescent="0.2">
      <c r="C314" s="42" t="s">
        <v>190</v>
      </c>
      <c r="D314" s="112">
        <v>-1.01</v>
      </c>
      <c r="E314" s="112">
        <f>+'E-13c'!N668</f>
        <v>-1.0182230458779715</v>
      </c>
      <c r="F314" s="164">
        <f t="shared" si="4"/>
        <v>8.1416295821499229E-3</v>
      </c>
      <c r="H314" s="165"/>
      <c r="I314" s="168"/>
    </row>
    <row r="315" spans="2:9" x14ac:dyDescent="0.2">
      <c r="C315" s="42" t="s">
        <v>192</v>
      </c>
      <c r="D315" s="112">
        <v>-1.01</v>
      </c>
      <c r="E315" s="112">
        <f>+'E-13c'!N669</f>
        <v>-1.0182230458779715</v>
      </c>
      <c r="F315" s="164">
        <f t="shared" si="4"/>
        <v>8.1416295821499229E-3</v>
      </c>
      <c r="H315" s="165"/>
      <c r="I315" s="168"/>
    </row>
    <row r="316" spans="2:9" x14ac:dyDescent="0.2">
      <c r="C316" s="42"/>
      <c r="D316" s="112"/>
      <c r="E316" s="112"/>
      <c r="F316" s="164"/>
      <c r="H316" s="165"/>
      <c r="I316" s="168"/>
    </row>
    <row r="317" spans="2:9" x14ac:dyDescent="0.2">
      <c r="B317" s="94" t="s">
        <v>204</v>
      </c>
      <c r="C317" s="42"/>
      <c r="D317" s="112"/>
      <c r="E317" s="112"/>
      <c r="F317" s="164"/>
      <c r="H317" s="165"/>
      <c r="I317" s="168"/>
    </row>
    <row r="318" spans="2:9" x14ac:dyDescent="0.2">
      <c r="C318" s="42" t="s">
        <v>47</v>
      </c>
      <c r="D318" s="112">
        <v>0.67480378207017755</v>
      </c>
      <c r="E318" s="112">
        <f>+'E-13c'!N673</f>
        <v>0.68029778450442679</v>
      </c>
      <c r="F318" s="164">
        <f t="shared" si="4"/>
        <v>8.1416295821499229E-3</v>
      </c>
      <c r="H318" s="165"/>
      <c r="I318" s="168"/>
    </row>
    <row r="319" spans="2:9" x14ac:dyDescent="0.2">
      <c r="C319" s="42" t="s">
        <v>67</v>
      </c>
      <c r="D319" s="112">
        <v>0.67480378207017755</v>
      </c>
      <c r="E319" s="112">
        <f>+'E-13c'!N674</f>
        <v>0.68029778450442679</v>
      </c>
      <c r="F319" s="164">
        <f t="shared" si="4"/>
        <v>8.1416295821499229E-3</v>
      </c>
      <c r="H319" s="165"/>
      <c r="I319" s="168"/>
    </row>
    <row r="320" spans="2:9" x14ac:dyDescent="0.2">
      <c r="C320" s="42"/>
      <c r="D320" s="112"/>
      <c r="E320" s="112"/>
      <c r="F320" s="164"/>
      <c r="H320" s="165"/>
      <c r="I320" s="168"/>
    </row>
    <row r="321" spans="2:9" x14ac:dyDescent="0.2">
      <c r="B321" s="94" t="s">
        <v>400</v>
      </c>
      <c r="C321" s="98"/>
      <c r="D321" s="112"/>
      <c r="E321" s="112"/>
      <c r="F321" s="164"/>
      <c r="H321" s="165"/>
      <c r="I321" s="168"/>
    </row>
    <row r="322" spans="2:9" x14ac:dyDescent="0.2">
      <c r="D322" s="112"/>
      <c r="E322" s="112"/>
      <c r="F322" s="164"/>
      <c r="H322" s="165"/>
      <c r="I322" s="168"/>
    </row>
    <row r="323" spans="2:9" x14ac:dyDescent="0.2">
      <c r="B323" s="12" t="s">
        <v>570</v>
      </c>
      <c r="D323" s="112">
        <v>0.7</v>
      </c>
      <c r="E323" s="112">
        <f>+'E-13c'!N937</f>
        <v>0.70569914070750495</v>
      </c>
      <c r="F323" s="164">
        <f t="shared" si="4"/>
        <v>8.1416295821499229E-3</v>
      </c>
      <c r="H323" s="165"/>
      <c r="I323" s="168"/>
    </row>
    <row r="324" spans="2:9" x14ac:dyDescent="0.2">
      <c r="D324" s="112"/>
      <c r="E324" s="112"/>
      <c r="F324" s="164"/>
      <c r="H324" s="165"/>
      <c r="I324" s="168"/>
    </row>
    <row r="325" spans="2:9" x14ac:dyDescent="0.2">
      <c r="B325" s="12" t="s">
        <v>45</v>
      </c>
      <c r="D325" s="112">
        <v>28.507162612080965</v>
      </c>
      <c r="E325" s="112">
        <f>+'E-13c'!N939</f>
        <v>28.739257370506643</v>
      </c>
      <c r="F325" s="164">
        <f t="shared" si="4"/>
        <v>8.1416295821499229E-3</v>
      </c>
      <c r="H325" s="279"/>
      <c r="I325" s="168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63EA2-E2F5-4B17-8D78-DFFC70E95404}">
  <dimension ref="A1:J335"/>
  <sheetViews>
    <sheetView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" width="50.42578125" style="54" customWidth="1"/>
    <col min="2" max="3" width="19.85546875" style="54" customWidth="1"/>
    <col min="4" max="16384" width="9.140625" style="54"/>
  </cols>
  <sheetData>
    <row r="1" spans="1:3" ht="30" x14ac:dyDescent="0.25">
      <c r="A1" s="142" t="s">
        <v>739</v>
      </c>
      <c r="B1" s="143" t="s">
        <v>583</v>
      </c>
      <c r="C1" s="144" t="s">
        <v>677</v>
      </c>
    </row>
    <row r="2" spans="1:3" s="79" customFormat="1" ht="15" x14ac:dyDescent="0.25">
      <c r="A2" s="61"/>
      <c r="B2" s="114"/>
      <c r="C2" s="114"/>
    </row>
    <row r="3" spans="1:3" x14ac:dyDescent="0.2">
      <c r="A3" s="93" t="s">
        <v>265</v>
      </c>
      <c r="B3" s="115">
        <v>8640010</v>
      </c>
      <c r="C3" s="115">
        <f>+B3/12*365</f>
        <v>262800304.16666669</v>
      </c>
    </row>
    <row r="4" spans="1:3" x14ac:dyDescent="0.2">
      <c r="A4" s="93" t="s">
        <v>266</v>
      </c>
      <c r="B4" s="115">
        <v>61180</v>
      </c>
      <c r="C4" s="115">
        <f>+B4/12*365</f>
        <v>1860891.6666666665</v>
      </c>
    </row>
    <row r="5" spans="1:3" x14ac:dyDescent="0.2">
      <c r="A5" s="93" t="s">
        <v>267</v>
      </c>
      <c r="B5" s="115">
        <v>9629513305</v>
      </c>
      <c r="C5" s="115"/>
    </row>
    <row r="6" spans="1:3" x14ac:dyDescent="0.2">
      <c r="A6" s="93" t="s">
        <v>268</v>
      </c>
      <c r="B6" s="115">
        <v>6628844934.1499987</v>
      </c>
      <c r="C6" s="115"/>
    </row>
    <row r="7" spans="1:3" x14ac:dyDescent="0.2">
      <c r="A7" s="93" t="s">
        <v>269</v>
      </c>
      <c r="B7" s="115">
        <v>3000668370.4200001</v>
      </c>
      <c r="C7" s="115"/>
    </row>
    <row r="8" spans="1:3" x14ac:dyDescent="0.2">
      <c r="A8" s="93" t="s">
        <v>270</v>
      </c>
      <c r="B8" s="115">
        <v>98651317</v>
      </c>
      <c r="C8" s="115"/>
    </row>
    <row r="9" spans="1:3" ht="15" x14ac:dyDescent="0.25">
      <c r="A9" s="116"/>
      <c r="B9" s="114"/>
      <c r="C9" s="114"/>
    </row>
    <row r="10" spans="1:3" x14ac:dyDescent="0.2">
      <c r="A10" s="54" t="s">
        <v>403</v>
      </c>
      <c r="B10" s="117">
        <v>316.06</v>
      </c>
      <c r="C10" s="117">
        <f>+B10/12*365</f>
        <v>9613.4916666666668</v>
      </c>
    </row>
    <row r="11" spans="1:3" x14ac:dyDescent="0.2">
      <c r="A11" s="54" t="s">
        <v>404</v>
      </c>
      <c r="B11" s="118">
        <v>3128167</v>
      </c>
      <c r="C11" s="118"/>
    </row>
    <row r="12" spans="1:3" x14ac:dyDescent="0.2">
      <c r="A12" s="54" t="s">
        <v>405</v>
      </c>
      <c r="B12" s="119">
        <v>9425.5300000000007</v>
      </c>
      <c r="C12" s="119"/>
    </row>
    <row r="13" spans="1:3" ht="15" x14ac:dyDescent="0.25">
      <c r="A13" s="61"/>
      <c r="B13" s="61"/>
      <c r="C13" s="61"/>
    </row>
    <row r="14" spans="1:3" x14ac:dyDescent="0.2">
      <c r="A14" s="93" t="s">
        <v>271</v>
      </c>
      <c r="B14" s="118">
        <v>54337</v>
      </c>
      <c r="C14" s="118">
        <f>+B14/12*365</f>
        <v>1652750.4166666665</v>
      </c>
    </row>
    <row r="15" spans="1:3" x14ac:dyDescent="0.2">
      <c r="A15" s="93" t="s">
        <v>272</v>
      </c>
      <c r="B15" s="118">
        <v>20118645</v>
      </c>
      <c r="C15" s="118"/>
    </row>
    <row r="16" spans="1:3" ht="15" x14ac:dyDescent="0.25">
      <c r="A16" s="61"/>
      <c r="B16" s="61"/>
      <c r="C16" s="61"/>
    </row>
    <row r="17" spans="1:3" x14ac:dyDescent="0.2">
      <c r="A17" s="93" t="s">
        <v>273</v>
      </c>
      <c r="B17" s="115">
        <v>785536</v>
      </c>
      <c r="C17" s="115">
        <f>+B17/12*365</f>
        <v>23893386.666666668</v>
      </c>
    </row>
    <row r="18" spans="1:3" x14ac:dyDescent="0.2">
      <c r="A18" s="93" t="s">
        <v>274</v>
      </c>
      <c r="B18" s="115">
        <v>1178</v>
      </c>
      <c r="C18" s="115">
        <f>+B18/12*365</f>
        <v>35830.833333333336</v>
      </c>
    </row>
    <row r="19" spans="1:3" x14ac:dyDescent="0.2">
      <c r="A19" s="93" t="s">
        <v>275</v>
      </c>
      <c r="B19" s="115">
        <v>28029</v>
      </c>
      <c r="C19" s="115">
        <f>+B19/12*365</f>
        <v>852548.75</v>
      </c>
    </row>
    <row r="20" spans="1:3" x14ac:dyDescent="0.2">
      <c r="A20" s="93" t="s">
        <v>276</v>
      </c>
      <c r="B20" s="120">
        <v>0</v>
      </c>
      <c r="C20" s="120"/>
    </row>
    <row r="21" spans="1:3" x14ac:dyDescent="0.2">
      <c r="A21" s="93" t="s">
        <v>277</v>
      </c>
      <c r="B21" s="115">
        <v>901686247</v>
      </c>
      <c r="C21" s="115"/>
    </row>
    <row r="22" spans="1:3" x14ac:dyDescent="0.2">
      <c r="A22" s="93" t="s">
        <v>278</v>
      </c>
      <c r="B22" s="115">
        <v>1146943</v>
      </c>
      <c r="C22" s="115"/>
    </row>
    <row r="23" spans="1:3" x14ac:dyDescent="0.2">
      <c r="A23" s="93" t="s">
        <v>279</v>
      </c>
      <c r="B23" s="115">
        <v>30440550</v>
      </c>
      <c r="C23" s="115"/>
    </row>
    <row r="24" spans="1:3" x14ac:dyDescent="0.2">
      <c r="A24" s="93" t="s">
        <v>280</v>
      </c>
      <c r="B24" s="115">
        <v>7783085</v>
      </c>
      <c r="C24" s="115"/>
    </row>
    <row r="25" spans="1:3" x14ac:dyDescent="0.2">
      <c r="A25" s="93" t="s">
        <v>281</v>
      </c>
      <c r="B25" s="115">
        <v>22657465</v>
      </c>
      <c r="C25" s="115"/>
    </row>
    <row r="26" spans="1:3" x14ac:dyDescent="0.2">
      <c r="A26" s="93" t="s">
        <v>282</v>
      </c>
      <c r="B26" s="115">
        <v>357327.74</v>
      </c>
      <c r="C26" s="115"/>
    </row>
    <row r="27" spans="1:3" x14ac:dyDescent="0.2">
      <c r="A27" s="93" t="s">
        <v>283</v>
      </c>
      <c r="B27" s="115">
        <v>0</v>
      </c>
      <c r="C27" s="115"/>
    </row>
    <row r="28" spans="1:3" ht="15" x14ac:dyDescent="0.25">
      <c r="A28" s="61"/>
      <c r="B28" s="61"/>
      <c r="C28" s="61"/>
    </row>
    <row r="29" spans="1:3" x14ac:dyDescent="0.2">
      <c r="A29" s="93" t="s">
        <v>284</v>
      </c>
      <c r="B29" s="115">
        <v>169563</v>
      </c>
      <c r="C29" s="115">
        <f t="shared" ref="C29:C32" si="0">+B29/12*365</f>
        <v>5157541.25</v>
      </c>
    </row>
    <row r="30" spans="1:3" x14ac:dyDescent="0.2">
      <c r="A30" s="93" t="s">
        <v>285</v>
      </c>
      <c r="B30" s="115">
        <v>168971.75</v>
      </c>
      <c r="C30" s="115">
        <f t="shared" si="0"/>
        <v>5139557.395833333</v>
      </c>
    </row>
    <row r="31" spans="1:3" x14ac:dyDescent="0.2">
      <c r="A31" s="93" t="s">
        <v>286</v>
      </c>
      <c r="B31" s="115">
        <v>591.34</v>
      </c>
      <c r="C31" s="115">
        <f t="shared" si="0"/>
        <v>17986.591666666667</v>
      </c>
    </row>
    <row r="32" spans="1:3" x14ac:dyDescent="0.2">
      <c r="A32" s="93" t="s">
        <v>287</v>
      </c>
      <c r="B32" s="115">
        <v>0</v>
      </c>
      <c r="C32" s="115">
        <f t="shared" si="0"/>
        <v>0</v>
      </c>
    </row>
    <row r="33" spans="1:10" x14ac:dyDescent="0.2">
      <c r="A33" s="93" t="s">
        <v>288</v>
      </c>
      <c r="B33" s="115">
        <v>4539397938</v>
      </c>
      <c r="C33" s="115"/>
    </row>
    <row r="34" spans="1:10" x14ac:dyDescent="0.2">
      <c r="A34" s="93" t="s">
        <v>289</v>
      </c>
      <c r="B34" s="115">
        <v>4465551019</v>
      </c>
      <c r="C34" s="115"/>
    </row>
    <row r="35" spans="1:10" x14ac:dyDescent="0.2">
      <c r="A35" s="93" t="s">
        <v>290</v>
      </c>
      <c r="B35" s="115">
        <v>73846919</v>
      </c>
      <c r="C35" s="115"/>
    </row>
    <row r="36" spans="1:10" x14ac:dyDescent="0.2">
      <c r="A36" s="93" t="s">
        <v>291</v>
      </c>
      <c r="B36" s="115">
        <v>0</v>
      </c>
      <c r="C36" s="115"/>
      <c r="H36" s="121"/>
      <c r="I36" s="121"/>
      <c r="J36" s="121"/>
    </row>
    <row r="37" spans="1:10" x14ac:dyDescent="0.2">
      <c r="A37" s="93" t="s">
        <v>292</v>
      </c>
      <c r="B37" s="115">
        <v>11854273</v>
      </c>
      <c r="C37" s="115"/>
    </row>
    <row r="38" spans="1:10" x14ac:dyDescent="0.2">
      <c r="A38" s="93" t="s">
        <v>293</v>
      </c>
      <c r="B38" s="115">
        <v>11647801</v>
      </c>
      <c r="C38" s="115"/>
      <c r="E38" s="121"/>
      <c r="F38" s="121"/>
    </row>
    <row r="39" spans="1:10" x14ac:dyDescent="0.2">
      <c r="A39" s="93" t="s">
        <v>294</v>
      </c>
      <c r="B39" s="115">
        <v>206472</v>
      </c>
      <c r="C39" s="115"/>
    </row>
    <row r="40" spans="1:10" x14ac:dyDescent="0.2">
      <c r="A40" s="93" t="s">
        <v>295</v>
      </c>
      <c r="B40" s="115">
        <v>0</v>
      </c>
      <c r="C40" s="115"/>
    </row>
    <row r="41" spans="1:10" x14ac:dyDescent="0.2">
      <c r="A41" s="93" t="s">
        <v>296</v>
      </c>
      <c r="B41" s="115">
        <v>130415</v>
      </c>
      <c r="C41" s="115"/>
    </row>
    <row r="42" spans="1:10" x14ac:dyDescent="0.2">
      <c r="A42" s="93" t="s">
        <v>297</v>
      </c>
      <c r="B42" s="115">
        <v>130415</v>
      </c>
      <c r="C42" s="115"/>
    </row>
    <row r="43" spans="1:10" x14ac:dyDescent="0.2">
      <c r="A43" s="93" t="s">
        <v>298</v>
      </c>
      <c r="B43" s="115">
        <v>0</v>
      </c>
      <c r="C43" s="115"/>
    </row>
    <row r="44" spans="1:10" x14ac:dyDescent="0.2">
      <c r="A44" s="93" t="s">
        <v>299</v>
      </c>
      <c r="B44" s="115">
        <v>503660</v>
      </c>
      <c r="C44" s="115"/>
    </row>
    <row r="45" spans="1:10" x14ac:dyDescent="0.2">
      <c r="A45" s="93" t="s">
        <v>300</v>
      </c>
      <c r="B45" s="115">
        <v>479584</v>
      </c>
      <c r="C45" s="115"/>
    </row>
    <row r="46" spans="1:10" x14ac:dyDescent="0.2">
      <c r="A46" s="93" t="s">
        <v>301</v>
      </c>
      <c r="B46" s="115">
        <v>24076</v>
      </c>
      <c r="C46" s="115"/>
    </row>
    <row r="47" spans="1:10" x14ac:dyDescent="0.2">
      <c r="A47" s="93" t="s">
        <v>302</v>
      </c>
      <c r="B47" s="115">
        <v>0</v>
      </c>
      <c r="C47" s="115"/>
    </row>
    <row r="48" spans="1:10" x14ac:dyDescent="0.2">
      <c r="A48" s="93" t="s">
        <v>303</v>
      </c>
      <c r="B48" s="115">
        <v>-3331171.4867700003</v>
      </c>
      <c r="C48" s="115"/>
    </row>
    <row r="49" spans="1:3" x14ac:dyDescent="0.2">
      <c r="A49" s="93" t="s">
        <v>304</v>
      </c>
      <c r="B49" s="115">
        <v>0</v>
      </c>
      <c r="C49" s="115"/>
    </row>
    <row r="50" spans="1:3" ht="15" x14ac:dyDescent="0.25">
      <c r="A50" s="61"/>
      <c r="B50" s="61"/>
      <c r="C50" s="61"/>
    </row>
    <row r="51" spans="1:3" x14ac:dyDescent="0.2">
      <c r="A51" s="93" t="s">
        <v>305</v>
      </c>
      <c r="B51" s="115">
        <v>17010</v>
      </c>
      <c r="C51" s="115">
        <f t="shared" ref="C51:C54" si="1">+B51/12*365</f>
        <v>517387.5</v>
      </c>
    </row>
    <row r="52" spans="1:3" x14ac:dyDescent="0.2">
      <c r="A52" s="93" t="s">
        <v>306</v>
      </c>
      <c r="B52" s="115">
        <v>16510.18</v>
      </c>
      <c r="C52" s="115">
        <f t="shared" si="1"/>
        <v>502184.64166666666</v>
      </c>
    </row>
    <row r="53" spans="1:3" x14ac:dyDescent="0.2">
      <c r="A53" s="93" t="s">
        <v>307</v>
      </c>
      <c r="B53" s="115">
        <v>487.24</v>
      </c>
      <c r="C53" s="115">
        <f t="shared" si="1"/>
        <v>14820.216666666665</v>
      </c>
    </row>
    <row r="54" spans="1:3" x14ac:dyDescent="0.2">
      <c r="A54" s="93" t="s">
        <v>308</v>
      </c>
      <c r="B54" s="115">
        <v>12.18</v>
      </c>
      <c r="C54" s="115">
        <f t="shared" si="1"/>
        <v>370.47499999999997</v>
      </c>
    </row>
    <row r="55" spans="1:3" x14ac:dyDescent="0.2">
      <c r="A55" s="93" t="s">
        <v>309</v>
      </c>
      <c r="B55" s="115">
        <v>576</v>
      </c>
      <c r="C55" s="115"/>
    </row>
    <row r="56" spans="1:3" x14ac:dyDescent="0.2">
      <c r="A56" s="93" t="s">
        <v>310</v>
      </c>
      <c r="B56" s="115">
        <v>0</v>
      </c>
      <c r="C56" s="115"/>
    </row>
    <row r="57" spans="1:3" x14ac:dyDescent="0.2">
      <c r="A57" s="93" t="s">
        <v>311</v>
      </c>
      <c r="B57" s="115">
        <v>576</v>
      </c>
      <c r="C57" s="115"/>
    </row>
    <row r="58" spans="1:3" x14ac:dyDescent="0.2">
      <c r="A58" s="93" t="s">
        <v>312</v>
      </c>
      <c r="B58" s="115">
        <v>2133065177</v>
      </c>
      <c r="C58" s="115"/>
    </row>
    <row r="59" spans="1:3" x14ac:dyDescent="0.2">
      <c r="A59" s="93" t="s">
        <v>313</v>
      </c>
      <c r="B59" s="115">
        <v>1838639611</v>
      </c>
      <c r="C59" s="115"/>
    </row>
    <row r="60" spans="1:3" x14ac:dyDescent="0.2">
      <c r="A60" s="93" t="s">
        <v>314</v>
      </c>
      <c r="B60" s="115">
        <v>293636257</v>
      </c>
      <c r="C60" s="115"/>
    </row>
    <row r="61" spans="1:3" x14ac:dyDescent="0.2">
      <c r="A61" s="93" t="s">
        <v>315</v>
      </c>
      <c r="B61" s="115">
        <v>789309</v>
      </c>
      <c r="C61" s="115"/>
    </row>
    <row r="62" spans="1:3" x14ac:dyDescent="0.2">
      <c r="A62" s="93" t="s">
        <v>316</v>
      </c>
      <c r="B62" s="115">
        <v>564923544</v>
      </c>
      <c r="C62" s="115"/>
    </row>
    <row r="63" spans="1:3" x14ac:dyDescent="0.2">
      <c r="A63" s="93" t="s">
        <v>317</v>
      </c>
      <c r="B63" s="115">
        <v>486142398</v>
      </c>
      <c r="C63" s="115"/>
    </row>
    <row r="64" spans="1:3" x14ac:dyDescent="0.2">
      <c r="A64" s="93" t="s">
        <v>318</v>
      </c>
      <c r="B64" s="115">
        <v>78564504</v>
      </c>
      <c r="C64" s="115"/>
    </row>
    <row r="65" spans="1:3" x14ac:dyDescent="0.2">
      <c r="A65" s="93" t="s">
        <v>319</v>
      </c>
      <c r="B65" s="115">
        <v>216642</v>
      </c>
      <c r="C65" s="115"/>
    </row>
    <row r="66" spans="1:3" x14ac:dyDescent="0.2">
      <c r="A66" s="93" t="s">
        <v>320</v>
      </c>
      <c r="B66" s="115">
        <v>1568141632</v>
      </c>
      <c r="C66" s="115"/>
    </row>
    <row r="67" spans="1:3" x14ac:dyDescent="0.2">
      <c r="A67" s="93" t="s">
        <v>321</v>
      </c>
      <c r="B67" s="115">
        <v>1352497213</v>
      </c>
      <c r="C67" s="115"/>
    </row>
    <row r="68" spans="1:3" x14ac:dyDescent="0.2">
      <c r="A68" s="93" t="s">
        <v>322</v>
      </c>
      <c r="B68" s="115">
        <v>215071752</v>
      </c>
      <c r="C68" s="115"/>
    </row>
    <row r="69" spans="1:3" x14ac:dyDescent="0.2">
      <c r="A69" s="93" t="s">
        <v>323</v>
      </c>
      <c r="B69" s="115">
        <v>572667</v>
      </c>
      <c r="C69" s="115"/>
    </row>
    <row r="70" spans="1:3" x14ac:dyDescent="0.2">
      <c r="A70" s="93" t="s">
        <v>324</v>
      </c>
      <c r="B70" s="115">
        <v>4012789</v>
      </c>
      <c r="C70" s="115"/>
    </row>
    <row r="71" spans="1:3" x14ac:dyDescent="0.2">
      <c r="A71" s="93" t="s">
        <v>325</v>
      </c>
      <c r="B71" s="115">
        <v>3438269</v>
      </c>
      <c r="C71" s="115"/>
    </row>
    <row r="72" spans="1:3" x14ac:dyDescent="0.2">
      <c r="A72" s="93" t="s">
        <v>326</v>
      </c>
      <c r="B72" s="115">
        <v>572001</v>
      </c>
      <c r="C72" s="115"/>
    </row>
    <row r="73" spans="1:3" x14ac:dyDescent="0.2">
      <c r="A73" s="93" t="s">
        <v>327</v>
      </c>
      <c r="B73" s="115">
        <v>2519</v>
      </c>
      <c r="C73" s="115"/>
    </row>
    <row r="74" spans="1:3" x14ac:dyDescent="0.2">
      <c r="A74" s="93" t="s">
        <v>328</v>
      </c>
      <c r="B74" s="115">
        <v>3876186</v>
      </c>
      <c r="C74" s="115"/>
    </row>
    <row r="75" spans="1:3" x14ac:dyDescent="0.2">
      <c r="A75" s="93" t="s">
        <v>329</v>
      </c>
      <c r="B75" s="115">
        <v>3315278</v>
      </c>
      <c r="C75" s="115"/>
    </row>
    <row r="76" spans="1:3" x14ac:dyDescent="0.2">
      <c r="A76" s="93" t="s">
        <v>330</v>
      </c>
      <c r="B76" s="115">
        <v>558451</v>
      </c>
      <c r="C76" s="115"/>
    </row>
    <row r="77" spans="1:3" x14ac:dyDescent="0.2">
      <c r="A77" s="93" t="s">
        <v>331</v>
      </c>
      <c r="B77" s="115">
        <v>2457</v>
      </c>
      <c r="C77" s="115"/>
    </row>
    <row r="78" spans="1:3" x14ac:dyDescent="0.2">
      <c r="A78" s="93" t="s">
        <v>332</v>
      </c>
      <c r="B78" s="115">
        <v>213003</v>
      </c>
      <c r="C78" s="115"/>
    </row>
    <row r="79" spans="1:3" x14ac:dyDescent="0.2">
      <c r="A79" s="93" t="s">
        <v>333</v>
      </c>
      <c r="B79" s="115">
        <v>212795</v>
      </c>
      <c r="C79" s="115"/>
    </row>
    <row r="80" spans="1:3" x14ac:dyDescent="0.2">
      <c r="A80" s="93" t="s">
        <v>334</v>
      </c>
      <c r="B80" s="115">
        <v>208</v>
      </c>
      <c r="C80" s="115"/>
    </row>
    <row r="81" spans="1:3" x14ac:dyDescent="0.2">
      <c r="A81" s="93" t="s">
        <v>335</v>
      </c>
      <c r="B81" s="115">
        <v>876672</v>
      </c>
      <c r="C81" s="115"/>
    </row>
    <row r="82" spans="1:3" x14ac:dyDescent="0.2">
      <c r="A82" s="93" t="s">
        <v>336</v>
      </c>
      <c r="B82" s="115">
        <v>751660</v>
      </c>
      <c r="C82" s="115"/>
    </row>
    <row r="83" spans="1:3" x14ac:dyDescent="0.2">
      <c r="A83" s="93" t="s">
        <v>337</v>
      </c>
      <c r="B83" s="115">
        <v>125011</v>
      </c>
      <c r="C83" s="115"/>
    </row>
    <row r="84" spans="1:3" x14ac:dyDescent="0.2">
      <c r="A84" s="93" t="s">
        <v>338</v>
      </c>
      <c r="B84" s="115">
        <v>0</v>
      </c>
      <c r="C84" s="115"/>
    </row>
    <row r="85" spans="1:3" x14ac:dyDescent="0.2">
      <c r="A85" s="93" t="s">
        <v>339</v>
      </c>
      <c r="B85" s="115">
        <v>-10407663.682830002</v>
      </c>
      <c r="C85" s="115"/>
    </row>
    <row r="86" spans="1:3" x14ac:dyDescent="0.2">
      <c r="A86" s="93" t="s">
        <v>340</v>
      </c>
      <c r="B86" s="115">
        <v>-38055</v>
      </c>
      <c r="C86" s="115"/>
    </row>
    <row r="87" spans="1:3" ht="15" x14ac:dyDescent="0.25">
      <c r="A87" s="61"/>
      <c r="B87" s="61"/>
      <c r="C87" s="61"/>
    </row>
    <row r="88" spans="1:3" x14ac:dyDescent="0.2">
      <c r="A88" s="93" t="s">
        <v>341</v>
      </c>
      <c r="B88" s="115">
        <v>21258</v>
      </c>
      <c r="C88" s="115">
        <f t="shared" ref="C88:C91" si="2">+B88/12*365</f>
        <v>646597.5</v>
      </c>
    </row>
    <row r="89" spans="1:3" x14ac:dyDescent="0.2">
      <c r="A89" s="93" t="s">
        <v>342</v>
      </c>
      <c r="B89" s="115">
        <v>20966</v>
      </c>
      <c r="C89" s="115">
        <f t="shared" si="2"/>
        <v>637715.83333333337</v>
      </c>
    </row>
    <row r="90" spans="1:3" x14ac:dyDescent="0.2">
      <c r="A90" s="93" t="s">
        <v>343</v>
      </c>
      <c r="B90" s="115">
        <v>291.63</v>
      </c>
      <c r="C90" s="115">
        <f t="shared" si="2"/>
        <v>8870.4124999999985</v>
      </c>
    </row>
    <row r="91" spans="1:3" x14ac:dyDescent="0.2">
      <c r="A91" s="93" t="s">
        <v>344</v>
      </c>
      <c r="B91" s="115">
        <v>0</v>
      </c>
      <c r="C91" s="115">
        <f t="shared" si="2"/>
        <v>0</v>
      </c>
    </row>
    <row r="92" spans="1:3" x14ac:dyDescent="0.2">
      <c r="A92" s="93" t="s">
        <v>345</v>
      </c>
      <c r="B92" s="115">
        <v>415088279</v>
      </c>
      <c r="C92" s="115"/>
    </row>
    <row r="93" spans="1:3" x14ac:dyDescent="0.2">
      <c r="A93" s="93" t="s">
        <v>346</v>
      </c>
      <c r="B93" s="115">
        <v>406870626</v>
      </c>
      <c r="C93" s="115"/>
    </row>
    <row r="94" spans="1:3" x14ac:dyDescent="0.2">
      <c r="A94" s="93" t="s">
        <v>347</v>
      </c>
      <c r="B94" s="115">
        <v>8217654</v>
      </c>
      <c r="C94" s="115"/>
    </row>
    <row r="95" spans="1:3" x14ac:dyDescent="0.2">
      <c r="A95" s="93" t="s">
        <v>348</v>
      </c>
      <c r="B95" s="115">
        <v>0</v>
      </c>
      <c r="C95" s="115"/>
    </row>
    <row r="96" spans="1:3" x14ac:dyDescent="0.2">
      <c r="A96" s="93" t="s">
        <v>349</v>
      </c>
      <c r="B96" s="115">
        <v>3336526</v>
      </c>
      <c r="C96" s="115"/>
    </row>
    <row r="97" spans="1:3" x14ac:dyDescent="0.2">
      <c r="A97" s="93" t="s">
        <v>532</v>
      </c>
      <c r="B97" s="115">
        <v>3336526</v>
      </c>
      <c r="C97" s="115"/>
    </row>
    <row r="98" spans="1:3" x14ac:dyDescent="0.2">
      <c r="A98" s="93" t="s">
        <v>350</v>
      </c>
      <c r="B98" s="115">
        <v>0</v>
      </c>
      <c r="C98" s="115"/>
    </row>
    <row r="99" spans="1:3" x14ac:dyDescent="0.2">
      <c r="A99" s="93" t="s">
        <v>351</v>
      </c>
      <c r="B99" s="115">
        <v>20629723</v>
      </c>
      <c r="C99" s="115"/>
    </row>
    <row r="100" spans="1:3" x14ac:dyDescent="0.2">
      <c r="A100" s="93" t="s">
        <v>352</v>
      </c>
      <c r="B100" s="115">
        <v>20629723</v>
      </c>
      <c r="C100" s="115"/>
    </row>
    <row r="101" spans="1:3" x14ac:dyDescent="0.2">
      <c r="A101" s="93" t="s">
        <v>353</v>
      </c>
      <c r="B101" s="115">
        <v>0</v>
      </c>
      <c r="C101" s="115"/>
    </row>
    <row r="102" spans="1:3" x14ac:dyDescent="0.2">
      <c r="A102" s="93" t="s">
        <v>354</v>
      </c>
      <c r="B102" s="115">
        <v>0</v>
      </c>
      <c r="C102" s="115"/>
    </row>
    <row r="103" spans="1:3" x14ac:dyDescent="0.2">
      <c r="A103" s="93" t="s">
        <v>355</v>
      </c>
      <c r="B103" s="115">
        <v>2347081</v>
      </c>
      <c r="C103" s="115"/>
    </row>
    <row r="104" spans="1:3" x14ac:dyDescent="0.2">
      <c r="A104" s="93" t="s">
        <v>356</v>
      </c>
      <c r="B104" s="115">
        <v>2284913</v>
      </c>
      <c r="C104" s="115"/>
    </row>
    <row r="105" spans="1:3" x14ac:dyDescent="0.2">
      <c r="A105" s="93" t="s">
        <v>357</v>
      </c>
      <c r="B105" s="115">
        <v>62168</v>
      </c>
      <c r="C105" s="115"/>
    </row>
    <row r="106" spans="1:3" x14ac:dyDescent="0.2">
      <c r="A106" s="93" t="s">
        <v>358</v>
      </c>
      <c r="B106" s="115">
        <v>0</v>
      </c>
      <c r="C106" s="115"/>
    </row>
    <row r="107" spans="1:3" x14ac:dyDescent="0.2">
      <c r="A107" s="93" t="s">
        <v>359</v>
      </c>
      <c r="B107" s="115">
        <v>-533946.66714999999</v>
      </c>
      <c r="C107" s="115"/>
    </row>
    <row r="108" spans="1:3" x14ac:dyDescent="0.2">
      <c r="A108" s="93" t="s">
        <v>360</v>
      </c>
      <c r="B108" s="115">
        <v>0</v>
      </c>
      <c r="C108" s="115"/>
    </row>
    <row r="109" spans="1:3" ht="15" x14ac:dyDescent="0.25">
      <c r="A109" s="61"/>
      <c r="B109" s="61"/>
      <c r="C109" s="61"/>
    </row>
    <row r="110" spans="1:3" ht="15" x14ac:dyDescent="0.25">
      <c r="A110" s="60" t="s">
        <v>406</v>
      </c>
      <c r="B110" s="115">
        <v>0</v>
      </c>
      <c r="C110" s="115">
        <f t="shared" ref="C110:C113" si="3">+B110/12*365</f>
        <v>0</v>
      </c>
    </row>
    <row r="111" spans="1:3" ht="15" x14ac:dyDescent="0.25">
      <c r="A111" s="60" t="s">
        <v>407</v>
      </c>
      <c r="B111" s="115">
        <v>0</v>
      </c>
      <c r="C111" s="115">
        <f t="shared" si="3"/>
        <v>0</v>
      </c>
    </row>
    <row r="112" spans="1:3" ht="15" x14ac:dyDescent="0.25">
      <c r="A112" s="60" t="s">
        <v>408</v>
      </c>
      <c r="B112" s="115">
        <v>0</v>
      </c>
      <c r="C112" s="115">
        <f t="shared" si="3"/>
        <v>0</v>
      </c>
    </row>
    <row r="113" spans="1:3" ht="15" x14ac:dyDescent="0.25">
      <c r="A113" s="60" t="s">
        <v>409</v>
      </c>
      <c r="B113" s="115">
        <v>0</v>
      </c>
      <c r="C113" s="115">
        <f t="shared" si="3"/>
        <v>0</v>
      </c>
    </row>
    <row r="114" spans="1:3" ht="15" x14ac:dyDescent="0.25">
      <c r="A114" s="60" t="s">
        <v>410</v>
      </c>
      <c r="B114" s="115">
        <v>0</v>
      </c>
      <c r="C114" s="115"/>
    </row>
    <row r="115" spans="1:3" ht="15" x14ac:dyDescent="0.25">
      <c r="A115" s="60" t="s">
        <v>411</v>
      </c>
      <c r="B115" s="115">
        <v>0</v>
      </c>
      <c r="C115" s="115"/>
    </row>
    <row r="116" spans="1:3" ht="15" x14ac:dyDescent="0.25">
      <c r="A116" s="60" t="s">
        <v>412</v>
      </c>
      <c r="B116" s="115">
        <v>0</v>
      </c>
      <c r="C116" s="115"/>
    </row>
    <row r="117" spans="1:3" ht="15" x14ac:dyDescent="0.25">
      <c r="A117" s="60" t="s">
        <v>413</v>
      </c>
      <c r="B117" s="115">
        <v>0</v>
      </c>
      <c r="C117" s="115"/>
    </row>
    <row r="118" spans="1:3" ht="15" x14ac:dyDescent="0.25">
      <c r="A118" s="60" t="s">
        <v>414</v>
      </c>
      <c r="B118" s="115">
        <v>0</v>
      </c>
      <c r="C118" s="115"/>
    </row>
    <row r="119" spans="1:3" ht="15" x14ac:dyDescent="0.25">
      <c r="A119" s="60" t="s">
        <v>415</v>
      </c>
      <c r="B119" s="115">
        <v>0</v>
      </c>
      <c r="C119" s="115"/>
    </row>
    <row r="120" spans="1:3" ht="15" x14ac:dyDescent="0.25">
      <c r="A120" s="60" t="s">
        <v>416</v>
      </c>
      <c r="B120" s="115">
        <v>0</v>
      </c>
      <c r="C120" s="115"/>
    </row>
    <row r="121" spans="1:3" ht="15" x14ac:dyDescent="0.25">
      <c r="A121" s="61"/>
      <c r="B121" s="61"/>
      <c r="C121" s="61"/>
    </row>
    <row r="122" spans="1:3" ht="15" x14ac:dyDescent="0.25">
      <c r="A122" s="60" t="s">
        <v>417</v>
      </c>
      <c r="B122" s="115">
        <v>0</v>
      </c>
      <c r="C122" s="115"/>
    </row>
    <row r="123" spans="1:3" ht="15" x14ac:dyDescent="0.25">
      <c r="A123" s="60" t="s">
        <v>418</v>
      </c>
      <c r="B123" s="115">
        <v>0</v>
      </c>
      <c r="C123" s="115"/>
    </row>
    <row r="124" spans="1:3" ht="15" x14ac:dyDescent="0.25">
      <c r="A124" s="60" t="s">
        <v>419</v>
      </c>
      <c r="B124" s="115">
        <v>0</v>
      </c>
      <c r="C124" s="115"/>
    </row>
    <row r="125" spans="1:3" ht="15" x14ac:dyDescent="0.25">
      <c r="A125" s="60" t="s">
        <v>420</v>
      </c>
      <c r="B125" s="115">
        <v>0</v>
      </c>
      <c r="C125" s="115"/>
    </row>
    <row r="126" spans="1:3" ht="15" x14ac:dyDescent="0.25">
      <c r="A126" s="60" t="s">
        <v>421</v>
      </c>
      <c r="B126" s="115">
        <v>0</v>
      </c>
      <c r="C126" s="115"/>
    </row>
    <row r="127" spans="1:3" ht="15" x14ac:dyDescent="0.25">
      <c r="A127" s="60" t="s">
        <v>422</v>
      </c>
      <c r="B127" s="115">
        <v>0</v>
      </c>
      <c r="C127" s="115"/>
    </row>
    <row r="128" spans="1:3" ht="15" x14ac:dyDescent="0.25">
      <c r="A128" s="60" t="s">
        <v>423</v>
      </c>
      <c r="B128" s="115">
        <v>0</v>
      </c>
      <c r="C128" s="115"/>
    </row>
    <row r="129" spans="1:3" ht="15" x14ac:dyDescent="0.25">
      <c r="A129" s="60" t="s">
        <v>424</v>
      </c>
      <c r="B129" s="115">
        <v>0</v>
      </c>
      <c r="C129" s="115"/>
    </row>
    <row r="130" spans="1:3" ht="15" x14ac:dyDescent="0.25">
      <c r="A130" s="60" t="s">
        <v>425</v>
      </c>
      <c r="B130" s="115">
        <v>0</v>
      </c>
      <c r="C130" s="115"/>
    </row>
    <row r="131" spans="1:3" ht="15" x14ac:dyDescent="0.25">
      <c r="A131" s="60" t="s">
        <v>426</v>
      </c>
      <c r="B131" s="115">
        <v>0</v>
      </c>
      <c r="C131" s="115"/>
    </row>
    <row r="132" spans="1:3" ht="15" x14ac:dyDescent="0.25">
      <c r="A132" s="60" t="s">
        <v>427</v>
      </c>
      <c r="B132" s="115">
        <v>0</v>
      </c>
      <c r="C132" s="115"/>
    </row>
    <row r="133" spans="1:3" ht="15" x14ac:dyDescent="0.25">
      <c r="A133" s="61"/>
      <c r="B133" s="61"/>
      <c r="C133" s="61"/>
    </row>
    <row r="134" spans="1:3" ht="15" x14ac:dyDescent="0.25">
      <c r="A134" s="60" t="s">
        <v>428</v>
      </c>
      <c r="B134" s="115">
        <v>0</v>
      </c>
      <c r="C134" s="115"/>
    </row>
    <row r="135" spans="1:3" ht="15" x14ac:dyDescent="0.25">
      <c r="A135" s="60" t="s">
        <v>429</v>
      </c>
      <c r="B135" s="115">
        <v>0</v>
      </c>
      <c r="C135" s="115"/>
    </row>
    <row r="136" spans="1:3" ht="15" x14ac:dyDescent="0.25">
      <c r="A136" s="60" t="s">
        <v>430</v>
      </c>
      <c r="B136" s="115">
        <v>0</v>
      </c>
      <c r="C136" s="115"/>
    </row>
    <row r="137" spans="1:3" ht="15" x14ac:dyDescent="0.25">
      <c r="A137" s="60" t="s">
        <v>431</v>
      </c>
      <c r="B137" s="115">
        <v>0</v>
      </c>
      <c r="C137" s="115"/>
    </row>
    <row r="138" spans="1:3" ht="15" x14ac:dyDescent="0.25">
      <c r="A138" s="60" t="s">
        <v>432</v>
      </c>
      <c r="B138" s="115">
        <v>0</v>
      </c>
      <c r="C138" s="115"/>
    </row>
    <row r="139" spans="1:3" ht="15" x14ac:dyDescent="0.25">
      <c r="A139" s="60" t="s">
        <v>433</v>
      </c>
      <c r="B139" s="115">
        <v>0</v>
      </c>
      <c r="C139" s="115"/>
    </row>
    <row r="140" spans="1:3" ht="15" x14ac:dyDescent="0.25">
      <c r="A140" s="60" t="s">
        <v>434</v>
      </c>
      <c r="B140" s="115">
        <v>0</v>
      </c>
      <c r="C140" s="115"/>
    </row>
    <row r="141" spans="1:3" ht="15" x14ac:dyDescent="0.25">
      <c r="A141" s="60" t="s">
        <v>435</v>
      </c>
      <c r="B141" s="115">
        <v>0</v>
      </c>
      <c r="C141" s="115"/>
    </row>
    <row r="142" spans="1:3" ht="15" x14ac:dyDescent="0.25">
      <c r="A142" s="60" t="s">
        <v>436</v>
      </c>
      <c r="B142" s="115">
        <v>0</v>
      </c>
      <c r="C142" s="115"/>
    </row>
    <row r="143" spans="1:3" ht="15" x14ac:dyDescent="0.25">
      <c r="A143" s="60" t="s">
        <v>437</v>
      </c>
      <c r="B143" s="115">
        <v>0</v>
      </c>
      <c r="C143" s="115"/>
    </row>
    <row r="144" spans="1:3" ht="15" x14ac:dyDescent="0.25">
      <c r="A144" s="60" t="s">
        <v>438</v>
      </c>
      <c r="B144" s="115">
        <v>0</v>
      </c>
      <c r="C144" s="115"/>
    </row>
    <row r="145" spans="1:3" ht="15" x14ac:dyDescent="0.25">
      <c r="A145" s="60" t="s">
        <v>439</v>
      </c>
      <c r="B145" s="115">
        <v>0</v>
      </c>
      <c r="C145" s="115"/>
    </row>
    <row r="146" spans="1:3" ht="15" x14ac:dyDescent="0.25">
      <c r="A146" s="60" t="s">
        <v>440</v>
      </c>
      <c r="B146" s="115">
        <v>0</v>
      </c>
      <c r="C146" s="115"/>
    </row>
    <row r="147" spans="1:3" ht="15" x14ac:dyDescent="0.25">
      <c r="A147" s="60" t="s">
        <v>441</v>
      </c>
      <c r="B147" s="115">
        <v>0</v>
      </c>
      <c r="C147" s="115"/>
    </row>
    <row r="148" spans="1:3" ht="15" x14ac:dyDescent="0.25">
      <c r="A148" s="60" t="s">
        <v>442</v>
      </c>
      <c r="B148" s="115">
        <v>0</v>
      </c>
      <c r="C148" s="115"/>
    </row>
    <row r="149" spans="1:3" ht="15" x14ac:dyDescent="0.25">
      <c r="A149" s="60" t="s">
        <v>443</v>
      </c>
      <c r="B149" s="115">
        <v>0</v>
      </c>
      <c r="C149" s="115"/>
    </row>
    <row r="150" spans="1:3" ht="15" x14ac:dyDescent="0.25">
      <c r="A150" s="60" t="s">
        <v>444</v>
      </c>
      <c r="B150" s="115">
        <v>0</v>
      </c>
      <c r="C150" s="115"/>
    </row>
    <row r="151" spans="1:3" ht="15" x14ac:dyDescent="0.25">
      <c r="A151" s="60" t="s">
        <v>445</v>
      </c>
      <c r="B151" s="115">
        <v>0</v>
      </c>
      <c r="C151" s="115"/>
    </row>
    <row r="152" spans="1:3" ht="15" x14ac:dyDescent="0.25">
      <c r="A152" s="60" t="s">
        <v>446</v>
      </c>
      <c r="B152" s="115">
        <v>0</v>
      </c>
      <c r="C152" s="115"/>
    </row>
    <row r="153" spans="1:3" ht="15" x14ac:dyDescent="0.25">
      <c r="A153" s="61"/>
      <c r="B153" s="61"/>
      <c r="C153" s="61"/>
    </row>
    <row r="154" spans="1:3" ht="15" x14ac:dyDescent="0.25">
      <c r="A154" s="60" t="s">
        <v>447</v>
      </c>
      <c r="B154" s="115">
        <v>0</v>
      </c>
      <c r="C154" s="115">
        <f t="shared" ref="C154:C157" si="4">+B154/12*365</f>
        <v>0</v>
      </c>
    </row>
    <row r="155" spans="1:3" ht="15" x14ac:dyDescent="0.25">
      <c r="A155" s="60" t="s">
        <v>448</v>
      </c>
      <c r="B155" s="115">
        <v>0</v>
      </c>
      <c r="C155" s="115">
        <f t="shared" si="4"/>
        <v>0</v>
      </c>
    </row>
    <row r="156" spans="1:3" ht="15" x14ac:dyDescent="0.25">
      <c r="A156" s="60" t="s">
        <v>449</v>
      </c>
      <c r="B156" s="115">
        <v>0</v>
      </c>
      <c r="C156" s="115">
        <f t="shared" si="4"/>
        <v>0</v>
      </c>
    </row>
    <row r="157" spans="1:3" ht="15" x14ac:dyDescent="0.25">
      <c r="A157" s="60" t="s">
        <v>450</v>
      </c>
      <c r="B157" s="115">
        <v>0</v>
      </c>
      <c r="C157" s="115">
        <f t="shared" si="4"/>
        <v>0</v>
      </c>
    </row>
    <row r="158" spans="1:3" ht="15" x14ac:dyDescent="0.25">
      <c r="A158" s="60" t="s">
        <v>451</v>
      </c>
      <c r="B158" s="115">
        <v>0</v>
      </c>
      <c r="C158" s="115"/>
    </row>
    <row r="159" spans="1:3" ht="15" x14ac:dyDescent="0.25">
      <c r="A159" s="60" t="s">
        <v>452</v>
      </c>
      <c r="B159" s="115">
        <v>0</v>
      </c>
      <c r="C159" s="115"/>
    </row>
    <row r="160" spans="1:3" ht="15" x14ac:dyDescent="0.25">
      <c r="A160" s="60" t="s">
        <v>453</v>
      </c>
      <c r="B160" s="115">
        <v>0</v>
      </c>
      <c r="C160" s="115"/>
    </row>
    <row r="161" spans="1:3" ht="15" x14ac:dyDescent="0.25">
      <c r="A161" s="60" t="s">
        <v>454</v>
      </c>
      <c r="B161" s="115">
        <v>0</v>
      </c>
      <c r="C161" s="115"/>
    </row>
    <row r="162" spans="1:3" ht="15" x14ac:dyDescent="0.25">
      <c r="A162" s="60" t="s">
        <v>455</v>
      </c>
      <c r="B162" s="115">
        <v>0</v>
      </c>
      <c r="C162" s="115"/>
    </row>
    <row r="163" spans="1:3" ht="15" x14ac:dyDescent="0.25">
      <c r="A163" s="60" t="s">
        <v>456</v>
      </c>
      <c r="B163" s="115">
        <v>0</v>
      </c>
      <c r="C163" s="115"/>
    </row>
    <row r="164" spans="1:3" ht="15" x14ac:dyDescent="0.25">
      <c r="A164" s="60" t="s">
        <v>457</v>
      </c>
      <c r="B164" s="115">
        <v>0</v>
      </c>
      <c r="C164" s="115"/>
    </row>
    <row r="165" spans="1:3" ht="15" x14ac:dyDescent="0.25">
      <c r="A165" s="61"/>
      <c r="B165" s="61"/>
      <c r="C165" s="61"/>
    </row>
    <row r="166" spans="1:3" ht="15" x14ac:dyDescent="0.25">
      <c r="A166" s="60" t="s">
        <v>458</v>
      </c>
      <c r="B166" s="115">
        <v>0</v>
      </c>
      <c r="C166" s="115"/>
    </row>
    <row r="167" spans="1:3" ht="15" x14ac:dyDescent="0.25">
      <c r="A167" s="60" t="s">
        <v>459</v>
      </c>
      <c r="B167" s="115">
        <v>0</v>
      </c>
      <c r="C167" s="115"/>
    </row>
    <row r="168" spans="1:3" ht="15" x14ac:dyDescent="0.25">
      <c r="A168" s="60" t="s">
        <v>460</v>
      </c>
      <c r="B168" s="115">
        <v>0</v>
      </c>
      <c r="C168" s="115"/>
    </row>
    <row r="169" spans="1:3" ht="15" x14ac:dyDescent="0.25">
      <c r="A169" s="60" t="s">
        <v>461</v>
      </c>
      <c r="B169" s="115">
        <v>0</v>
      </c>
      <c r="C169" s="115"/>
    </row>
    <row r="170" spans="1:3" ht="15" x14ac:dyDescent="0.25">
      <c r="A170" s="60" t="s">
        <v>462</v>
      </c>
      <c r="B170" s="115">
        <v>0</v>
      </c>
      <c r="C170" s="115"/>
    </row>
    <row r="171" spans="1:3" ht="15" x14ac:dyDescent="0.25">
      <c r="A171" s="60" t="s">
        <v>463</v>
      </c>
      <c r="B171" s="115">
        <v>0</v>
      </c>
      <c r="C171" s="115"/>
    </row>
    <row r="172" spans="1:3" ht="15" x14ac:dyDescent="0.25">
      <c r="A172" s="60" t="s">
        <v>464</v>
      </c>
      <c r="B172" s="115">
        <v>0</v>
      </c>
      <c r="C172" s="115"/>
    </row>
    <row r="173" spans="1:3" ht="15" x14ac:dyDescent="0.25">
      <c r="A173" s="60" t="s">
        <v>465</v>
      </c>
      <c r="B173" s="115">
        <v>0</v>
      </c>
      <c r="C173" s="115"/>
    </row>
    <row r="174" spans="1:3" ht="15" x14ac:dyDescent="0.25">
      <c r="A174" s="60" t="s">
        <v>466</v>
      </c>
      <c r="B174" s="115">
        <v>0</v>
      </c>
      <c r="C174" s="115"/>
    </row>
    <row r="175" spans="1:3" ht="15" x14ac:dyDescent="0.25">
      <c r="A175" s="60" t="s">
        <v>467</v>
      </c>
      <c r="B175" s="115">
        <v>0</v>
      </c>
      <c r="C175" s="115"/>
    </row>
    <row r="176" spans="1:3" ht="15" x14ac:dyDescent="0.25">
      <c r="A176" s="60" t="s">
        <v>468</v>
      </c>
      <c r="B176" s="115">
        <v>0</v>
      </c>
      <c r="C176" s="115"/>
    </row>
    <row r="177" spans="1:3" ht="15" x14ac:dyDescent="0.25">
      <c r="A177" s="60" t="s">
        <v>469</v>
      </c>
      <c r="B177" s="115">
        <v>0</v>
      </c>
      <c r="C177" s="115"/>
    </row>
    <row r="178" spans="1:3" ht="15" x14ac:dyDescent="0.25">
      <c r="A178" s="60" t="s">
        <v>470</v>
      </c>
      <c r="B178" s="115">
        <v>0</v>
      </c>
      <c r="C178" s="115"/>
    </row>
    <row r="179" spans="1:3" ht="15" x14ac:dyDescent="0.25">
      <c r="A179" s="60" t="s">
        <v>471</v>
      </c>
      <c r="B179" s="115">
        <v>0</v>
      </c>
      <c r="C179" s="115"/>
    </row>
    <row r="180" spans="1:3" ht="15" x14ac:dyDescent="0.25">
      <c r="A180" s="60" t="s">
        <v>472</v>
      </c>
      <c r="B180" s="115">
        <v>0</v>
      </c>
      <c r="C180" s="115"/>
    </row>
    <row r="181" spans="1:3" ht="15" x14ac:dyDescent="0.25">
      <c r="A181" s="60" t="s">
        <v>473</v>
      </c>
      <c r="B181" s="115">
        <v>0</v>
      </c>
      <c r="C181" s="115"/>
    </row>
    <row r="182" spans="1:3" ht="15" x14ac:dyDescent="0.25">
      <c r="A182" s="60" t="s">
        <v>474</v>
      </c>
      <c r="B182" s="115">
        <v>0</v>
      </c>
      <c r="C182" s="115"/>
    </row>
    <row r="183" spans="1:3" ht="15" x14ac:dyDescent="0.25">
      <c r="A183" s="60" t="s">
        <v>475</v>
      </c>
      <c r="B183" s="115">
        <v>0</v>
      </c>
      <c r="C183" s="115"/>
    </row>
    <row r="184" spans="1:3" ht="15" x14ac:dyDescent="0.25">
      <c r="A184" s="60" t="s">
        <v>476</v>
      </c>
      <c r="B184" s="115">
        <v>0</v>
      </c>
      <c r="C184" s="115"/>
    </row>
    <row r="185" spans="1:3" ht="15" x14ac:dyDescent="0.25">
      <c r="A185" s="60" t="s">
        <v>477</v>
      </c>
      <c r="B185" s="115">
        <v>0</v>
      </c>
      <c r="C185" s="115"/>
    </row>
    <row r="186" spans="1:3" ht="15" x14ac:dyDescent="0.25">
      <c r="A186" s="60" t="s">
        <v>478</v>
      </c>
      <c r="B186" s="115">
        <v>0</v>
      </c>
      <c r="C186" s="115"/>
    </row>
    <row r="187" spans="1:3" ht="15" x14ac:dyDescent="0.25">
      <c r="A187" s="60" t="s">
        <v>479</v>
      </c>
      <c r="B187" s="115">
        <v>0</v>
      </c>
      <c r="C187" s="115"/>
    </row>
    <row r="188" spans="1:3" ht="15" x14ac:dyDescent="0.25">
      <c r="A188" s="60" t="s">
        <v>480</v>
      </c>
      <c r="B188" s="115">
        <v>0</v>
      </c>
      <c r="C188" s="115"/>
    </row>
    <row r="189" spans="1:3" ht="15" x14ac:dyDescent="0.25">
      <c r="A189" s="61"/>
      <c r="B189" s="61"/>
      <c r="C189" s="61"/>
    </row>
    <row r="190" spans="1:3" ht="15" x14ac:dyDescent="0.25">
      <c r="A190" s="60" t="s">
        <v>481</v>
      </c>
      <c r="B190" s="115">
        <v>0</v>
      </c>
      <c r="C190" s="115"/>
    </row>
    <row r="191" spans="1:3" ht="15" x14ac:dyDescent="0.25">
      <c r="A191" s="60" t="s">
        <v>482</v>
      </c>
      <c r="B191" s="115">
        <v>0</v>
      </c>
      <c r="C191" s="115"/>
    </row>
    <row r="192" spans="1:3" ht="15" x14ac:dyDescent="0.25">
      <c r="A192" s="60" t="s">
        <v>483</v>
      </c>
      <c r="B192" s="115">
        <v>0</v>
      </c>
      <c r="C192" s="115"/>
    </row>
    <row r="193" spans="1:3" ht="15" x14ac:dyDescent="0.25">
      <c r="A193" s="60" t="s">
        <v>484</v>
      </c>
      <c r="B193" s="115">
        <v>0</v>
      </c>
      <c r="C193" s="115"/>
    </row>
    <row r="194" spans="1:3" ht="15" x14ac:dyDescent="0.25">
      <c r="A194" s="60" t="s">
        <v>485</v>
      </c>
      <c r="B194" s="115">
        <v>0</v>
      </c>
      <c r="C194" s="115"/>
    </row>
    <row r="195" spans="1:3" ht="15" x14ac:dyDescent="0.25">
      <c r="A195" s="60" t="s">
        <v>486</v>
      </c>
      <c r="B195" s="115">
        <v>0</v>
      </c>
      <c r="C195" s="115"/>
    </row>
    <row r="196" spans="1:3" ht="15" x14ac:dyDescent="0.25">
      <c r="A196" s="60" t="s">
        <v>487</v>
      </c>
      <c r="B196" s="115">
        <v>0</v>
      </c>
      <c r="C196" s="115"/>
    </row>
    <row r="197" spans="1:3" ht="15" x14ac:dyDescent="0.25">
      <c r="A197" s="60" t="s">
        <v>488</v>
      </c>
      <c r="B197" s="115">
        <v>0</v>
      </c>
      <c r="C197" s="115"/>
    </row>
    <row r="198" spans="1:3" ht="15" x14ac:dyDescent="0.25">
      <c r="A198" s="60" t="s">
        <v>489</v>
      </c>
      <c r="B198" s="115">
        <v>0</v>
      </c>
      <c r="C198" s="115"/>
    </row>
    <row r="199" spans="1:3" ht="15" x14ac:dyDescent="0.25">
      <c r="A199" s="60" t="s">
        <v>490</v>
      </c>
      <c r="B199" s="115">
        <v>0</v>
      </c>
      <c r="C199" s="115"/>
    </row>
    <row r="200" spans="1:3" ht="15" x14ac:dyDescent="0.25">
      <c r="A200" s="60" t="s">
        <v>491</v>
      </c>
      <c r="B200" s="115">
        <v>0</v>
      </c>
      <c r="C200" s="115"/>
    </row>
    <row r="201" spans="1:3" ht="15" x14ac:dyDescent="0.25">
      <c r="A201" s="60" t="s">
        <v>492</v>
      </c>
      <c r="B201" s="115">
        <v>0</v>
      </c>
      <c r="C201" s="115"/>
    </row>
    <row r="202" spans="1:3" ht="15" x14ac:dyDescent="0.25">
      <c r="A202" s="60" t="s">
        <v>493</v>
      </c>
      <c r="B202" s="115">
        <v>0</v>
      </c>
      <c r="C202" s="115"/>
    </row>
    <row r="203" spans="1:3" ht="15" x14ac:dyDescent="0.25">
      <c r="A203" s="60" t="s">
        <v>494</v>
      </c>
      <c r="B203" s="115">
        <v>0</v>
      </c>
      <c r="C203" s="115"/>
    </row>
    <row r="204" spans="1:3" ht="15" x14ac:dyDescent="0.25">
      <c r="A204" s="60" t="s">
        <v>495</v>
      </c>
      <c r="B204" s="115">
        <v>0</v>
      </c>
      <c r="C204" s="115"/>
    </row>
    <row r="205" spans="1:3" ht="15" x14ac:dyDescent="0.25">
      <c r="A205" s="60" t="s">
        <v>496</v>
      </c>
      <c r="B205" s="115">
        <v>0</v>
      </c>
      <c r="C205" s="115"/>
    </row>
    <row r="206" spans="1:3" ht="15" x14ac:dyDescent="0.25">
      <c r="A206" s="60" t="s">
        <v>497</v>
      </c>
      <c r="B206" s="115">
        <v>0</v>
      </c>
      <c r="C206" s="115"/>
    </row>
    <row r="207" spans="1:3" ht="15" x14ac:dyDescent="0.25">
      <c r="A207" s="60" t="s">
        <v>498</v>
      </c>
      <c r="B207" s="115">
        <v>0</v>
      </c>
      <c r="C207" s="115"/>
    </row>
    <row r="208" spans="1:3" ht="15" x14ac:dyDescent="0.25">
      <c r="A208" s="60" t="s">
        <v>499</v>
      </c>
      <c r="B208" s="115">
        <v>0</v>
      </c>
      <c r="C208" s="115"/>
    </row>
    <row r="209" spans="1:10" ht="15" x14ac:dyDescent="0.25">
      <c r="A209" s="60" t="s">
        <v>500</v>
      </c>
      <c r="B209" s="115">
        <v>0</v>
      </c>
      <c r="C209" s="115"/>
    </row>
    <row r="210" spans="1:10" ht="15" x14ac:dyDescent="0.25">
      <c r="A210" s="60" t="s">
        <v>501</v>
      </c>
      <c r="B210" s="115">
        <v>0</v>
      </c>
      <c r="C210" s="115"/>
    </row>
    <row r="211" spans="1:10" ht="15" x14ac:dyDescent="0.25">
      <c r="A211" s="60" t="s">
        <v>502</v>
      </c>
      <c r="B211" s="115">
        <v>0</v>
      </c>
      <c r="C211" s="115"/>
    </row>
    <row r="212" spans="1:10" ht="15" x14ac:dyDescent="0.25">
      <c r="A212" s="60" t="s">
        <v>503</v>
      </c>
      <c r="B212" s="115">
        <v>0</v>
      </c>
      <c r="C212" s="115"/>
    </row>
    <row r="213" spans="1:10" ht="15" x14ac:dyDescent="0.25">
      <c r="A213" s="60" t="s">
        <v>504</v>
      </c>
      <c r="B213" s="115">
        <v>0</v>
      </c>
      <c r="C213" s="115"/>
    </row>
    <row r="214" spans="1:10" ht="15" x14ac:dyDescent="0.25">
      <c r="A214" s="60" t="s">
        <v>505</v>
      </c>
      <c r="B214" s="115">
        <v>0</v>
      </c>
      <c r="C214" s="115"/>
    </row>
    <row r="215" spans="1:10" ht="15" x14ac:dyDescent="0.25">
      <c r="A215" s="60" t="s">
        <v>506</v>
      </c>
      <c r="B215" s="115">
        <v>0</v>
      </c>
      <c r="C215" s="115"/>
    </row>
    <row r="216" spans="1:10" ht="15" x14ac:dyDescent="0.25">
      <c r="A216" s="60" t="s">
        <v>507</v>
      </c>
      <c r="B216" s="115">
        <v>0</v>
      </c>
      <c r="C216" s="115"/>
    </row>
    <row r="217" spans="1:10" ht="15.75" thickBot="1" x14ac:dyDescent="0.3">
      <c r="A217" s="122" t="s">
        <v>533</v>
      </c>
      <c r="B217" s="122"/>
      <c r="C217" s="122"/>
    </row>
    <row r="218" spans="1:10" x14ac:dyDescent="0.2">
      <c r="A218" s="123" t="s">
        <v>508</v>
      </c>
      <c r="B218" s="124">
        <v>252.11</v>
      </c>
      <c r="C218" s="124">
        <f t="shared" ref="C218" si="5">+B218/12*365</f>
        <v>7668.3458333333338</v>
      </c>
    </row>
    <row r="219" spans="1:10" x14ac:dyDescent="0.2">
      <c r="A219" s="125" t="s">
        <v>509</v>
      </c>
      <c r="B219" s="126">
        <v>225766751</v>
      </c>
      <c r="C219" s="126"/>
    </row>
    <row r="220" spans="1:10" x14ac:dyDescent="0.2">
      <c r="A220" s="125" t="s">
        <v>534</v>
      </c>
      <c r="B220" s="126">
        <v>541681</v>
      </c>
      <c r="C220" s="126"/>
    </row>
    <row r="221" spans="1:10" x14ac:dyDescent="0.2">
      <c r="A221" s="125" t="s">
        <v>535</v>
      </c>
      <c r="B221" s="126">
        <v>133271</v>
      </c>
      <c r="C221" s="126"/>
    </row>
    <row r="222" spans="1:10" x14ac:dyDescent="0.2">
      <c r="A222" s="125" t="s">
        <v>536</v>
      </c>
      <c r="B222" s="126">
        <v>0</v>
      </c>
      <c r="C222" s="126"/>
    </row>
    <row r="223" spans="1:10" s="99" customFormat="1" x14ac:dyDescent="0.2">
      <c r="A223" s="125" t="s">
        <v>537</v>
      </c>
      <c r="B223" s="126">
        <v>9923499.7199999988</v>
      </c>
      <c r="C223" s="126"/>
      <c r="D223" s="54"/>
      <c r="E223" s="54"/>
      <c r="F223" s="54"/>
      <c r="G223" s="54"/>
      <c r="H223" s="54"/>
      <c r="I223" s="54"/>
      <c r="J223" s="54"/>
    </row>
    <row r="224" spans="1:10" s="99" customFormat="1" x14ac:dyDescent="0.2">
      <c r="A224" s="125" t="s">
        <v>538</v>
      </c>
      <c r="B224" s="126">
        <v>26423339.890000001</v>
      </c>
      <c r="C224" s="126"/>
      <c r="D224" s="54"/>
      <c r="E224" s="54"/>
      <c r="F224" s="54"/>
      <c r="G224" s="54"/>
      <c r="H224" s="54"/>
      <c r="I224" s="54"/>
      <c r="J224" s="54"/>
    </row>
    <row r="225" spans="1:10" s="99" customFormat="1" ht="15.75" thickBot="1" x14ac:dyDescent="0.3">
      <c r="A225" s="122" t="s">
        <v>539</v>
      </c>
      <c r="B225" s="122"/>
      <c r="C225" s="122"/>
      <c r="D225" s="54"/>
      <c r="E225" s="54"/>
      <c r="F225" s="54"/>
      <c r="G225" s="54"/>
      <c r="H225" s="54"/>
      <c r="I225" s="54"/>
      <c r="J225" s="54"/>
    </row>
    <row r="226" spans="1:10" s="99" customFormat="1" x14ac:dyDescent="0.2">
      <c r="A226" s="123" t="s">
        <v>510</v>
      </c>
      <c r="B226" s="124">
        <v>0</v>
      </c>
      <c r="C226" s="124">
        <f t="shared" ref="C226" si="6">+B226/12*365</f>
        <v>0</v>
      </c>
      <c r="D226" s="54"/>
      <c r="E226" s="54"/>
      <c r="F226" s="54"/>
      <c r="G226" s="54"/>
      <c r="H226" s="54"/>
      <c r="I226" s="54"/>
      <c r="J226" s="54"/>
    </row>
    <row r="227" spans="1:10" s="99" customFormat="1" x14ac:dyDescent="0.2">
      <c r="A227" s="125" t="s">
        <v>511</v>
      </c>
      <c r="B227" s="126">
        <v>0</v>
      </c>
      <c r="C227" s="126"/>
      <c r="D227" s="54"/>
      <c r="E227" s="54"/>
      <c r="F227" s="54"/>
      <c r="G227" s="54"/>
      <c r="H227" s="54"/>
      <c r="I227" s="54"/>
      <c r="J227" s="54"/>
    </row>
    <row r="228" spans="1:10" s="99" customFormat="1" x14ac:dyDescent="0.2">
      <c r="A228" s="125" t="s">
        <v>540</v>
      </c>
      <c r="B228" s="126">
        <v>0</v>
      </c>
      <c r="C228" s="126"/>
      <c r="D228" s="54"/>
      <c r="E228" s="54"/>
      <c r="F228" s="54"/>
      <c r="G228" s="54"/>
      <c r="H228" s="54"/>
      <c r="I228" s="54"/>
      <c r="J228" s="54"/>
    </row>
    <row r="229" spans="1:10" s="99" customFormat="1" x14ac:dyDescent="0.2">
      <c r="A229" s="125" t="s">
        <v>541</v>
      </c>
      <c r="B229" s="126">
        <v>0</v>
      </c>
      <c r="C229" s="126"/>
      <c r="D229" s="54"/>
      <c r="E229" s="54"/>
      <c r="F229" s="54"/>
      <c r="G229" s="54"/>
      <c r="H229" s="54"/>
      <c r="I229" s="54"/>
      <c r="J229" s="54"/>
    </row>
    <row r="230" spans="1:10" s="99" customFormat="1" x14ac:dyDescent="0.2">
      <c r="A230" s="125" t="s">
        <v>542</v>
      </c>
      <c r="B230" s="126">
        <v>0</v>
      </c>
      <c r="C230" s="126"/>
      <c r="D230" s="54"/>
      <c r="E230" s="54"/>
      <c r="F230" s="54"/>
      <c r="G230" s="54"/>
      <c r="H230" s="54"/>
      <c r="I230" s="54"/>
      <c r="J230" s="54"/>
    </row>
    <row r="231" spans="1:10" s="99" customFormat="1" x14ac:dyDescent="0.2">
      <c r="A231" s="125" t="s">
        <v>543</v>
      </c>
      <c r="B231" s="126">
        <v>0</v>
      </c>
      <c r="C231" s="126"/>
      <c r="D231" s="54"/>
      <c r="E231" s="54"/>
      <c r="F231" s="54"/>
      <c r="G231" s="54"/>
      <c r="H231" s="54"/>
      <c r="I231" s="54"/>
      <c r="J231" s="54"/>
    </row>
    <row r="232" spans="1:10" s="99" customFormat="1" x14ac:dyDescent="0.2">
      <c r="A232" s="125" t="s">
        <v>544</v>
      </c>
      <c r="B232" s="126">
        <v>0</v>
      </c>
      <c r="C232" s="126"/>
      <c r="D232" s="54"/>
      <c r="E232" s="54"/>
      <c r="F232" s="54"/>
      <c r="G232" s="54"/>
      <c r="H232" s="54"/>
      <c r="I232" s="54"/>
      <c r="J232" s="54"/>
    </row>
    <row r="233" spans="1:10" s="99" customFormat="1" ht="15.75" thickBot="1" x14ac:dyDescent="0.3">
      <c r="A233" s="127" t="s">
        <v>545</v>
      </c>
      <c r="B233" s="128"/>
      <c r="C233" s="128"/>
      <c r="D233" s="54"/>
      <c r="E233" s="54"/>
      <c r="F233" s="54"/>
      <c r="G233" s="54"/>
      <c r="H233" s="54"/>
      <c r="I233" s="54"/>
      <c r="J233" s="54"/>
    </row>
    <row r="234" spans="1:10" s="99" customFormat="1" x14ac:dyDescent="0.2">
      <c r="A234" s="125" t="s">
        <v>678</v>
      </c>
      <c r="B234" s="126">
        <v>400.03</v>
      </c>
      <c r="C234" s="126">
        <f t="shared" ref="C234:C235" si="7">+B234/12*365</f>
        <v>12167.579166666666</v>
      </c>
      <c r="D234" s="54"/>
      <c r="E234" s="54"/>
      <c r="F234" s="54"/>
      <c r="G234" s="54"/>
      <c r="H234" s="54"/>
      <c r="I234" s="54"/>
      <c r="J234" s="54"/>
    </row>
    <row r="235" spans="1:10" s="99" customFormat="1" x14ac:dyDescent="0.2">
      <c r="A235" s="125" t="s">
        <v>679</v>
      </c>
      <c r="B235" s="126">
        <v>0</v>
      </c>
      <c r="C235" s="126">
        <f t="shared" si="7"/>
        <v>0</v>
      </c>
      <c r="D235" s="54"/>
      <c r="E235" s="54"/>
      <c r="F235" s="54"/>
      <c r="G235" s="54"/>
      <c r="H235" s="54"/>
      <c r="I235" s="54"/>
      <c r="J235" s="54"/>
    </row>
    <row r="236" spans="1:10" s="99" customFormat="1" x14ac:dyDescent="0.2">
      <c r="A236" s="125" t="s">
        <v>680</v>
      </c>
      <c r="B236" s="126">
        <v>892163759</v>
      </c>
      <c r="C236" s="126"/>
      <c r="D236" s="54"/>
      <c r="E236" s="54"/>
      <c r="F236" s="54"/>
      <c r="G236" s="54"/>
      <c r="H236" s="54"/>
      <c r="I236" s="54"/>
      <c r="J236" s="54"/>
    </row>
    <row r="237" spans="1:10" s="99" customFormat="1" x14ac:dyDescent="0.2">
      <c r="A237" s="125" t="s">
        <v>681</v>
      </c>
      <c r="B237" s="126">
        <v>236116474</v>
      </c>
      <c r="C237" s="126"/>
      <c r="D237" s="54"/>
      <c r="E237" s="54"/>
      <c r="F237" s="54"/>
      <c r="G237" s="54"/>
      <c r="H237" s="54"/>
      <c r="I237" s="54"/>
      <c r="J237" s="54"/>
    </row>
    <row r="238" spans="1:10" s="99" customFormat="1" x14ac:dyDescent="0.2">
      <c r="A238" s="125" t="s">
        <v>682</v>
      </c>
      <c r="B238" s="126">
        <v>656047285</v>
      </c>
      <c r="C238" s="126"/>
      <c r="D238" s="54"/>
      <c r="E238" s="54"/>
      <c r="F238" s="54"/>
      <c r="G238" s="54"/>
      <c r="H238" s="54"/>
      <c r="I238" s="54"/>
      <c r="J238" s="54"/>
    </row>
    <row r="239" spans="1:10" s="99" customFormat="1" x14ac:dyDescent="0.2">
      <c r="A239" s="125" t="s">
        <v>683</v>
      </c>
      <c r="B239" s="126">
        <v>1682837</v>
      </c>
      <c r="C239" s="126"/>
      <c r="D239" s="54"/>
      <c r="E239" s="54"/>
      <c r="F239" s="54"/>
      <c r="G239" s="54"/>
      <c r="H239" s="54"/>
      <c r="I239" s="54"/>
      <c r="J239" s="54"/>
    </row>
    <row r="240" spans="1:10" s="99" customFormat="1" ht="15" x14ac:dyDescent="0.25">
      <c r="A240" s="129" t="s">
        <v>684</v>
      </c>
      <c r="B240" s="126">
        <v>1635570.8077815317</v>
      </c>
      <c r="C240" s="126"/>
      <c r="D240" s="54"/>
      <c r="E240" s="54"/>
      <c r="F240" s="54"/>
      <c r="G240" s="54"/>
      <c r="H240" s="54"/>
      <c r="I240" s="54"/>
      <c r="J240" s="54"/>
    </row>
    <row r="241" spans="1:10" s="99" customFormat="1" x14ac:dyDescent="0.2">
      <c r="A241" s="125" t="s">
        <v>685</v>
      </c>
      <c r="B241" s="126">
        <v>704382</v>
      </c>
      <c r="C241" s="126"/>
      <c r="D241" s="54"/>
      <c r="E241" s="54"/>
      <c r="F241" s="54"/>
      <c r="G241" s="54"/>
      <c r="H241" s="54"/>
      <c r="I241" s="54"/>
      <c r="J241" s="54"/>
    </row>
    <row r="242" spans="1:10" s="99" customFormat="1" ht="15" x14ac:dyDescent="0.25">
      <c r="A242" s="80" t="s">
        <v>686</v>
      </c>
      <c r="B242" s="126">
        <v>-8710719</v>
      </c>
      <c r="C242" s="126"/>
      <c r="D242" s="54"/>
      <c r="E242" s="54"/>
      <c r="F242" s="54"/>
      <c r="G242" s="54"/>
      <c r="H242" s="54"/>
      <c r="I242" s="54"/>
      <c r="J242" s="54"/>
    </row>
    <row r="243" spans="1:10" s="99" customFormat="1" x14ac:dyDescent="0.2">
      <c r="A243" s="125" t="s">
        <v>687</v>
      </c>
      <c r="B243" s="126">
        <v>13783599</v>
      </c>
      <c r="C243" s="126"/>
      <c r="D243" s="54"/>
      <c r="E243" s="54"/>
      <c r="F243" s="54"/>
      <c r="G243" s="54"/>
      <c r="H243" s="54"/>
      <c r="I243" s="54"/>
      <c r="J243" s="54"/>
    </row>
    <row r="244" spans="1:10" s="99" customFormat="1" x14ac:dyDescent="0.2">
      <c r="A244" s="125" t="s">
        <v>688</v>
      </c>
      <c r="B244" s="126">
        <v>90854399</v>
      </c>
      <c r="C244" s="126"/>
      <c r="D244" s="54"/>
      <c r="E244" s="54"/>
      <c r="F244" s="54"/>
      <c r="G244" s="54"/>
      <c r="H244" s="54"/>
      <c r="I244" s="54"/>
      <c r="J244" s="54"/>
    </row>
    <row r="245" spans="1:10" s="99" customFormat="1" ht="15.75" thickBot="1" x14ac:dyDescent="0.3">
      <c r="A245" s="127" t="s">
        <v>546</v>
      </c>
      <c r="B245" s="128"/>
      <c r="C245" s="128"/>
      <c r="D245" s="54"/>
      <c r="E245" s="54"/>
      <c r="F245" s="54"/>
      <c r="G245" s="54"/>
      <c r="H245" s="54"/>
      <c r="I245" s="54"/>
      <c r="J245" s="54"/>
    </row>
    <row r="246" spans="1:10" x14ac:dyDescent="0.2">
      <c r="A246" s="125" t="s">
        <v>689</v>
      </c>
      <c r="B246" s="126">
        <v>108.03</v>
      </c>
      <c r="C246" s="126">
        <f t="shared" ref="C246" si="8">+B246/12*365</f>
        <v>3285.9124999999999</v>
      </c>
    </row>
    <row r="247" spans="1:10" x14ac:dyDescent="0.2">
      <c r="A247" s="125" t="s">
        <v>690</v>
      </c>
      <c r="B247" s="126">
        <v>259640305</v>
      </c>
      <c r="C247" s="126"/>
    </row>
    <row r="248" spans="1:10" x14ac:dyDescent="0.2">
      <c r="A248" s="125" t="s">
        <v>691</v>
      </c>
      <c r="B248" s="126">
        <v>62938801</v>
      </c>
      <c r="C248" s="126"/>
    </row>
    <row r="249" spans="1:10" x14ac:dyDescent="0.2">
      <c r="A249" s="125" t="s">
        <v>692</v>
      </c>
      <c r="B249" s="126">
        <v>196701504</v>
      </c>
      <c r="C249" s="126"/>
    </row>
    <row r="250" spans="1:10" x14ac:dyDescent="0.2">
      <c r="A250" s="125" t="s">
        <v>693</v>
      </c>
      <c r="B250" s="126">
        <v>746114</v>
      </c>
      <c r="C250" s="126"/>
    </row>
    <row r="251" spans="1:10" ht="15" x14ac:dyDescent="0.25">
      <c r="A251" s="129" t="s">
        <v>694</v>
      </c>
      <c r="B251" s="130">
        <v>723855.76837979851</v>
      </c>
      <c r="C251" s="130"/>
    </row>
    <row r="252" spans="1:10" x14ac:dyDescent="0.2">
      <c r="A252" s="125" t="s">
        <v>695</v>
      </c>
      <c r="B252" s="126">
        <v>0</v>
      </c>
      <c r="C252" s="126"/>
    </row>
    <row r="253" spans="1:10" ht="15" x14ac:dyDescent="0.25">
      <c r="A253" s="80" t="s">
        <v>696</v>
      </c>
      <c r="B253" s="126">
        <v>0</v>
      </c>
      <c r="C253" s="126"/>
    </row>
    <row r="254" spans="1:10" x14ac:dyDescent="0.2">
      <c r="A254" s="125" t="s">
        <v>697</v>
      </c>
      <c r="B254" s="126">
        <v>31194834</v>
      </c>
      <c r="C254" s="126"/>
    </row>
    <row r="255" spans="1:10" ht="13.5" thickBot="1" x14ac:dyDescent="0.25">
      <c r="A255" s="131" t="s">
        <v>698</v>
      </c>
      <c r="B255" s="132">
        <v>0</v>
      </c>
      <c r="C255" s="132"/>
    </row>
    <row r="256" spans="1:10" ht="15.75" thickBot="1" x14ac:dyDescent="0.3">
      <c r="A256" s="133" t="s">
        <v>547</v>
      </c>
      <c r="B256" s="134"/>
      <c r="C256" s="134"/>
    </row>
    <row r="257" spans="1:3" ht="15.75" thickBot="1" x14ac:dyDescent="0.3">
      <c r="A257" s="135"/>
      <c r="B257" s="135"/>
      <c r="C257" s="135"/>
    </row>
    <row r="258" spans="1:3" x14ac:dyDescent="0.2">
      <c r="A258" s="123" t="s">
        <v>512</v>
      </c>
      <c r="B258" s="136">
        <v>0</v>
      </c>
      <c r="C258" s="136">
        <f t="shared" ref="C258" si="9">+B258/12*365</f>
        <v>0</v>
      </c>
    </row>
    <row r="259" spans="1:3" x14ac:dyDescent="0.2">
      <c r="A259" s="125" t="s">
        <v>513</v>
      </c>
      <c r="B259" s="137">
        <v>0</v>
      </c>
      <c r="C259" s="137"/>
    </row>
    <row r="260" spans="1:3" x14ac:dyDescent="0.2">
      <c r="A260" s="125" t="s">
        <v>514</v>
      </c>
      <c r="B260" s="137">
        <v>0</v>
      </c>
      <c r="C260" s="137"/>
    </row>
    <row r="261" spans="1:3" x14ac:dyDescent="0.2">
      <c r="A261" s="125" t="s">
        <v>548</v>
      </c>
      <c r="B261" s="137">
        <v>0</v>
      </c>
      <c r="C261" s="137"/>
    </row>
    <row r="262" spans="1:3" x14ac:dyDescent="0.2">
      <c r="A262" s="125" t="s">
        <v>549</v>
      </c>
      <c r="B262" s="137">
        <v>0</v>
      </c>
      <c r="C262" s="137"/>
    </row>
    <row r="263" spans="1:3" x14ac:dyDescent="0.2">
      <c r="A263" s="125" t="s">
        <v>550</v>
      </c>
      <c r="B263" s="137">
        <v>0</v>
      </c>
      <c r="C263" s="137"/>
    </row>
    <row r="264" spans="1:3" x14ac:dyDescent="0.2">
      <c r="A264" s="125" t="s">
        <v>515</v>
      </c>
      <c r="B264" s="137">
        <v>0</v>
      </c>
      <c r="C264" s="137"/>
    </row>
    <row r="265" spans="1:3" x14ac:dyDescent="0.2">
      <c r="A265" s="125" t="s">
        <v>551</v>
      </c>
      <c r="B265" s="137">
        <v>0</v>
      </c>
      <c r="C265" s="137"/>
    </row>
    <row r="266" spans="1:3" x14ac:dyDescent="0.2">
      <c r="A266" s="125" t="s">
        <v>516</v>
      </c>
      <c r="B266" s="137">
        <v>0</v>
      </c>
      <c r="C266" s="137"/>
    </row>
    <row r="267" spans="1:3" x14ac:dyDescent="0.2">
      <c r="A267" s="125" t="s">
        <v>552</v>
      </c>
      <c r="B267" s="137">
        <v>0</v>
      </c>
      <c r="C267" s="137"/>
    </row>
    <row r="268" spans="1:3" x14ac:dyDescent="0.2">
      <c r="A268" s="125" t="s">
        <v>553</v>
      </c>
      <c r="B268" s="137">
        <v>0</v>
      </c>
      <c r="C268" s="137"/>
    </row>
    <row r="269" spans="1:3" ht="13.5" thickBot="1" x14ac:dyDescent="0.25">
      <c r="A269" s="125" t="s">
        <v>554</v>
      </c>
      <c r="B269" s="137">
        <v>0</v>
      </c>
      <c r="C269" s="137"/>
    </row>
    <row r="270" spans="1:3" ht="15.75" thickBot="1" x14ac:dyDescent="0.3">
      <c r="A270" s="133" t="s">
        <v>555</v>
      </c>
      <c r="B270" s="134"/>
      <c r="C270" s="134"/>
    </row>
    <row r="271" spans="1:3" ht="15.75" thickBot="1" x14ac:dyDescent="0.3">
      <c r="A271" s="135"/>
      <c r="B271" s="135"/>
      <c r="C271" s="135"/>
    </row>
    <row r="272" spans="1:3" x14ac:dyDescent="0.2">
      <c r="A272" s="123" t="s">
        <v>517</v>
      </c>
      <c r="B272" s="136">
        <v>0</v>
      </c>
      <c r="C272" s="136">
        <f t="shared" ref="C272" si="10">+B272/12*365</f>
        <v>0</v>
      </c>
    </row>
    <row r="273" spans="1:3" x14ac:dyDescent="0.2">
      <c r="A273" s="125" t="s">
        <v>518</v>
      </c>
      <c r="B273" s="137">
        <v>0</v>
      </c>
      <c r="C273" s="137"/>
    </row>
    <row r="274" spans="1:3" x14ac:dyDescent="0.2">
      <c r="A274" s="125" t="s">
        <v>519</v>
      </c>
      <c r="B274" s="137">
        <v>0</v>
      </c>
      <c r="C274" s="137"/>
    </row>
    <row r="275" spans="1:3" x14ac:dyDescent="0.2">
      <c r="A275" s="125" t="s">
        <v>556</v>
      </c>
      <c r="B275" s="137">
        <v>0</v>
      </c>
      <c r="C275" s="137"/>
    </row>
    <row r="276" spans="1:3" x14ac:dyDescent="0.2">
      <c r="A276" s="125" t="s">
        <v>557</v>
      </c>
      <c r="B276" s="137">
        <v>0</v>
      </c>
      <c r="C276" s="137"/>
    </row>
    <row r="277" spans="1:3" x14ac:dyDescent="0.2">
      <c r="A277" s="125" t="s">
        <v>558</v>
      </c>
      <c r="B277" s="137">
        <v>0</v>
      </c>
      <c r="C277" s="137"/>
    </row>
    <row r="278" spans="1:3" x14ac:dyDescent="0.2">
      <c r="A278" s="125" t="s">
        <v>520</v>
      </c>
      <c r="B278" s="137">
        <v>0</v>
      </c>
      <c r="C278" s="137"/>
    </row>
    <row r="279" spans="1:3" x14ac:dyDescent="0.2">
      <c r="A279" s="125" t="s">
        <v>559</v>
      </c>
      <c r="B279" s="137">
        <v>0</v>
      </c>
      <c r="C279" s="137"/>
    </row>
    <row r="280" spans="1:3" x14ac:dyDescent="0.2">
      <c r="A280" s="125" t="s">
        <v>521</v>
      </c>
      <c r="B280" s="137">
        <v>0</v>
      </c>
      <c r="C280" s="137"/>
    </row>
    <row r="281" spans="1:3" x14ac:dyDescent="0.2">
      <c r="A281" s="125" t="s">
        <v>560</v>
      </c>
      <c r="B281" s="137">
        <v>0</v>
      </c>
      <c r="C281" s="137"/>
    </row>
    <row r="282" spans="1:3" x14ac:dyDescent="0.2">
      <c r="A282" s="125" t="s">
        <v>561</v>
      </c>
      <c r="B282" s="137">
        <v>0</v>
      </c>
      <c r="C282" s="137"/>
    </row>
    <row r="283" spans="1:3" x14ac:dyDescent="0.2">
      <c r="A283" s="125" t="s">
        <v>562</v>
      </c>
      <c r="B283" s="137">
        <v>0</v>
      </c>
      <c r="C283" s="137"/>
    </row>
    <row r="284" spans="1:3" ht="15" x14ac:dyDescent="0.25">
      <c r="A284" s="138" t="s">
        <v>563</v>
      </c>
      <c r="B284" s="122"/>
      <c r="C284" s="122"/>
    </row>
    <row r="285" spans="1:3" ht="15.75" thickBot="1" x14ac:dyDescent="0.3">
      <c r="A285" s="139"/>
      <c r="B285" s="139"/>
      <c r="C285" s="139"/>
    </row>
    <row r="286" spans="1:3" x14ac:dyDescent="0.2">
      <c r="A286" s="123" t="s">
        <v>699</v>
      </c>
      <c r="B286" s="136">
        <v>24.25</v>
      </c>
      <c r="C286" s="136">
        <f t="shared" ref="C286" si="11">+B286/12*365</f>
        <v>737.60416666666674</v>
      </c>
    </row>
    <row r="287" spans="1:3" x14ac:dyDescent="0.2">
      <c r="A287" s="125" t="s">
        <v>700</v>
      </c>
      <c r="B287" s="137">
        <v>75709263</v>
      </c>
      <c r="C287" s="137"/>
    </row>
    <row r="288" spans="1:3" x14ac:dyDescent="0.2">
      <c r="A288" s="125" t="s">
        <v>701</v>
      </c>
      <c r="B288" s="137">
        <v>98312</v>
      </c>
      <c r="C288" s="137"/>
    </row>
    <row r="289" spans="1:3" x14ac:dyDescent="0.2">
      <c r="A289" s="125" t="s">
        <v>702</v>
      </c>
      <c r="B289" s="137">
        <v>0</v>
      </c>
      <c r="C289" s="137"/>
    </row>
    <row r="290" spans="1:3" x14ac:dyDescent="0.2">
      <c r="A290" s="125" t="s">
        <v>703</v>
      </c>
      <c r="B290" s="137">
        <v>9790840</v>
      </c>
      <c r="C290" s="137"/>
    </row>
    <row r="291" spans="1:3" x14ac:dyDescent="0.2">
      <c r="A291" s="125" t="s">
        <v>704</v>
      </c>
      <c r="B291" s="137">
        <v>0</v>
      </c>
      <c r="C291" s="137"/>
    </row>
    <row r="292" spans="1:3" x14ac:dyDescent="0.2">
      <c r="A292" s="125"/>
      <c r="B292" s="137"/>
      <c r="C292" s="137"/>
    </row>
    <row r="293" spans="1:3" x14ac:dyDescent="0.2">
      <c r="A293" s="125" t="s">
        <v>705</v>
      </c>
      <c r="B293" s="137">
        <v>70782804</v>
      </c>
      <c r="C293" s="137"/>
    </row>
    <row r="294" spans="1:3" x14ac:dyDescent="0.2">
      <c r="A294" s="125" t="s">
        <v>706</v>
      </c>
      <c r="B294" s="137">
        <v>17586165</v>
      </c>
      <c r="C294" s="137"/>
    </row>
    <row r="295" spans="1:3" x14ac:dyDescent="0.2">
      <c r="A295" s="125" t="s">
        <v>707</v>
      </c>
      <c r="B295" s="137">
        <v>53196639</v>
      </c>
      <c r="C295" s="137"/>
    </row>
    <row r="296" spans="1:3" x14ac:dyDescent="0.2">
      <c r="A296" s="125" t="s">
        <v>708</v>
      </c>
      <c r="B296" s="137">
        <v>122295</v>
      </c>
      <c r="C296" s="137"/>
    </row>
    <row r="297" spans="1:3" ht="15" x14ac:dyDescent="0.25">
      <c r="A297" s="129" t="s">
        <v>709</v>
      </c>
      <c r="B297" s="140">
        <v>114848</v>
      </c>
      <c r="C297" s="140"/>
    </row>
    <row r="298" spans="1:3" x14ac:dyDescent="0.2">
      <c r="A298" s="125"/>
      <c r="B298" s="137"/>
      <c r="C298" s="137"/>
    </row>
    <row r="299" spans="1:3" x14ac:dyDescent="0.2">
      <c r="A299" s="125" t="s">
        <v>710</v>
      </c>
      <c r="B299" s="137">
        <v>4926459</v>
      </c>
      <c r="C299" s="137"/>
    </row>
    <row r="300" spans="1:3" x14ac:dyDescent="0.2">
      <c r="A300" s="125" t="s">
        <v>711</v>
      </c>
      <c r="B300" s="137">
        <v>1267151</v>
      </c>
      <c r="C300" s="137"/>
    </row>
    <row r="301" spans="1:3" x14ac:dyDescent="0.2">
      <c r="A301" s="125" t="s">
        <v>712</v>
      </c>
      <c r="B301" s="137">
        <v>3659308</v>
      </c>
      <c r="C301" s="137"/>
    </row>
    <row r="302" spans="1:3" x14ac:dyDescent="0.2">
      <c r="A302" s="125" t="s">
        <v>713</v>
      </c>
      <c r="B302" s="137">
        <v>92338.87</v>
      </c>
      <c r="C302" s="137"/>
    </row>
    <row r="303" spans="1:3" x14ac:dyDescent="0.2">
      <c r="A303" s="125" t="s">
        <v>714</v>
      </c>
      <c r="B303" s="137">
        <v>52398.63</v>
      </c>
      <c r="C303" s="137"/>
    </row>
    <row r="304" spans="1:3" x14ac:dyDescent="0.2">
      <c r="A304" s="125" t="s">
        <v>715</v>
      </c>
      <c r="B304" s="137">
        <v>168438.9</v>
      </c>
      <c r="C304" s="137"/>
    </row>
    <row r="305" spans="1:3" ht="15" x14ac:dyDescent="0.25">
      <c r="A305" s="138" t="s">
        <v>564</v>
      </c>
      <c r="B305" s="122"/>
      <c r="C305" s="122"/>
    </row>
    <row r="306" spans="1:3" ht="15.75" thickBot="1" x14ac:dyDescent="0.3">
      <c r="A306" s="139"/>
      <c r="B306" s="139"/>
      <c r="C306" s="139"/>
    </row>
    <row r="307" spans="1:3" x14ac:dyDescent="0.2">
      <c r="A307" s="123" t="s">
        <v>716</v>
      </c>
      <c r="B307" s="136">
        <v>84.24</v>
      </c>
      <c r="C307" s="136">
        <f t="shared" ref="C307" si="12">+B307/12*365</f>
        <v>2562.2999999999997</v>
      </c>
    </row>
    <row r="308" spans="1:3" x14ac:dyDescent="0.2">
      <c r="A308" s="125" t="s">
        <v>717</v>
      </c>
      <c r="B308" s="137">
        <v>475543486</v>
      </c>
      <c r="C308" s="137"/>
    </row>
    <row r="309" spans="1:3" x14ac:dyDescent="0.2">
      <c r="A309" s="125" t="s">
        <v>718</v>
      </c>
      <c r="B309" s="137">
        <v>0</v>
      </c>
      <c r="C309" s="137"/>
    </row>
    <row r="310" spans="1:3" x14ac:dyDescent="0.2">
      <c r="A310" s="125" t="s">
        <v>719</v>
      </c>
      <c r="B310" s="137">
        <v>0</v>
      </c>
      <c r="C310" s="137"/>
    </row>
    <row r="311" spans="1:3" x14ac:dyDescent="0.2">
      <c r="A311" s="125" t="s">
        <v>720</v>
      </c>
      <c r="B311" s="137">
        <v>39787859</v>
      </c>
      <c r="C311" s="137"/>
    </row>
    <row r="312" spans="1:3" x14ac:dyDescent="0.2">
      <c r="A312" s="125" t="s">
        <v>721</v>
      </c>
      <c r="B312" s="137">
        <v>61835957</v>
      </c>
      <c r="C312" s="137"/>
    </row>
    <row r="313" spans="1:3" x14ac:dyDescent="0.2">
      <c r="A313" s="125"/>
      <c r="B313" s="137"/>
      <c r="C313" s="137"/>
    </row>
    <row r="314" spans="1:3" x14ac:dyDescent="0.2">
      <c r="A314" s="125" t="s">
        <v>722</v>
      </c>
      <c r="B314" s="137">
        <v>161001861</v>
      </c>
      <c r="C314" s="137"/>
    </row>
    <row r="315" spans="1:3" x14ac:dyDescent="0.2">
      <c r="A315" s="125" t="s">
        <v>723</v>
      </c>
      <c r="B315" s="137">
        <v>38373380</v>
      </c>
      <c r="C315" s="137"/>
    </row>
    <row r="316" spans="1:3" x14ac:dyDescent="0.2">
      <c r="A316" s="125" t="s">
        <v>724</v>
      </c>
      <c r="B316" s="137">
        <v>122628481</v>
      </c>
      <c r="C316" s="137"/>
    </row>
    <row r="317" spans="1:3" x14ac:dyDescent="0.2">
      <c r="A317" s="125" t="s">
        <v>725</v>
      </c>
      <c r="B317" s="137">
        <v>261750</v>
      </c>
      <c r="C317" s="137"/>
    </row>
    <row r="318" spans="1:3" ht="15" x14ac:dyDescent="0.25">
      <c r="A318" s="129" t="s">
        <v>726</v>
      </c>
      <c r="B318" s="140">
        <v>245811.06341224088</v>
      </c>
      <c r="C318" s="140"/>
    </row>
    <row r="319" spans="1:3" x14ac:dyDescent="0.2">
      <c r="A319" s="125"/>
      <c r="B319" s="137"/>
      <c r="C319" s="137"/>
    </row>
    <row r="320" spans="1:3" x14ac:dyDescent="0.2">
      <c r="A320" s="125" t="s">
        <v>727</v>
      </c>
      <c r="B320" s="137">
        <v>314541625</v>
      </c>
      <c r="C320" s="137"/>
    </row>
    <row r="321" spans="1:3" x14ac:dyDescent="0.2">
      <c r="A321" s="125" t="s">
        <v>728</v>
      </c>
      <c r="B321" s="137">
        <v>76352811</v>
      </c>
      <c r="C321" s="137"/>
    </row>
    <row r="322" spans="1:3" x14ac:dyDescent="0.2">
      <c r="A322" s="125" t="s">
        <v>729</v>
      </c>
      <c r="B322" s="137">
        <v>238188813</v>
      </c>
      <c r="C322" s="137"/>
    </row>
    <row r="323" spans="1:3" x14ac:dyDescent="0.2">
      <c r="A323" s="125" t="s">
        <v>730</v>
      </c>
      <c r="B323" s="137">
        <v>2366006.0699999998</v>
      </c>
      <c r="C323" s="137"/>
    </row>
    <row r="324" spans="1:3" x14ac:dyDescent="0.2">
      <c r="A324" s="125" t="s">
        <v>731</v>
      </c>
      <c r="B324" s="137">
        <v>550975.23</v>
      </c>
      <c r="C324" s="137"/>
    </row>
    <row r="325" spans="1:3" x14ac:dyDescent="0.2">
      <c r="A325" s="125" t="s">
        <v>732</v>
      </c>
      <c r="B325" s="137">
        <v>10500072.84</v>
      </c>
      <c r="C325" s="137"/>
    </row>
    <row r="326" spans="1:3" ht="15" x14ac:dyDescent="0.25">
      <c r="A326" s="116"/>
      <c r="B326" s="61"/>
      <c r="C326" s="61"/>
    </row>
    <row r="327" spans="1:3" x14ac:dyDescent="0.2">
      <c r="A327" s="95" t="s">
        <v>565</v>
      </c>
      <c r="B327" s="115">
        <v>0</v>
      </c>
      <c r="C327" s="115">
        <f t="shared" ref="C327:C328" si="13">+B327/12*365</f>
        <v>0</v>
      </c>
    </row>
    <row r="328" spans="1:3" x14ac:dyDescent="0.2">
      <c r="A328" s="95" t="s">
        <v>566</v>
      </c>
      <c r="B328" s="115">
        <v>2783</v>
      </c>
      <c r="C328" s="115">
        <f t="shared" si="13"/>
        <v>84649.583333333328</v>
      </c>
    </row>
    <row r="329" spans="1:3" x14ac:dyDescent="0.2">
      <c r="A329" s="95" t="s">
        <v>567</v>
      </c>
      <c r="B329" s="115">
        <v>93305130.339577928</v>
      </c>
      <c r="C329" s="115"/>
    </row>
    <row r="330" spans="1:3" x14ac:dyDescent="0.2">
      <c r="A330" s="96" t="s">
        <v>568</v>
      </c>
      <c r="B330" s="141">
        <v>17398102.289000001</v>
      </c>
      <c r="C330" s="141"/>
    </row>
    <row r="331" spans="1:3" ht="15" x14ac:dyDescent="0.25">
      <c r="A331" s="116"/>
      <c r="B331" s="61"/>
      <c r="C331" s="61"/>
    </row>
    <row r="332" spans="1:3" x14ac:dyDescent="0.2">
      <c r="A332" s="95" t="s">
        <v>522</v>
      </c>
      <c r="B332" s="115">
        <v>0</v>
      </c>
      <c r="C332" s="115">
        <f t="shared" ref="C332:C333" si="14">+B332/12*365</f>
        <v>0</v>
      </c>
    </row>
    <row r="333" spans="1:3" x14ac:dyDescent="0.2">
      <c r="A333" s="95" t="s">
        <v>523</v>
      </c>
      <c r="B333" s="115">
        <v>0</v>
      </c>
      <c r="C333" s="115">
        <f t="shared" si="14"/>
        <v>0</v>
      </c>
    </row>
    <row r="334" spans="1:3" x14ac:dyDescent="0.2">
      <c r="A334" s="95" t="s">
        <v>524</v>
      </c>
      <c r="B334" s="115">
        <v>0</v>
      </c>
      <c r="C334" s="115"/>
    </row>
    <row r="335" spans="1:3" x14ac:dyDescent="0.2">
      <c r="A335" s="96" t="s">
        <v>525</v>
      </c>
      <c r="B335" s="141">
        <v>0</v>
      </c>
      <c r="C335" s="141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4" ma:contentTypeDescription="Create a new document." ma:contentTypeScope="" ma:versionID="e2b9750623e9e809d78ee09474a05ce2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87123375e93d0f6cbdbe1f9c6a12d70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36E3CB-BC22-4F0D-BA4A-BA1DE3E00591}"/>
</file>

<file path=customXml/itemProps2.xml><?xml version="1.0" encoding="utf-8"?>
<ds:datastoreItem xmlns:ds="http://schemas.openxmlformats.org/officeDocument/2006/customXml" ds:itemID="{BA9704E9-05B3-4211-A168-18D1AF4CC37C}"/>
</file>

<file path=customXml/itemProps3.xml><?xml version="1.0" encoding="utf-8"?>
<ds:datastoreItem xmlns:ds="http://schemas.openxmlformats.org/officeDocument/2006/customXml" ds:itemID="{1D9CF156-F6DC-4DF0-AA0F-A85D0F96E8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A-2 for RS_GS_GSD</vt:lpstr>
      <vt:lpstr>A-2 FOR GSLDPR_GSLDTPR_GSLDSU_G</vt:lpstr>
      <vt:lpstr>E-13a</vt:lpstr>
      <vt:lpstr>E-13c</vt:lpstr>
      <vt:lpstr>Rates</vt:lpstr>
      <vt:lpstr>ECCR Billing Determinants</vt:lpstr>
      <vt:lpstr>'A-2 FOR GSLDPR_GSLDTPR_GSLDSU_G'!Print_Area</vt:lpstr>
      <vt:lpstr>'A-2 for RS_GS_GSD'!Print_Area</vt:lpstr>
      <vt:lpstr>'E-13a'!Print_Area</vt:lpstr>
      <vt:lpstr>'E-13c'!Print_Area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2022-07-08T18:27:55Z</dcterms:created>
  <dcterms:modified xsi:type="dcterms:W3CDTF">2022-07-08T18:27:59Z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SiteId">
    <vt:lpwstr>fa8c194a-f8e2-43c5-bc39-b637579e39e0</vt:lpwstr>
  </property>
  <property fmtid="{D5CDD505-2E9C-101B-9397-08002B2CF9AE}" pid="3" name="MSIP_Label_a83f872e-d8d7-43ac-9961-0f2ad31e50e5_Method">
    <vt:lpwstr>Standard</vt:lpwstr>
  </property>
  <property fmtid="{D5CDD505-2E9C-101B-9397-08002B2CF9AE}" pid="4" name="MSIP_Label_a83f872e-d8d7-43ac-9961-0f2ad31e50e5_SetDate">
    <vt:lpwstr>2021-07-27T21:36:04Z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ContentTypeId">
    <vt:lpwstr>0x01010093961404F3F6B34988E14CCD792B016F</vt:lpwstr>
  </property>
  <property fmtid="{D5CDD505-2E9C-101B-9397-08002B2CF9AE}" pid="7" name="MSIP_Label_a83f872e-d8d7-43ac-9961-0f2ad31e50e5_ActionId">
    <vt:lpwstr>8ea01d3a-1548-4d4d-b3a5-6e7220e6568a</vt:lpwstr>
  </property>
  <property fmtid="{D5CDD505-2E9C-101B-9397-08002B2CF9AE}" pid="8" name="MSIP_Label_a83f872e-d8d7-43ac-9961-0f2ad31e50e5_ContentBits">
    <vt:lpwstr>0</vt:lpwstr>
  </property>
  <property fmtid="{D5CDD505-2E9C-101B-9397-08002B2CF9AE}" pid="9" name="MSIP_Label_a83f872e-d8d7-43ac-9961-0f2ad31e50e5_Enabled">
    <vt:lpwstr>true</vt:lpwstr>
  </property>
</Properties>
</file>