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ul\Documents\2202\Interrogatories\POD 01-01\"/>
    </mc:Choice>
  </mc:AlternateContent>
  <xr:revisionPtr revIDLastSave="0" documentId="13_ncr:1_{C8ADADBD-819C-422D-BB7B-4A07F0466A66}" xr6:coauthVersionLast="47" xr6:coauthVersionMax="47" xr10:uidLastSave="{00000000-0000-0000-0000-000000000000}"/>
  <bookViews>
    <workbookView xWindow="4140" yWindow="4140" windowWidth="21600" windowHeight="11423" tabRatio="952" xr2:uid="{00000000-000D-0000-FFFF-FFFF00000000}"/>
  </bookViews>
  <sheets>
    <sheet name="Page 1" sheetId="18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'Page 1'!$A$1:$O$52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8" i="18" l="1"/>
  <c r="L88" i="18"/>
  <c r="J88" i="18"/>
  <c r="J60" i="18"/>
  <c r="J58" i="18"/>
  <c r="H83" i="18" l="1"/>
  <c r="H60" i="18"/>
  <c r="D88" i="18" l="1"/>
  <c r="D83" i="18"/>
  <c r="D60" i="18"/>
  <c r="D58" i="18"/>
  <c r="F58" i="18"/>
  <c r="H58" i="18"/>
  <c r="F60" i="18"/>
  <c r="F78" i="18"/>
  <c r="H78" i="18"/>
  <c r="F83" i="18"/>
  <c r="F88" i="18"/>
  <c r="H88" i="18"/>
  <c r="D49" i="18" l="1"/>
  <c r="D50" i="18"/>
  <c r="D78" i="18"/>
  <c r="D8" i="18" s="1"/>
  <c r="L30" i="18"/>
  <c r="J30" i="18"/>
  <c r="H30" i="18"/>
  <c r="F30" i="18"/>
  <c r="D30" i="18"/>
  <c r="L8" i="18"/>
  <c r="L21" i="18" s="1"/>
  <c r="L9" i="18"/>
  <c r="J8" i="18"/>
  <c r="J9" i="18"/>
  <c r="H8" i="18"/>
  <c r="H9" i="18"/>
  <c r="F8" i="18"/>
  <c r="F20" i="18" s="1"/>
  <c r="F9" i="18"/>
  <c r="D9" i="18"/>
  <c r="J16" i="18"/>
  <c r="J108" i="18"/>
  <c r="J109" i="18"/>
  <c r="J105" i="18"/>
  <c r="J13" i="18" s="1"/>
  <c r="L108" i="18"/>
  <c r="L109" i="18"/>
  <c r="L105" i="18"/>
  <c r="H108" i="18"/>
  <c r="H109" i="18"/>
  <c r="H105" i="18"/>
  <c r="H13" i="18" s="1"/>
  <c r="F108" i="18"/>
  <c r="F109" i="18"/>
  <c r="F105" i="18"/>
  <c r="D105" i="18"/>
  <c r="F50" i="18"/>
  <c r="H50" i="18"/>
  <c r="J50" i="18"/>
  <c r="L50" i="18"/>
  <c r="F49" i="18"/>
  <c r="H49" i="18"/>
  <c r="J49" i="18"/>
  <c r="L49" i="18"/>
  <c r="N111" i="18"/>
  <c r="N112" i="18" s="1"/>
  <c r="L111" i="18"/>
  <c r="L112" i="18" s="1"/>
  <c r="J111" i="18"/>
  <c r="J112" i="18" s="1"/>
  <c r="H111" i="18"/>
  <c r="H112" i="18" s="1"/>
  <c r="F111" i="18"/>
  <c r="F112" i="18"/>
  <c r="D111" i="18"/>
  <c r="D112" i="18" s="1"/>
  <c r="N110" i="18"/>
  <c r="L110" i="18"/>
  <c r="J110" i="18"/>
  <c r="H110" i="18"/>
  <c r="F110" i="18"/>
  <c r="D110" i="18"/>
  <c r="N109" i="18"/>
  <c r="N108" i="18"/>
  <c r="N107" i="18"/>
  <c r="L107" i="18"/>
  <c r="J107" i="18"/>
  <c r="H107" i="18"/>
  <c r="F107" i="18"/>
  <c r="D107" i="18"/>
  <c r="N106" i="18"/>
  <c r="L106" i="18"/>
  <c r="L15" i="18" s="1"/>
  <c r="J106" i="18"/>
  <c r="J15" i="18" s="1"/>
  <c r="H106" i="18"/>
  <c r="F106" i="18"/>
  <c r="D106" i="18"/>
  <c r="N105" i="18"/>
  <c r="D46" i="18"/>
  <c r="F46" i="18"/>
  <c r="H46" i="18"/>
  <c r="J46" i="18"/>
  <c r="L46" i="18"/>
  <c r="L42" i="18"/>
  <c r="J42" i="18"/>
  <c r="H42" i="18"/>
  <c r="F42" i="18"/>
  <c r="D42" i="18"/>
  <c r="L41" i="18"/>
  <c r="J41" i="18"/>
  <c r="H41" i="18"/>
  <c r="F41" i="18"/>
  <c r="D41" i="18"/>
  <c r="L40" i="18"/>
  <c r="J40" i="18"/>
  <c r="H40" i="18"/>
  <c r="F40" i="18"/>
  <c r="D40" i="18"/>
  <c r="L37" i="18"/>
  <c r="J37" i="18"/>
  <c r="H37" i="18"/>
  <c r="F37" i="18"/>
  <c r="D37" i="18"/>
  <c r="L36" i="18"/>
  <c r="J36" i="18"/>
  <c r="H36" i="18"/>
  <c r="F36" i="18"/>
  <c r="D36" i="18"/>
  <c r="L35" i="18"/>
  <c r="J35" i="18"/>
  <c r="H35" i="18"/>
  <c r="F35" i="18"/>
  <c r="D35" i="18"/>
  <c r="L48" i="18"/>
  <c r="J48" i="18"/>
  <c r="F48" i="18"/>
  <c r="H48" i="18"/>
  <c r="L47" i="18"/>
  <c r="F47" i="18"/>
  <c r="H47" i="18"/>
  <c r="J47" i="18"/>
  <c r="D45" i="18"/>
  <c r="F45" i="18"/>
  <c r="H45" i="18"/>
  <c r="J45" i="18"/>
  <c r="L45" i="18"/>
  <c r="D32" i="18"/>
  <c r="F32" i="18"/>
  <c r="H32" i="18"/>
  <c r="J32" i="18"/>
  <c r="L32" i="18"/>
  <c r="L20" i="18"/>
  <c r="D16" i="18"/>
  <c r="F16" i="18"/>
  <c r="H16" i="18"/>
  <c r="L16" i="18"/>
  <c r="L5" i="18"/>
  <c r="J5" i="18"/>
  <c r="H5" i="18"/>
  <c r="F5" i="18"/>
  <c r="D5" i="18"/>
  <c r="A1" i="18"/>
  <c r="J22" i="18"/>
  <c r="L10" i="18"/>
  <c r="L25" i="18" s="1"/>
  <c r="J20" i="18"/>
  <c r="L22" i="18"/>
  <c r="J21" i="18"/>
  <c r="D47" i="18"/>
  <c r="D48" i="18"/>
  <c r="H10" i="18" l="1"/>
  <c r="H21" i="18"/>
  <c r="H22" i="18"/>
  <c r="H20" i="18"/>
  <c r="N48" i="18"/>
  <c r="N37" i="18"/>
  <c r="F21" i="18"/>
  <c r="H23" i="18"/>
  <c r="J10" i="18"/>
  <c r="J25" i="18" s="1"/>
  <c r="F22" i="18"/>
  <c r="N35" i="18"/>
  <c r="N47" i="18"/>
  <c r="L26" i="18"/>
  <c r="J23" i="18"/>
  <c r="N46" i="18"/>
  <c r="F23" i="18"/>
  <c r="N41" i="18"/>
  <c r="F15" i="18"/>
  <c r="L13" i="18"/>
  <c r="N50" i="18"/>
  <c r="H15" i="18"/>
  <c r="F14" i="18"/>
  <c r="J14" i="18"/>
  <c r="L23" i="18"/>
  <c r="L14" i="18"/>
  <c r="F13" i="18"/>
  <c r="F10" i="18"/>
  <c r="F27" i="18" s="1"/>
  <c r="N49" i="18"/>
  <c r="N30" i="18"/>
  <c r="D10" i="18"/>
  <c r="D20" i="18"/>
  <c r="D21" i="18"/>
  <c r="N21" i="18" s="1"/>
  <c r="D22" i="18"/>
  <c r="D14" i="18"/>
  <c r="D13" i="18"/>
  <c r="N16" i="18"/>
  <c r="N45" i="18"/>
  <c r="N36" i="18"/>
  <c r="N42" i="18"/>
  <c r="N40" i="18"/>
  <c r="H26" i="18"/>
  <c r="H25" i="18"/>
  <c r="H27" i="18"/>
  <c r="H14" i="18"/>
  <c r="J27" i="18"/>
  <c r="J26" i="18"/>
  <c r="L27" i="18"/>
  <c r="N32" i="18"/>
  <c r="D15" i="18"/>
  <c r="N15" i="18" s="1"/>
  <c r="F26" i="18" l="1"/>
  <c r="F25" i="18"/>
  <c r="L28" i="18"/>
  <c r="N22" i="18"/>
  <c r="N13" i="18"/>
  <c r="J28" i="18"/>
  <c r="N14" i="18"/>
  <c r="N20" i="18"/>
  <c r="D23" i="18"/>
  <c r="N23" i="18" s="1"/>
  <c r="D26" i="18"/>
  <c r="N26" i="18" s="1"/>
  <c r="D25" i="18"/>
  <c r="D27" i="18"/>
  <c r="H28" i="18"/>
  <c r="F28" i="18"/>
  <c r="D28" i="18" l="1"/>
  <c r="N25" i="18"/>
  <c r="N27" i="18"/>
  <c r="N28" i="18"/>
</calcChain>
</file>

<file path=xl/sharedStrings.xml><?xml version="1.0" encoding="utf-8"?>
<sst xmlns="http://schemas.openxmlformats.org/spreadsheetml/2006/main" count="152" uniqueCount="88">
  <si>
    <t>Capitalization and Financial Statistics</t>
  </si>
  <si>
    <t>Amount of Capital Employed</t>
  </si>
  <si>
    <t>Capital Structure Ratios</t>
  </si>
  <si>
    <t>x</t>
  </si>
  <si>
    <t>See Page 2 for Notes.</t>
  </si>
  <si>
    <t>Short-Term Debt</t>
  </si>
  <si>
    <t>Permanent Capital</t>
  </si>
  <si>
    <t>Total Capital</t>
  </si>
  <si>
    <t>Market-Based Financial Ratios</t>
  </si>
  <si>
    <t>Dividend Yield</t>
  </si>
  <si>
    <t>Dividend Payout Ratio</t>
  </si>
  <si>
    <t>Based on Permanent Captial:</t>
  </si>
  <si>
    <t>Based on Total Capital:</t>
  </si>
  <si>
    <t>Pre-tax: All Interest Charges</t>
  </si>
  <si>
    <t>Overall Coverage: All Int. &amp; Pfd. Div.</t>
  </si>
  <si>
    <t>Quality of Earnings &amp; Cash Flow</t>
  </si>
  <si>
    <t>AFC/Income Avail. for Common Equity</t>
  </si>
  <si>
    <t>Effective Income Tax Rate</t>
  </si>
  <si>
    <t>(Millions of Dollars)</t>
  </si>
  <si>
    <t>Average</t>
  </si>
  <si>
    <t>Market/Book Ratio</t>
  </si>
  <si>
    <t>Post-tax: All Interest Charges</t>
  </si>
  <si>
    <t>I/S - Operating Revs-Total (MM$)</t>
  </si>
  <si>
    <t>I/S - Operating Inc Taxes-Total (MM$)</t>
  </si>
  <si>
    <t>I/S - Operating Exps-Total (MM$)</t>
  </si>
  <si>
    <t>I/S - Nonoperating Inc Taxes-Net (MM$)</t>
  </si>
  <si>
    <t>I/S - Gross Inc (Inc Bef Int) (MM$)</t>
  </si>
  <si>
    <t>I/S - Interest Charges-Total (MM$)</t>
  </si>
  <si>
    <t>I/S - Allow for Funds Used During Const-Total (MM$)</t>
  </si>
  <si>
    <t>I/S - Subsidiary Preferred Dividends (MM$)</t>
  </si>
  <si>
    <t>I/S - Pref. Dividend Requirements (MM$)</t>
  </si>
  <si>
    <t>I/S - Preference Div. Requirements (MM$)</t>
  </si>
  <si>
    <t>I/S - Available for Common After Adj. for Common SE (MM$)</t>
  </si>
  <si>
    <t>I/S - Earnings/Share (Primary) Excl. Extra. Items ($&amp;¢)</t>
  </si>
  <si>
    <t>B/S - Common Equity-Total (MM$)</t>
  </si>
  <si>
    <t>B/S - Subsidiary Preferred Stock at Carrying Value (MM$)</t>
  </si>
  <si>
    <t>B/S - Premium on Subsidiary Preferred Stock (MM$)</t>
  </si>
  <si>
    <t>B/S - Preferred Stock at Carrying Value (MM$)</t>
  </si>
  <si>
    <t>B/S - Premium on Preferred Stock (MM$)</t>
  </si>
  <si>
    <t>B/S - Preference Stock at Carrying Value (MM$)</t>
  </si>
  <si>
    <t>B/S - Premium on Preference Stock (MM$)</t>
  </si>
  <si>
    <t>B/S - Minority Interest (MM$)</t>
  </si>
  <si>
    <t>B/S - Long-Term Debt (Total) (MM$)</t>
  </si>
  <si>
    <t>B/S - Treasury Stock-Dollar Amount-Preferred (MM$)</t>
  </si>
  <si>
    <t>B/S - Capitalization (MM$)</t>
  </si>
  <si>
    <t>B/S - Debt (Long-Term Due Within One Year) (MM$)</t>
  </si>
  <si>
    <t>B/S - Short-Term Debt (Total) (MM$)</t>
  </si>
  <si>
    <t>B/S - Pref/Preference Stock Sinking Fund Requirement (MM$)</t>
  </si>
  <si>
    <t>C/F - Net Inc Bef Extra Items &amp; After MI (MM$)</t>
  </si>
  <si>
    <t>C/F - Depr. and Depl. (MM$)</t>
  </si>
  <si>
    <t>C/F - Amortization (MM$)</t>
  </si>
  <si>
    <t>C/F - Def. Inc Taxes-Net (MM$)</t>
  </si>
  <si>
    <t>C/F - Invest. Tax Credit-Net (MM$)</t>
  </si>
  <si>
    <t>C/F - Allow for Funds Used During Constr. (MM$)</t>
  </si>
  <si>
    <t>C/F - Util Plant-Gross Additions (MM$)</t>
  </si>
  <si>
    <t>C/F - Cash Div on Common Stock (MM$)</t>
  </si>
  <si>
    <t>C/F - Cash Div on Pref/Preference Stock (MM$)</t>
  </si>
  <si>
    <t>C/F - Interest Paid-Net (MM$)</t>
  </si>
  <si>
    <t>C/F - Inc Taxes Paid (MM$)</t>
  </si>
  <si>
    <t>Common Dividends (MM$)</t>
  </si>
  <si>
    <t>Common Div. Paid per Share by Ex-Date ($&amp;¢)</t>
  </si>
  <si>
    <t>Common Dividends Paid/Share by Payable Date ($&amp;¢)</t>
  </si>
  <si>
    <t>Price-High ($&amp;¢)</t>
  </si>
  <si>
    <t>Price-Low ($&amp;¢)</t>
  </si>
  <si>
    <t>Price-Close ($&amp;¢)</t>
  </si>
  <si>
    <t>Common Shares Outstanding (MM)</t>
  </si>
  <si>
    <t>Book Value per Share</t>
  </si>
  <si>
    <t>Adjustment Factor (Cumulative) by Ex-Date (RATIO)</t>
  </si>
  <si>
    <t>Adjustment Factor (Cumulative)-Payable Date (Ratio)</t>
  </si>
  <si>
    <t>C/F - Other Internal Sources-Net (MM$)</t>
  </si>
  <si>
    <t>Earnings/Share (Primary) Excl. Extra. Items ($&amp;¢)</t>
  </si>
  <si>
    <t>Per Share (or Shares) Adjusted for Splits/Stock Dividends</t>
  </si>
  <si>
    <t>Price-Earnings Multiple</t>
  </si>
  <si>
    <t>Other Comprehensive Income</t>
  </si>
  <si>
    <t>Long-Term Debt</t>
  </si>
  <si>
    <t>Preferred Stock</t>
  </si>
  <si>
    <r>
      <t xml:space="preserve">Common Equity </t>
    </r>
    <r>
      <rPr>
        <vertAlign val="superscript"/>
        <sz val="12"/>
        <rFont val="Arial"/>
        <family val="2"/>
      </rPr>
      <t>(1)</t>
    </r>
  </si>
  <si>
    <t>Total Debt incl. Short Term</t>
  </si>
  <si>
    <r>
      <t xml:space="preserve">Rate of Return on Book Common Equity </t>
    </r>
    <r>
      <rPr>
        <vertAlign val="superscript"/>
        <sz val="12"/>
        <rFont val="Arial"/>
        <family val="2"/>
      </rPr>
      <t>(1)</t>
    </r>
  </si>
  <si>
    <r>
      <t xml:space="preserve">Operating Ratio </t>
    </r>
    <r>
      <rPr>
        <vertAlign val="superscript"/>
        <sz val="12"/>
        <rFont val="Arial"/>
        <family val="2"/>
      </rPr>
      <t>(2)</t>
    </r>
  </si>
  <si>
    <r>
      <t xml:space="preserve">Coverage incl. AFUDC </t>
    </r>
    <r>
      <rPr>
        <vertAlign val="superscript"/>
        <sz val="12"/>
        <rFont val="Arial"/>
        <family val="2"/>
      </rPr>
      <t>(3)</t>
    </r>
  </si>
  <si>
    <t>2017-2021, Inclusive</t>
  </si>
  <si>
    <t>Chesapeake Utilities Corporation</t>
  </si>
  <si>
    <r>
      <t xml:space="preserve">Coverage excl. AFUDC </t>
    </r>
    <r>
      <rPr>
        <vertAlign val="superscript"/>
        <sz val="12"/>
        <rFont val="Arial"/>
        <family val="2"/>
      </rPr>
      <t>(3)</t>
    </r>
  </si>
  <si>
    <r>
      <t xml:space="preserve">Internal Cash Generation/Construction </t>
    </r>
    <r>
      <rPr>
        <vertAlign val="superscript"/>
        <sz val="12"/>
        <rFont val="Arial"/>
        <family val="2"/>
      </rPr>
      <t>(4)</t>
    </r>
  </si>
  <si>
    <r>
      <t xml:space="preserve">Gross Cash Flow/ Avg. Total Debt </t>
    </r>
    <r>
      <rPr>
        <vertAlign val="superscript"/>
        <sz val="12"/>
        <rFont val="Arial"/>
        <family val="2"/>
      </rPr>
      <t>(5)</t>
    </r>
  </si>
  <si>
    <r>
      <t xml:space="preserve">Gross Cash Flow Interest Coverage </t>
    </r>
    <r>
      <rPr>
        <vertAlign val="superscript"/>
        <sz val="12"/>
        <rFont val="Arial"/>
        <family val="2"/>
      </rPr>
      <t>(6)</t>
    </r>
  </si>
  <si>
    <r>
      <t xml:space="preserve">Common Dividend Coverage </t>
    </r>
    <r>
      <rPr>
        <vertAlign val="superscript"/>
        <sz val="12"/>
        <rFont val="Arial"/>
        <family val="2"/>
      </rPr>
      <t>(7)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</si>
</sst>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_);_(&quot;$&quot;* \(#,##0.0\);_(&quot;$&quot;* &quot;-&quot;??_);_(@_)"/>
    <numFmt numFmtId="165" formatCode="0.0%"/>
    <numFmt numFmtId="166" formatCode="0.000"/>
    <numFmt numFmtId="167" formatCode="_(* #,##0.000_);_(* \(#,##0.000\);_(* &quot;-&quot;??_);_(@_)"/>
  </numFmts>
  <fonts count="8" x14ac:knownFonts="1">
    <font>
      <sz val="12"/>
      <name val="Arial"/>
    </font>
    <font>
      <sz val="12"/>
      <name val="Arial"/>
      <family val="2"/>
    </font>
    <font>
      <u/>
      <sz val="12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vertAlign val="superscript"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0" xfId="0" applyNumberFormat="1"/>
    <xf numFmtId="165" fontId="0" fillId="0" borderId="1" xfId="0" applyNumberFormat="1" applyBorder="1"/>
    <xf numFmtId="165" fontId="0" fillId="0" borderId="2" xfId="0" applyNumberFormat="1" applyBorder="1"/>
    <xf numFmtId="165" fontId="0" fillId="0" borderId="0" xfId="0" applyNumberFormat="1" applyAlignment="1"/>
    <xf numFmtId="2" fontId="0" fillId="0" borderId="0" xfId="0" applyNumberFormat="1"/>
    <xf numFmtId="165" fontId="0" fillId="0" borderId="1" xfId="0" applyNumberFormat="1" applyBorder="1" applyAlignment="1"/>
    <xf numFmtId="165" fontId="0" fillId="0" borderId="2" xfId="0" applyNumberFormat="1" applyBorder="1" applyAlignment="1"/>
    <xf numFmtId="164" fontId="1" fillId="0" borderId="1" xfId="2" applyNumberFormat="1" applyBorder="1"/>
    <xf numFmtId="164" fontId="1" fillId="0" borderId="2" xfId="2" applyNumberFormat="1" applyBorder="1"/>
    <xf numFmtId="165" fontId="1" fillId="0" borderId="0" xfId="3" applyNumberFormat="1"/>
    <xf numFmtId="9" fontId="1" fillId="0" borderId="0" xfId="3"/>
    <xf numFmtId="44" fontId="1" fillId="0" borderId="0" xfId="2"/>
    <xf numFmtId="167" fontId="1" fillId="0" borderId="0" xfId="1" applyNumberFormat="1"/>
    <xf numFmtId="165" fontId="0" fillId="0" borderId="0" xfId="3" applyNumberFormat="1" applyFont="1"/>
    <xf numFmtId="9" fontId="0" fillId="0" borderId="0" xfId="3" applyFont="1"/>
    <xf numFmtId="0" fontId="4" fillId="0" borderId="0" xfId="0" applyFont="1"/>
    <xf numFmtId="0" fontId="5" fillId="0" borderId="0" xfId="0" applyFont="1"/>
    <xf numFmtId="0" fontId="4" fillId="0" borderId="1" xfId="0" applyFont="1" applyBorder="1"/>
    <xf numFmtId="166" fontId="5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2" fontId="1" fillId="0" borderId="0" xfId="1" applyNumberFormat="1" applyAlignment="1"/>
    <xf numFmtId="4" fontId="1" fillId="0" borderId="0" xfId="1" applyNumberFormat="1"/>
    <xf numFmtId="4" fontId="1" fillId="0" borderId="0" xfId="1" applyNumberFormat="1" applyAlignment="1"/>
    <xf numFmtId="3" fontId="0" fillId="0" borderId="0" xfId="0" applyNumberFormat="1"/>
    <xf numFmtId="3" fontId="0" fillId="0" borderId="0" xfId="0" applyNumberFormat="1" applyAlignment="1"/>
    <xf numFmtId="0" fontId="0" fillId="0" borderId="0" xfId="0" applyAlignment="1">
      <alignment horizontal="left" indent="1"/>
    </xf>
    <xf numFmtId="0" fontId="0" fillId="0" borderId="0" xfId="0" quotePrefix="1" applyAlignment="1">
      <alignment horizontal="left" indent="1"/>
    </xf>
    <xf numFmtId="0" fontId="0" fillId="0" borderId="0" xfId="0" quotePrefix="1" applyAlignment="1">
      <alignment horizontal="left"/>
    </xf>
    <xf numFmtId="164" fontId="0" fillId="0" borderId="0" xfId="2" applyNumberFormat="1" applyFont="1"/>
    <xf numFmtId="166" fontId="0" fillId="0" borderId="0" xfId="0" applyNumberFormat="1"/>
    <xf numFmtId="166" fontId="1" fillId="0" borderId="0" xfId="0" applyNumberFormat="1" applyFont="1" applyAlignment="1">
      <alignment horizontal="righ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1" fillId="0" borderId="0" xfId="0" quotePrefix="1" applyFont="1" applyAlignment="1">
      <alignment horizontal="left"/>
    </xf>
    <xf numFmtId="0" fontId="3" fillId="0" borderId="0" xfId="0" quotePrefix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imanage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112"/>
  <sheetViews>
    <sheetView tabSelected="1" zoomScale="85" zoomScaleNormal="85" workbookViewId="0">
      <selection sqref="A1:O1"/>
    </sheetView>
  </sheetViews>
  <sheetFormatPr defaultRowHeight="15" x14ac:dyDescent="0.4"/>
  <cols>
    <col min="1" max="1" width="2.6640625" customWidth="1"/>
    <col min="2" max="2" width="24.71875" customWidth="1"/>
    <col min="4" max="4" width="10.21875" customWidth="1"/>
    <col min="5" max="5" width="3.71875" customWidth="1"/>
    <col min="6" max="6" width="10.21875" customWidth="1"/>
    <col min="7" max="7" width="3.71875" customWidth="1"/>
    <col min="8" max="8" width="10.21875" customWidth="1"/>
    <col min="9" max="9" width="3.71875" customWidth="1"/>
    <col min="10" max="10" width="10.21875" customWidth="1"/>
    <col min="11" max="11" width="3.71875" customWidth="1"/>
    <col min="12" max="12" width="10.21875" customWidth="1"/>
    <col min="13" max="13" width="3.71875" customWidth="1"/>
    <col min="14" max="14" width="8.71875" customWidth="1"/>
    <col min="15" max="15" width="2.71875" customWidth="1"/>
  </cols>
  <sheetData>
    <row r="1" spans="1:15" x14ac:dyDescent="0.4">
      <c r="A1" s="38" t="str">
        <f>A54</f>
        <v>Chesapeake Utilities Corporation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x14ac:dyDescent="0.4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x14ac:dyDescent="0.4">
      <c r="A3" s="40" t="s">
        <v>81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5" spans="1:15" s="1" customFormat="1" x14ac:dyDescent="0.4">
      <c r="D5" s="2">
        <f>D55</f>
        <v>2021</v>
      </c>
      <c r="F5" s="2">
        <f>F55</f>
        <v>2020</v>
      </c>
      <c r="H5" s="2">
        <f>H55</f>
        <v>2019</v>
      </c>
      <c r="J5" s="2">
        <f>J55</f>
        <v>2018</v>
      </c>
      <c r="L5" s="2">
        <f>L55</f>
        <v>2017</v>
      </c>
    </row>
    <row r="6" spans="1:15" s="1" customFormat="1" x14ac:dyDescent="0.4">
      <c r="D6" s="37" t="s">
        <v>18</v>
      </c>
      <c r="E6" s="37"/>
      <c r="F6" s="37"/>
      <c r="G6" s="37"/>
      <c r="H6" s="37"/>
      <c r="I6" s="37"/>
      <c r="J6" s="37"/>
      <c r="K6" s="37"/>
      <c r="L6" s="37"/>
    </row>
    <row r="7" spans="1:15" x14ac:dyDescent="0.4">
      <c r="A7" t="s">
        <v>1</v>
      </c>
    </row>
    <row r="8" spans="1:15" x14ac:dyDescent="0.4">
      <c r="B8" t="s">
        <v>6</v>
      </c>
      <c r="D8" s="31">
        <f>D78+D79+D81-D103</f>
        <v>1340.6919999999998</v>
      </c>
      <c r="F8" s="31">
        <f>F78+F79+F81-F103</f>
        <v>1222.049</v>
      </c>
      <c r="H8" s="31">
        <f>H78+H79+H81-H103</f>
        <v>1053.6120000000001</v>
      </c>
      <c r="J8" s="31">
        <f>J78+J79+J81-J103</f>
        <v>853.10699999999986</v>
      </c>
      <c r="L8" s="31">
        <f>L78+L79+L81-L103</f>
        <v>697.38200000000006</v>
      </c>
    </row>
    <row r="9" spans="1:15" x14ac:dyDescent="0.4">
      <c r="B9" t="s">
        <v>5</v>
      </c>
      <c r="D9" s="10">
        <f>D80</f>
        <v>221.63399999999999</v>
      </c>
      <c r="F9" s="10">
        <f>F80</f>
        <v>175.64400000000001</v>
      </c>
      <c r="H9" s="10">
        <f>H80</f>
        <v>247.37100000000001</v>
      </c>
      <c r="J9" s="10">
        <f>J80</f>
        <v>294.45800000000003</v>
      </c>
      <c r="L9" s="10">
        <f>L80</f>
        <v>250.96899999999999</v>
      </c>
    </row>
    <row r="10" spans="1:15" ht="15.4" thickBot="1" x14ac:dyDescent="0.45">
      <c r="B10" t="s">
        <v>7</v>
      </c>
      <c r="D10" s="11">
        <f>D8+D9</f>
        <v>1562.3259999999998</v>
      </c>
      <c r="F10" s="11">
        <f>F8+F9</f>
        <v>1397.693</v>
      </c>
      <c r="H10" s="11">
        <f>H8+H9</f>
        <v>1300.9830000000002</v>
      </c>
      <c r="J10" s="11">
        <f>J8+J9</f>
        <v>1147.5649999999998</v>
      </c>
      <c r="L10" s="11">
        <f>L8+L9</f>
        <v>948.35100000000011</v>
      </c>
    </row>
    <row r="11" spans="1:15" ht="15.4" thickTop="1" x14ac:dyDescent="0.4"/>
    <row r="12" spans="1:15" x14ac:dyDescent="0.4">
      <c r="A12" t="s">
        <v>8</v>
      </c>
      <c r="N12" s="2" t="s">
        <v>19</v>
      </c>
    </row>
    <row r="13" spans="1:15" x14ac:dyDescent="0.4">
      <c r="B13" s="22" t="s">
        <v>72</v>
      </c>
      <c r="D13" s="26">
        <f>ROUND(AVERAGE(D108:D109)/D105,0)</f>
        <v>26</v>
      </c>
      <c r="E13" s="7" t="s">
        <v>3</v>
      </c>
      <c r="F13" s="26">
        <f>ROUND(AVERAGE(F108:F109)/F105,0)</f>
        <v>21</v>
      </c>
      <c r="G13" s="7" t="s">
        <v>3</v>
      </c>
      <c r="H13" s="26">
        <f>ROUND(AVERAGE(H108:H109)/H105,0)</f>
        <v>24</v>
      </c>
      <c r="I13" s="7" t="s">
        <v>3</v>
      </c>
      <c r="J13" s="26">
        <f>ROUND(AVERAGE(J108:J109)/J105,0)</f>
        <v>23</v>
      </c>
      <c r="K13" s="7" t="s">
        <v>3</v>
      </c>
      <c r="L13" s="26">
        <f>ROUND(AVERAGE(L108:L109)/L105,0)</f>
        <v>21</v>
      </c>
      <c r="M13" s="7" t="s">
        <v>3</v>
      </c>
      <c r="N13" s="27">
        <f>AVERAGE(D13,F13,H13,J13,L13)</f>
        <v>23</v>
      </c>
      <c r="O13" s="7" t="s">
        <v>3</v>
      </c>
    </row>
    <row r="14" spans="1:15" x14ac:dyDescent="0.4">
      <c r="B14" t="s">
        <v>20</v>
      </c>
      <c r="D14" s="3">
        <f>ROUND(AVERAGE(D108:D109)/AVERAGE(D112,F112),3)</f>
        <v>2.9329999999999998</v>
      </c>
      <c r="E14" s="3"/>
      <c r="F14" s="3">
        <f>ROUND(AVERAGE(F108:F109)/AVERAGE(F112,H112),3)</f>
        <v>2.4390000000000001</v>
      </c>
      <c r="G14" s="3"/>
      <c r="H14" s="3">
        <f>ROUND(AVERAGE(H108:H109)/AVERAGE(H112,J112),3)</f>
        <v>2.6739999999999999</v>
      </c>
      <c r="I14" s="3"/>
      <c r="J14" s="3">
        <f>ROUND(AVERAGE(J108:J109)/AVERAGE(J112,L112),3)</f>
        <v>2.6019999999999999</v>
      </c>
      <c r="K14" s="3"/>
      <c r="L14" s="3">
        <f>ROUND(AVERAGE(L108:L109)/AVERAGE(L112,N112),3)</f>
        <v>2.6150000000000002</v>
      </c>
      <c r="M14" s="3"/>
      <c r="N14" s="6">
        <f>AVERAGE(D14,F14,H14,J14,L14)</f>
        <v>2.6526000000000001</v>
      </c>
    </row>
    <row r="15" spans="1:15" x14ac:dyDescent="0.4">
      <c r="B15" t="s">
        <v>9</v>
      </c>
      <c r="D15" s="3">
        <f>ROUND(D106/AVERAGE(D108:D109),3)</f>
        <v>1.4999999999999999E-2</v>
      </c>
      <c r="E15" s="3"/>
      <c r="F15" s="3">
        <f>ROUND(F106/AVERAGE(F108:F109),3)</f>
        <v>1.9E-2</v>
      </c>
      <c r="G15" s="3"/>
      <c r="H15" s="3">
        <f>ROUND(H106/AVERAGE(H108:H109),3)</f>
        <v>1.7999999999999999E-2</v>
      </c>
      <c r="I15" s="3"/>
      <c r="J15" s="3">
        <f>ROUND(J106/AVERAGE(J108:J109),3)</f>
        <v>1.7999999999999999E-2</v>
      </c>
      <c r="K15" s="3"/>
      <c r="L15" s="3">
        <f>ROUND(L106/AVERAGE(L108:L109),3)</f>
        <v>1.7000000000000001E-2</v>
      </c>
      <c r="M15" s="3"/>
      <c r="N15" s="6">
        <f>AVERAGE(D15,F15,H15,J15,L15)</f>
        <v>1.7400000000000002E-2</v>
      </c>
    </row>
    <row r="16" spans="1:15" x14ac:dyDescent="0.4">
      <c r="B16" t="s">
        <v>10</v>
      </c>
      <c r="D16" s="3">
        <f>ROUND(D96/D66,3)</f>
        <v>0.4</v>
      </c>
      <c r="E16" s="3"/>
      <c r="F16" s="3">
        <f>ROUND(F96/F66,3)</f>
        <v>0.41199999999999998</v>
      </c>
      <c r="G16" s="3"/>
      <c r="H16" s="3">
        <f>ROUND(H96/H66,3)</f>
        <v>0.42799999999999999</v>
      </c>
      <c r="I16" s="3"/>
      <c r="J16" s="3">
        <f>ROUND(J96/J66,3)</f>
        <v>0.41699999999999998</v>
      </c>
      <c r="K16" s="3"/>
      <c r="L16" s="3">
        <f>ROUND(L96/L66,3)</f>
        <v>0.36199999999999999</v>
      </c>
      <c r="M16" s="3"/>
      <c r="N16" s="6">
        <f>AVERAGE(D16,F16,H16,J16,L16)</f>
        <v>0.40380000000000005</v>
      </c>
    </row>
    <row r="18" spans="1:14" x14ac:dyDescent="0.4">
      <c r="A18" t="s">
        <v>2</v>
      </c>
    </row>
    <row r="19" spans="1:14" x14ac:dyDescent="0.4">
      <c r="B19" t="s">
        <v>11</v>
      </c>
    </row>
    <row r="20" spans="1:14" x14ac:dyDescent="0.4">
      <c r="B20" s="28" t="s">
        <v>74</v>
      </c>
      <c r="D20" s="3">
        <f>ROUND((+D76+D79)/D8,3)</f>
        <v>0.42399999999999999</v>
      </c>
      <c r="E20" s="3"/>
      <c r="F20" s="3">
        <f>ROUND((+F76+F79)/F8,3)</f>
        <v>0.42699999999999999</v>
      </c>
      <c r="G20" s="3"/>
      <c r="H20" s="3">
        <f>ROUND((+H76+H79)/H8,3)</f>
        <v>0.46100000000000002</v>
      </c>
      <c r="I20" s="3"/>
      <c r="J20" s="3">
        <f>ROUND((+J76+J79)/J8,3)</f>
        <v>0.38400000000000001</v>
      </c>
      <c r="K20" s="3"/>
      <c r="L20" s="3">
        <f>ROUND((+L76+L79)/L8,3)</f>
        <v>0.29699999999999999</v>
      </c>
      <c r="M20" s="3"/>
      <c r="N20" s="6">
        <f>AVERAGE(D20,F20,H20,J20,L20)</f>
        <v>0.39860000000000001</v>
      </c>
    </row>
    <row r="21" spans="1:14" hidden="1" x14ac:dyDescent="0.4">
      <c r="B21" s="28" t="s">
        <v>75</v>
      </c>
      <c r="D21" s="3">
        <f>ROUND((SUM(D69:D75)+D81)/D8,3)</f>
        <v>0</v>
      </c>
      <c r="E21" s="3"/>
      <c r="F21" s="3">
        <f>ROUND((SUM(F69:F75)+F81)/F8,3)</f>
        <v>0</v>
      </c>
      <c r="G21" s="3"/>
      <c r="H21" s="3">
        <f>ROUND((SUM(H69:H75)+H81)/H8,3)</f>
        <v>0</v>
      </c>
      <c r="I21" s="3"/>
      <c r="J21" s="3">
        <f>ROUND((SUM(J69:J75)+J81)/J8,3)</f>
        <v>0</v>
      </c>
      <c r="K21" s="3"/>
      <c r="L21" s="3">
        <f>ROUND((SUM(L69:L75)+L81)/L8,3)</f>
        <v>0</v>
      </c>
      <c r="M21" s="3"/>
      <c r="N21" s="6">
        <f>AVERAGE(D21,F21,H21,J21,L21)</f>
        <v>0</v>
      </c>
    </row>
    <row r="22" spans="1:14" ht="17.25" x14ac:dyDescent="0.4">
      <c r="B22" s="29" t="s">
        <v>76</v>
      </c>
      <c r="D22" s="4">
        <f>ROUND((D68-D103)/D8,3)</f>
        <v>0.57599999999999996</v>
      </c>
      <c r="E22" s="3"/>
      <c r="F22" s="4">
        <f>ROUND((F68-F103)/F8,3)</f>
        <v>0.57299999999999995</v>
      </c>
      <c r="G22" s="3"/>
      <c r="H22" s="4">
        <f>ROUND((H68-H103)/H8,3)</f>
        <v>0.53900000000000003</v>
      </c>
      <c r="I22" s="3"/>
      <c r="J22" s="4">
        <f>ROUND((J68-J103)/J8,3)</f>
        <v>0.61599999999999999</v>
      </c>
      <c r="K22" s="3"/>
      <c r="L22" s="4">
        <f>ROUND((L68-L103)/L8,3)</f>
        <v>0.70299999999999996</v>
      </c>
      <c r="M22" s="3"/>
      <c r="N22" s="8">
        <f>AVERAGE(D22,F22,H22,J22,L22)</f>
        <v>0.60140000000000005</v>
      </c>
    </row>
    <row r="23" spans="1:14" ht="15.4" thickBot="1" x14ac:dyDescent="0.45">
      <c r="D23" s="5">
        <f>SUM(D20:D22)</f>
        <v>1</v>
      </c>
      <c r="E23" s="3"/>
      <c r="F23" s="5">
        <f>SUM(F20:F22)</f>
        <v>1</v>
      </c>
      <c r="G23" s="3"/>
      <c r="H23" s="5">
        <f>SUM(H20:H22)</f>
        <v>1</v>
      </c>
      <c r="I23" s="3"/>
      <c r="J23" s="5">
        <f>SUM(J20:J22)</f>
        <v>1</v>
      </c>
      <c r="K23" s="3"/>
      <c r="L23" s="5">
        <f>SUM(L20:L22)</f>
        <v>1</v>
      </c>
      <c r="M23" s="3"/>
      <c r="N23" s="9">
        <f>AVERAGE(D23,F23,H23,J23,L23)</f>
        <v>1</v>
      </c>
    </row>
    <row r="24" spans="1:14" ht="15.4" thickTop="1" x14ac:dyDescent="0.4">
      <c r="B24" t="s">
        <v>12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4">
      <c r="B25" s="28" t="s">
        <v>77</v>
      </c>
      <c r="D25" s="3">
        <f>ROUND((+D76+D79+D80)/D10,3)</f>
        <v>0.505</v>
      </c>
      <c r="E25" s="3"/>
      <c r="F25" s="3">
        <f>ROUND((+F76+F79+F80)/F10,3)</f>
        <v>0.499</v>
      </c>
      <c r="G25" s="3"/>
      <c r="H25" s="3">
        <f>ROUND((+H76+H79+H80)/H10,3)</f>
        <v>0.56399999999999995</v>
      </c>
      <c r="I25" s="3"/>
      <c r="J25" s="3">
        <f>ROUND((+J76+J79+J80)/J10,3)</f>
        <v>0.54200000000000004</v>
      </c>
      <c r="K25" s="3"/>
      <c r="L25" s="3">
        <f>ROUND((+L76+L79+L80)/L10,3)</f>
        <v>0.48299999999999998</v>
      </c>
      <c r="M25" s="3"/>
      <c r="N25" s="6">
        <f>AVERAGE(D25,F25,H25,J25,L25)</f>
        <v>0.51860000000000006</v>
      </c>
    </row>
    <row r="26" spans="1:14" hidden="1" x14ac:dyDescent="0.4">
      <c r="B26" s="28" t="s">
        <v>75</v>
      </c>
      <c r="D26" s="3">
        <f>ROUND((SUM(D69:D75)+D81)/D10,3)</f>
        <v>0</v>
      </c>
      <c r="E26" s="3"/>
      <c r="F26" s="3">
        <f>ROUND((SUM(F69:F75)+F81)/F10,3)</f>
        <v>0</v>
      </c>
      <c r="G26" s="3"/>
      <c r="H26" s="3">
        <f>ROUND((SUM(H69:H75)+H81)/H10,3)</f>
        <v>0</v>
      </c>
      <c r="I26" s="3"/>
      <c r="J26" s="3">
        <f>ROUND((SUM(J69:J75)+J81)/J10,3)</f>
        <v>0</v>
      </c>
      <c r="K26" s="3"/>
      <c r="L26" s="3">
        <f>ROUND((SUM(L69:L75)+L81)/L10,3)</f>
        <v>0</v>
      </c>
      <c r="M26" s="3"/>
      <c r="N26" s="6">
        <f>AVERAGE(D26,F26,H26,J26,L26)</f>
        <v>0</v>
      </c>
    </row>
    <row r="27" spans="1:14" ht="17.25" x14ac:dyDescent="0.4">
      <c r="B27" s="29" t="s">
        <v>76</v>
      </c>
      <c r="D27" s="4">
        <f>ROUND((D68-D103)/D10,3)</f>
        <v>0.495</v>
      </c>
      <c r="E27" s="3"/>
      <c r="F27" s="4">
        <f>ROUND((F68-F103)/F10,3)</f>
        <v>0.501</v>
      </c>
      <c r="G27" s="3"/>
      <c r="H27" s="4">
        <f>ROUND((H68-H103)/H10,3)</f>
        <v>0.436</v>
      </c>
      <c r="I27" s="3"/>
      <c r="J27" s="4">
        <f>ROUND((J68-J103)/J10,3)</f>
        <v>0.45800000000000002</v>
      </c>
      <c r="K27" s="3"/>
      <c r="L27" s="4">
        <f>ROUND((L68-L103)/L10,3)</f>
        <v>0.51700000000000002</v>
      </c>
      <c r="M27" s="3"/>
      <c r="N27" s="8">
        <f>AVERAGE(D27,F27,H27,J27,L27)</f>
        <v>0.48139999999999999</v>
      </c>
    </row>
    <row r="28" spans="1:14" ht="15.4" thickBot="1" x14ac:dyDescent="0.45">
      <c r="D28" s="5">
        <f>SUM(D25:D27)</f>
        <v>1</v>
      </c>
      <c r="E28" s="3"/>
      <c r="F28" s="5">
        <f>SUM(F25:F27)</f>
        <v>1</v>
      </c>
      <c r="G28" s="3"/>
      <c r="H28" s="5">
        <f>SUM(H25:H27)</f>
        <v>1</v>
      </c>
      <c r="I28" s="3"/>
      <c r="J28" s="5">
        <f>SUM(J25:J27)</f>
        <v>1</v>
      </c>
      <c r="K28" s="3"/>
      <c r="L28" s="5">
        <f>SUM(L25:L27)</f>
        <v>1</v>
      </c>
      <c r="M28" s="3"/>
      <c r="N28" s="9">
        <f>AVERAGE(D28,F28,H28,J28,L28)</f>
        <v>1</v>
      </c>
    </row>
    <row r="29" spans="1:14" ht="15.4" thickTop="1" x14ac:dyDescent="0.4"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7.25" x14ac:dyDescent="0.4">
      <c r="A30" s="30" t="s">
        <v>78</v>
      </c>
      <c r="D30" s="3">
        <f>ROUND(+D66/(((D68-D103)+(F68-F103))/2),3)</f>
        <v>0.113</v>
      </c>
      <c r="E30" s="3"/>
      <c r="F30" s="3">
        <f>ROUND(+F66/(((F68-F103)+(H68-H103))/2),3)</f>
        <v>0.111</v>
      </c>
      <c r="G30" s="3"/>
      <c r="H30" s="3">
        <f>ROUND(+H66/(((H68-H103)+(J68-J103))/2),3)</f>
        <v>0.112</v>
      </c>
      <c r="I30" s="3"/>
      <c r="J30" s="3">
        <f>ROUND(+J66/(((J68-J103)+(L68-L103))/2),3)</f>
        <v>0.111</v>
      </c>
      <c r="K30" s="3"/>
      <c r="L30" s="3">
        <f>ROUND(+L66/(((L68-L103)+(N68-N103))/2),3)</f>
        <v>0.123</v>
      </c>
      <c r="M30" s="3"/>
      <c r="N30" s="6">
        <f>AVERAGE(D30,F30,H30,J30,L30)</f>
        <v>0.11400000000000002</v>
      </c>
    </row>
    <row r="31" spans="1:14" x14ac:dyDescent="0.4"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17.25" x14ac:dyDescent="0.4">
      <c r="A32" s="30" t="s">
        <v>79</v>
      </c>
      <c r="D32" s="3">
        <f>ROUND((+D58-D57)/D56,3)</f>
        <v>0.77</v>
      </c>
      <c r="E32" s="3"/>
      <c r="F32" s="3">
        <f>ROUND((+F58-F57)/F56,3)</f>
        <v>0.76900000000000002</v>
      </c>
      <c r="G32" s="3"/>
      <c r="H32" s="3">
        <f>ROUND((+H58-H57)/H56,3)</f>
        <v>0.77800000000000002</v>
      </c>
      <c r="I32" s="3"/>
      <c r="J32" s="3">
        <f>ROUND((+J58-J57)/J56,3)</f>
        <v>0.86799999999999999</v>
      </c>
      <c r="K32" s="3"/>
      <c r="L32" s="3">
        <f>ROUND((+L58-L57)/L56,3)</f>
        <v>0.86099999999999999</v>
      </c>
      <c r="M32" s="3"/>
      <c r="N32" s="6">
        <f>AVERAGE(D32,F32,H32,J32,L32)</f>
        <v>0.80920000000000003</v>
      </c>
    </row>
    <row r="34" spans="1:15" ht="17.25" x14ac:dyDescent="0.4">
      <c r="A34" s="30" t="s">
        <v>80</v>
      </c>
    </row>
    <row r="35" spans="1:15" x14ac:dyDescent="0.4">
      <c r="B35" t="s">
        <v>13</v>
      </c>
      <c r="D35" s="7">
        <f>ROUND(((+D66+D65+D64+D63+D61+D59+D57)/D61),2)</f>
        <v>6.6</v>
      </c>
      <c r="E35" s="7" t="s">
        <v>3</v>
      </c>
      <c r="F35" s="7">
        <f>ROUND(((+F66+F65+F64+F63+F61+F59+F57)/F61),2)</f>
        <v>5.33</v>
      </c>
      <c r="G35" s="7" t="s">
        <v>3</v>
      </c>
      <c r="H35" s="7">
        <f>ROUND(((+H66+H65+H64+H63+H61+H59+H57)/H61),2)</f>
        <v>4.7</v>
      </c>
      <c r="I35" s="7" t="s">
        <v>3</v>
      </c>
      <c r="J35" s="7">
        <f>ROUND(((+J66+J65+J64+J63+J61+J59+J57)/J61),2)</f>
        <v>5.72</v>
      </c>
      <c r="K35" s="7" t="s">
        <v>3</v>
      </c>
      <c r="L35" s="7">
        <f>ROUND(((+L66+L65+L64+L63+L61+L59+L57)/L61),2)</f>
        <v>6.73</v>
      </c>
      <c r="M35" s="7" t="s">
        <v>3</v>
      </c>
      <c r="N35" s="23">
        <f>AVERAGE(D35,F35,H35,J35,L35)</f>
        <v>5.8159999999999998</v>
      </c>
      <c r="O35" t="s">
        <v>3</v>
      </c>
    </row>
    <row r="36" spans="1:15" x14ac:dyDescent="0.4">
      <c r="B36" t="s">
        <v>21</v>
      </c>
      <c r="D36" s="7">
        <f>ROUND(((+D66+D65+D64+D63+D61)/(D61)),2)</f>
        <v>5.15</v>
      </c>
      <c r="E36" s="7" t="s">
        <v>3</v>
      </c>
      <c r="F36" s="7">
        <f>ROUND(((+F66+F65+F64+F63+F61)/(F61)),2)</f>
        <v>4.25</v>
      </c>
      <c r="G36" s="7" t="s">
        <v>3</v>
      </c>
      <c r="H36" s="7">
        <f>ROUND(((+H66+H65+H64+H63+H61)/(H61)),2)</f>
        <v>3.75</v>
      </c>
      <c r="I36" s="7" t="s">
        <v>3</v>
      </c>
      <c r="J36" s="7">
        <f>ROUND(((+J66+J65+J64+J63+J61)/(J61)),2)</f>
        <v>4.4400000000000004</v>
      </c>
      <c r="K36" s="7" t="s">
        <v>3</v>
      </c>
      <c r="L36" s="7">
        <f>ROUND(((+L66+L65+L64+L63+L61)/(L61)),2)</f>
        <v>5.6</v>
      </c>
      <c r="M36" s="7" t="s">
        <v>3</v>
      </c>
      <c r="N36" s="23">
        <f>AVERAGE(D36,F36,H36,J36,L36)</f>
        <v>4.6379999999999999</v>
      </c>
      <c r="O36" t="s">
        <v>3</v>
      </c>
    </row>
    <row r="37" spans="1:15" hidden="1" x14ac:dyDescent="0.4">
      <c r="B37" t="s">
        <v>14</v>
      </c>
      <c r="D37" s="7">
        <f>ROUND(((+D66+D65+D64+D63+D61)/(D61+D63+D64+D65)),2)</f>
        <v>5.15</v>
      </c>
      <c r="E37" s="7" t="s">
        <v>3</v>
      </c>
      <c r="F37" s="7">
        <f>ROUND(((+F66+F65+F64+F63+F61)/(F61+F63+F64+F65)),2)</f>
        <v>4.25</v>
      </c>
      <c r="G37" s="7" t="s">
        <v>3</v>
      </c>
      <c r="H37" s="7">
        <f>ROUND(((+H66+H65+H64+H63+H61)/(H61+H63+H64+H65)),2)</f>
        <v>3.75</v>
      </c>
      <c r="I37" s="7" t="s">
        <v>3</v>
      </c>
      <c r="J37" s="7">
        <f>ROUND(((+J66+J65+J64+J63+J61)/(J61+J63+J64+J65)),2)</f>
        <v>4.4400000000000004</v>
      </c>
      <c r="K37" s="7" t="s">
        <v>3</v>
      </c>
      <c r="L37" s="7">
        <f>ROUND(((+L66+L65+L64+L63+L61)/(L61+L63+L64+L65)),2)</f>
        <v>5.6</v>
      </c>
      <c r="M37" s="7" t="s">
        <v>3</v>
      </c>
      <c r="N37" s="23">
        <f>AVERAGE(D37,F37,H37,J37,L37)</f>
        <v>4.6379999999999999</v>
      </c>
      <c r="O37" t="s">
        <v>3</v>
      </c>
    </row>
    <row r="38" spans="1:15" x14ac:dyDescent="0.4"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5" ht="17.25" x14ac:dyDescent="0.4">
      <c r="A39" s="36" t="s">
        <v>83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5" x14ac:dyDescent="0.4">
      <c r="B40" t="s">
        <v>13</v>
      </c>
      <c r="D40" s="7">
        <f>ROUND(((+D66+D65+D64+D63-D62+D61+D59+D57)/D61),2)</f>
        <v>6.58</v>
      </c>
      <c r="E40" s="7" t="s">
        <v>3</v>
      </c>
      <c r="F40" s="7">
        <f>ROUND(((+F66+F65+F64+F63-F62+F61+F59+F57)/F61),2)</f>
        <v>5.29</v>
      </c>
      <c r="G40" s="7" t="s">
        <v>3</v>
      </c>
      <c r="H40" s="7">
        <f>ROUND(((+H66+H65+H64+H63-H62+H61+H59+H57)/H61),2)</f>
        <v>4.67</v>
      </c>
      <c r="I40" s="7" t="s">
        <v>3</v>
      </c>
      <c r="J40" s="7">
        <f>ROUND(((+J66+J65+J64+J63-J62+J61+J59+J57)/J61),2)</f>
        <v>5.61</v>
      </c>
      <c r="K40" s="7" t="s">
        <v>3</v>
      </c>
      <c r="L40" s="7">
        <f>ROUND(((+L66+L65+L64+L63-L62+L61+L59+L57)/L61),2)</f>
        <v>6.73</v>
      </c>
      <c r="M40" s="7" t="s">
        <v>3</v>
      </c>
      <c r="N40" s="23">
        <f>AVERAGE(D40,F40,H40,J40,L40)</f>
        <v>5.7759999999999998</v>
      </c>
      <c r="O40" t="s">
        <v>3</v>
      </c>
    </row>
    <row r="41" spans="1:15" x14ac:dyDescent="0.4">
      <c r="B41" t="s">
        <v>21</v>
      </c>
      <c r="D41" s="7">
        <f>ROUND(((+D66+D65+D64+D63-D62+D61)/D61),2)</f>
        <v>5.13</v>
      </c>
      <c r="E41" s="7" t="s">
        <v>3</v>
      </c>
      <c r="F41" s="7">
        <f>ROUND(((+F66+F65+F64+F63-F62+F61)/F61),2)</f>
        <v>4.21</v>
      </c>
      <c r="G41" s="7" t="s">
        <v>3</v>
      </c>
      <c r="H41" s="7">
        <f>ROUND(((+H66+H65+H64+H63-H62+H61)/H61),2)</f>
        <v>3.72</v>
      </c>
      <c r="I41" s="7" t="s">
        <v>3</v>
      </c>
      <c r="J41" s="7">
        <f>ROUND(((+J66+J65+J64+J63-J62+J61)/J61),2)</f>
        <v>4.33</v>
      </c>
      <c r="K41" s="7" t="s">
        <v>3</v>
      </c>
      <c r="L41" s="7">
        <f>ROUND(((+L66+L65+L64+L63-L62+L61)/L61),2)</f>
        <v>5.6</v>
      </c>
      <c r="M41" s="7" t="s">
        <v>3</v>
      </c>
      <c r="N41" s="23">
        <f>AVERAGE(D41,F41,H41,J41,L41)</f>
        <v>4.5980000000000008</v>
      </c>
      <c r="O41" t="s">
        <v>3</v>
      </c>
    </row>
    <row r="42" spans="1:15" hidden="1" x14ac:dyDescent="0.4">
      <c r="B42" t="s">
        <v>14</v>
      </c>
      <c r="D42" s="7">
        <f>ROUND(((+D66+D65+D64+D63-D62+D61)/(D61+D63+D64+D65)),2)</f>
        <v>5.13</v>
      </c>
      <c r="E42" s="7" t="s">
        <v>3</v>
      </c>
      <c r="F42" s="7">
        <f>ROUND(((+F66+F65+F64+F63-F62+F61)/(F61+F63+F64+F65)),2)</f>
        <v>4.21</v>
      </c>
      <c r="G42" s="7" t="s">
        <v>3</v>
      </c>
      <c r="H42" s="7">
        <f>ROUND(((+H66+H65+H64+H63-H62+H61)/(H61+H63+H64+H65)),2)</f>
        <v>3.72</v>
      </c>
      <c r="I42" s="7" t="s">
        <v>3</v>
      </c>
      <c r="J42" s="7">
        <f>ROUND(((+J66+J65+J64+J63-J62+J61)/(J61+J63+J64+J65)),2)</f>
        <v>4.33</v>
      </c>
      <c r="K42" s="7" t="s">
        <v>3</v>
      </c>
      <c r="L42" s="7">
        <f>ROUND(((+L66+L65+L64+L63-L62+L61)/(L61+L63+L64+L65)),2)</f>
        <v>5.6</v>
      </c>
      <c r="M42" s="7" t="s">
        <v>3</v>
      </c>
      <c r="N42" s="23">
        <f>AVERAGE(D42,F42,H42,J42,L42)</f>
        <v>4.5980000000000008</v>
      </c>
      <c r="O42" t="s">
        <v>3</v>
      </c>
    </row>
    <row r="44" spans="1:15" x14ac:dyDescent="0.4">
      <c r="A44" t="s">
        <v>15</v>
      </c>
    </row>
    <row r="45" spans="1:15" x14ac:dyDescent="0.4">
      <c r="B45" t="s">
        <v>16</v>
      </c>
      <c r="D45" s="12">
        <f>ROUND(D62/D66,3)</f>
        <v>5.0000000000000001E-3</v>
      </c>
      <c r="E45" s="12"/>
      <c r="F45" s="12">
        <f>ROUND(F62/F66,3)</f>
        <v>0.01</v>
      </c>
      <c r="G45" s="12"/>
      <c r="H45" s="12">
        <f>ROUND(H62/H66,3)</f>
        <v>1.0999999999999999E-2</v>
      </c>
      <c r="I45" s="12"/>
      <c r="J45" s="12">
        <f>ROUND(J62/J66,3)</f>
        <v>3.4000000000000002E-2</v>
      </c>
      <c r="K45" s="12"/>
      <c r="L45" s="12">
        <f>ROUND(L62/L66,3)</f>
        <v>0</v>
      </c>
      <c r="M45" s="3"/>
      <c r="N45" s="6">
        <f t="shared" ref="N45:N50" si="0">AVERAGE(D45,F45,H45,J45,L45)</f>
        <v>1.2E-2</v>
      </c>
    </row>
    <row r="46" spans="1:15" x14ac:dyDescent="0.4">
      <c r="B46" t="s">
        <v>17</v>
      </c>
      <c r="D46" s="16">
        <f>ROUND((D57+D59)/(D57+D59+D66+D63+D64+D65),3)</f>
        <v>0.25900000000000001</v>
      </c>
      <c r="E46" s="17"/>
      <c r="F46" s="16">
        <f>ROUND((F57+F59)/(F57+F59+F66+F63+F64+F65),3)</f>
        <v>0.25</v>
      </c>
      <c r="G46" s="17"/>
      <c r="H46" s="16">
        <f>ROUND((H57+H59)/(H57+H59+H66+H63+H64+H65),3)</f>
        <v>0.25600000000000001</v>
      </c>
      <c r="I46" s="17"/>
      <c r="J46" s="16">
        <f>ROUND((J57+J59)/(J57+J59+J66+J63+J64+J65),3)</f>
        <v>0.27100000000000002</v>
      </c>
      <c r="K46" s="17"/>
      <c r="L46" s="16">
        <f>ROUND((L57+L59)/(L57+L59+L66+L63+L64+L65),3)</f>
        <v>0.19800000000000001</v>
      </c>
      <c r="N46" s="6">
        <f t="shared" si="0"/>
        <v>0.24679999999999999</v>
      </c>
    </row>
    <row r="47" spans="1:15" ht="17.25" x14ac:dyDescent="0.4">
      <c r="B47" s="36" t="s">
        <v>84</v>
      </c>
      <c r="D47" s="12">
        <f>ROUND(((+D82+D83+D84+D85+D86-D87+D88-D90-D91)/(+D89-D87)),3)</f>
        <v>0.78600000000000003</v>
      </c>
      <c r="E47" s="13"/>
      <c r="F47" s="12">
        <f>ROUND(((+F82+F83+F84+F85+F86-F87+F88-F90-F91)/(+F89-F87)),3)</f>
        <v>0.80900000000000005</v>
      </c>
      <c r="G47" s="13"/>
      <c r="H47" s="12">
        <f>ROUND(((+H82+H83+H84+H85+H86-H87+H88-H90-H91)/(+H89-H87)),3)</f>
        <v>0.61099999999999999</v>
      </c>
      <c r="I47" s="13"/>
      <c r="J47" s="12">
        <f>ROUND(((+J82+J83+J84+J85+J86-J87+J88-J90-J91)/(+J89-J87)),3)</f>
        <v>0.42499999999999999</v>
      </c>
      <c r="K47" s="13"/>
      <c r="L47" s="12">
        <f>ROUND(((+L82+L83+L84+L85+L86-L87+L88-L90-L91)/(+L89-L87)),3)</f>
        <v>0.56699999999999995</v>
      </c>
      <c r="N47" s="6">
        <f t="shared" si="0"/>
        <v>0.63960000000000006</v>
      </c>
    </row>
    <row r="48" spans="1:15" ht="17.25" x14ac:dyDescent="0.4">
      <c r="B48" s="36" t="s">
        <v>85</v>
      </c>
      <c r="D48" s="12">
        <f>ROUND(((+D82+D83+D84+D85+D86-D87+D88)/(AVERAGE(D76,F76)+AVERAGE(D79,F79)+AVERAGE(D80,F80))),3)</f>
        <v>0.24</v>
      </c>
      <c r="E48" s="13"/>
      <c r="F48" s="12">
        <f>ROUND(((+F82+F83+F84+F85+F86-F87+F88)/(AVERAGE(F76,H76)+AVERAGE(F79,H79)+AVERAGE(F80,H80))),3)</f>
        <v>0.22500000000000001</v>
      </c>
      <c r="G48" s="13"/>
      <c r="H48" s="12">
        <f>ROUND(((+H82+H83+H84+H85+H86-H87+H88)/(AVERAGE(H76,J76)+AVERAGE(H79,J79)+AVERAGE(H80,J80))),3)</f>
        <v>0.20300000000000001</v>
      </c>
      <c r="I48" s="13"/>
      <c r="J48" s="12">
        <f>ROUND(((+J82+J83+J84+J85+J86-J87+J88)/(AVERAGE(J76,L76)+AVERAGE(J79,L79)+AVERAGE(J80,L80))),3)</f>
        <v>0.253</v>
      </c>
      <c r="K48" s="13"/>
      <c r="L48" s="12">
        <f>ROUND(((+L82+L83+L84+L85+L86-L87+L88)/(AVERAGE(L76,N76)+AVERAGE(L79,N79)+AVERAGE(L80,N80))),3)</f>
        <v>0.29199999999999998</v>
      </c>
      <c r="N48" s="6">
        <f t="shared" si="0"/>
        <v>0.24259999999999998</v>
      </c>
    </row>
    <row r="49" spans="1:15" ht="17.25" x14ac:dyDescent="0.4">
      <c r="B49" s="36" t="s">
        <v>86</v>
      </c>
      <c r="D49" s="24">
        <f>ROUND(((+D82+D83+D84+D85+D86-D87+D88+D92)/D61),2)</f>
        <v>9.89</v>
      </c>
      <c r="E49" t="s">
        <v>3</v>
      </c>
      <c r="F49" s="24">
        <f>ROUND(((+F82+F83+F84+F85+F86-F87+F88+F92)/F61),2)</f>
        <v>8.4499999999999993</v>
      </c>
      <c r="G49" t="s">
        <v>3</v>
      </c>
      <c r="H49" s="24">
        <f>ROUND(((+H82+H83+H84+H85+H86-H87+H88+H92)/H61),2)</f>
        <v>7.26</v>
      </c>
      <c r="I49" t="s">
        <v>3</v>
      </c>
      <c r="J49" s="24">
        <f>ROUND(((+J82+J83+J84+J85+J86-J87+J88+J92)/J61),2)</f>
        <v>9.34</v>
      </c>
      <c r="K49" t="s">
        <v>3</v>
      </c>
      <c r="L49" s="24">
        <f>ROUND(((+L82+L83+L84+L85+L86-L87+L88+L92)/L61),2)</f>
        <v>10.43</v>
      </c>
      <c r="M49" t="s">
        <v>3</v>
      </c>
      <c r="N49" s="25">
        <f t="shared" si="0"/>
        <v>9.0739999999999998</v>
      </c>
      <c r="O49" t="s">
        <v>3</v>
      </c>
    </row>
    <row r="50" spans="1:15" ht="17.25" x14ac:dyDescent="0.4">
      <c r="B50" s="36" t="s">
        <v>87</v>
      </c>
      <c r="D50" s="24">
        <f>ROUND(((+D82+D83+D84+D85+D86-D87+D88-D91)/+D90),2)</f>
        <v>5.66</v>
      </c>
      <c r="E50" t="s">
        <v>3</v>
      </c>
      <c r="F50" s="24">
        <f>ROUND(((+F82+F83+F84+F85+F86-F87+F88-F91)/+F90),2)</f>
        <v>5.93</v>
      </c>
      <c r="G50" t="s">
        <v>3</v>
      </c>
      <c r="H50" s="24">
        <f>ROUND(((+H82+H83+H84+H85+H86-H87+H88-H91)/+H90),2)</f>
        <v>5.57</v>
      </c>
      <c r="I50" t="s">
        <v>3</v>
      </c>
      <c r="J50" s="24">
        <f>ROUND(((+J82+J83+J84+J85+J86-J87+J88-J91)/+J90),2)</f>
        <v>6.2</v>
      </c>
      <c r="K50" t="s">
        <v>3</v>
      </c>
      <c r="L50" s="24">
        <f>ROUND(((+L82+L83+L84+L85+L86-L87+L88-L91)/+L90),2)</f>
        <v>5.99</v>
      </c>
      <c r="M50" t="s">
        <v>3</v>
      </c>
      <c r="N50" s="25">
        <f t="shared" si="0"/>
        <v>5.87</v>
      </c>
      <c r="O50" t="s">
        <v>3</v>
      </c>
    </row>
    <row r="52" spans="1:15" x14ac:dyDescent="0.4">
      <c r="A52" t="s">
        <v>4</v>
      </c>
    </row>
    <row r="53" spans="1:15" x14ac:dyDescent="0.4">
      <c r="D53" s="32"/>
      <c r="F53" s="32"/>
      <c r="H53" s="32"/>
      <c r="J53" s="32"/>
    </row>
    <row r="54" spans="1:15" x14ac:dyDescent="0.4">
      <c r="A54" s="35" t="s">
        <v>82</v>
      </c>
      <c r="B54" s="18"/>
      <c r="C54" s="18"/>
      <c r="D54" s="32"/>
      <c r="E54" s="19"/>
      <c r="F54" s="32"/>
      <c r="G54" s="19"/>
      <c r="H54" s="32"/>
      <c r="I54" s="19"/>
      <c r="J54" s="32"/>
      <c r="K54" s="19"/>
      <c r="L54" s="19"/>
      <c r="M54" s="19"/>
      <c r="N54" s="19"/>
    </row>
    <row r="55" spans="1:15" x14ac:dyDescent="0.4">
      <c r="A55" s="19"/>
      <c r="B55" s="19"/>
      <c r="C55" s="19"/>
      <c r="D55" s="20">
        <v>2021</v>
      </c>
      <c r="E55" s="18"/>
      <c r="F55" s="20">
        <v>2020</v>
      </c>
      <c r="G55" s="18"/>
      <c r="H55" s="20">
        <v>2019</v>
      </c>
      <c r="I55" s="18"/>
      <c r="J55" s="20">
        <v>2018</v>
      </c>
      <c r="K55" s="18"/>
      <c r="L55" s="20">
        <v>2017</v>
      </c>
      <c r="M55" s="18"/>
      <c r="N55" s="20">
        <v>2016</v>
      </c>
    </row>
    <row r="56" spans="1:15" x14ac:dyDescent="0.4">
      <c r="A56" s="19" t="s">
        <v>22</v>
      </c>
      <c r="B56" s="19"/>
      <c r="C56" s="19"/>
      <c r="D56" s="21">
        <v>569.96799999999996</v>
      </c>
      <c r="E56" s="21"/>
      <c r="F56" s="21">
        <v>488.19799999999998</v>
      </c>
      <c r="G56" s="21"/>
      <c r="H56" s="21">
        <v>479.60399999999998</v>
      </c>
      <c r="I56" s="21"/>
      <c r="J56" s="21">
        <v>717.48900000000003</v>
      </c>
      <c r="K56" s="21"/>
      <c r="L56" s="21">
        <v>617.58299999999997</v>
      </c>
      <c r="M56" s="21"/>
      <c r="N56" s="21">
        <v>498.86</v>
      </c>
    </row>
    <row r="57" spans="1:15" x14ac:dyDescent="0.4">
      <c r="A57" s="19" t="s">
        <v>23</v>
      </c>
      <c r="B57" s="19"/>
      <c r="C57" s="19"/>
      <c r="D57" s="21">
        <v>29.231000000000002</v>
      </c>
      <c r="E57" s="21"/>
      <c r="F57" s="21">
        <v>23.538</v>
      </c>
      <c r="G57" s="21"/>
      <c r="H57" s="21">
        <v>21.091000000000001</v>
      </c>
      <c r="I57" s="21"/>
      <c r="J57" s="21">
        <v>20.994</v>
      </c>
      <c r="K57" s="21"/>
      <c r="L57" s="21">
        <v>14.308999999999999</v>
      </c>
      <c r="M57" s="21"/>
      <c r="N57" s="21">
        <v>28.341000000000001</v>
      </c>
    </row>
    <row r="58" spans="1:15" x14ac:dyDescent="0.4">
      <c r="A58" s="19" t="s">
        <v>24</v>
      </c>
      <c r="B58" s="19"/>
      <c r="C58" s="19"/>
      <c r="D58" s="21">
        <f>438.856+D57</f>
        <v>468.08699999999999</v>
      </c>
      <c r="E58" s="21"/>
      <c r="F58" s="21">
        <f>375.475+F57</f>
        <v>399.01300000000003</v>
      </c>
      <c r="G58" s="21"/>
      <c r="H58" s="21">
        <f>373.317+H57</f>
        <v>394.40800000000002</v>
      </c>
      <c r="I58" s="21"/>
      <c r="J58" s="21">
        <f>622.869+J57</f>
        <v>643.86300000000006</v>
      </c>
      <c r="K58" s="21"/>
      <c r="L58" s="21">
        <v>546.17899999999997</v>
      </c>
      <c r="M58" s="21"/>
      <c r="N58" s="21">
        <v>443.23500000000001</v>
      </c>
    </row>
    <row r="59" spans="1:15" x14ac:dyDescent="0.4">
      <c r="A59" s="19" t="s">
        <v>25</v>
      </c>
      <c r="B59" s="19"/>
      <c r="C59" s="19"/>
      <c r="D59" s="21">
        <v>0</v>
      </c>
      <c r="E59" s="21"/>
      <c r="F59" s="21">
        <v>0</v>
      </c>
      <c r="G59" s="21"/>
      <c r="H59" s="21">
        <v>0</v>
      </c>
      <c r="I59" s="21"/>
      <c r="J59" s="21">
        <v>0</v>
      </c>
      <c r="K59" s="21"/>
      <c r="L59" s="21">
        <v>0</v>
      </c>
      <c r="M59" s="21"/>
      <c r="N59" s="21">
        <v>0</v>
      </c>
    </row>
    <row r="60" spans="1:15" x14ac:dyDescent="0.4">
      <c r="A60" s="19" t="s">
        <v>26</v>
      </c>
      <c r="B60" s="19"/>
      <c r="C60" s="19"/>
      <c r="D60" s="21">
        <f>131.112-D57+1.721</f>
        <v>103.602</v>
      </c>
      <c r="E60" s="21"/>
      <c r="F60" s="21">
        <f>112.723-F57+3.222</f>
        <v>92.406999999999996</v>
      </c>
      <c r="G60" s="21"/>
      <c r="H60" s="21">
        <f>106.287-H57-1.83</f>
        <v>83.366</v>
      </c>
      <c r="I60" s="21"/>
      <c r="J60" s="21">
        <f>94.62-J57-0.615</f>
        <v>73.01100000000001</v>
      </c>
      <c r="K60" s="21"/>
      <c r="L60" s="21">
        <v>70.769000000000005</v>
      </c>
      <c r="M60" s="21"/>
      <c r="N60" s="21">
        <v>55.314</v>
      </c>
    </row>
    <row r="61" spans="1:15" x14ac:dyDescent="0.4">
      <c r="A61" s="19" t="s">
        <v>27</v>
      </c>
      <c r="B61" s="19"/>
      <c r="C61" s="19"/>
      <c r="D61" s="21">
        <v>20.135000000000002</v>
      </c>
      <c r="E61" s="21"/>
      <c r="F61" s="21">
        <v>21.765000000000001</v>
      </c>
      <c r="G61" s="21"/>
      <c r="H61" s="21">
        <v>22.224</v>
      </c>
      <c r="I61" s="21"/>
      <c r="J61" s="21">
        <v>16.431000000000001</v>
      </c>
      <c r="K61" s="21"/>
      <c r="L61" s="21">
        <v>12.645</v>
      </c>
      <c r="M61" s="21"/>
      <c r="N61" s="21">
        <v>10.638999999999999</v>
      </c>
    </row>
    <row r="62" spans="1:15" x14ac:dyDescent="0.4">
      <c r="A62" s="19" t="s">
        <v>28</v>
      </c>
      <c r="B62" s="19"/>
      <c r="C62" s="19"/>
      <c r="D62" s="21">
        <v>0.4</v>
      </c>
      <c r="E62" s="21"/>
      <c r="F62" s="21">
        <v>0.7</v>
      </c>
      <c r="G62" s="21"/>
      <c r="H62" s="21">
        <v>0.7</v>
      </c>
      <c r="I62" s="21"/>
      <c r="J62" s="21">
        <v>1.9</v>
      </c>
      <c r="K62" s="21"/>
      <c r="L62" s="21"/>
      <c r="M62" s="21"/>
      <c r="N62" s="21"/>
    </row>
    <row r="63" spans="1:15" x14ac:dyDescent="0.4">
      <c r="A63" s="19" t="s">
        <v>29</v>
      </c>
      <c r="B63" s="19"/>
      <c r="C63" s="19"/>
      <c r="D63" s="21">
        <v>0</v>
      </c>
      <c r="E63" s="21"/>
      <c r="F63" s="21">
        <v>0</v>
      </c>
      <c r="G63" s="21"/>
      <c r="H63" s="21">
        <v>0</v>
      </c>
      <c r="I63" s="21"/>
      <c r="J63" s="21">
        <v>0</v>
      </c>
      <c r="K63" s="21"/>
      <c r="L63" s="21">
        <v>0</v>
      </c>
      <c r="M63" s="21"/>
      <c r="N63" s="21">
        <v>0</v>
      </c>
    </row>
    <row r="64" spans="1:15" x14ac:dyDescent="0.4">
      <c r="A64" s="19" t="s">
        <v>30</v>
      </c>
      <c r="B64" s="19"/>
      <c r="C64" s="19"/>
      <c r="D64" s="21">
        <v>0</v>
      </c>
      <c r="E64" s="21"/>
      <c r="F64" s="21">
        <v>0</v>
      </c>
      <c r="G64" s="21"/>
      <c r="H64" s="21">
        <v>0</v>
      </c>
      <c r="I64" s="21"/>
      <c r="J64" s="21">
        <v>0</v>
      </c>
      <c r="K64" s="21"/>
      <c r="L64" s="21">
        <v>0</v>
      </c>
      <c r="M64" s="21"/>
      <c r="N64" s="21">
        <v>0</v>
      </c>
    </row>
    <row r="65" spans="1:14" x14ac:dyDescent="0.4">
      <c r="A65" s="19" t="s">
        <v>31</v>
      </c>
      <c r="B65" s="19"/>
      <c r="C65" s="19"/>
      <c r="D65" s="21">
        <v>0</v>
      </c>
      <c r="E65" s="21"/>
      <c r="F65" s="21">
        <v>0</v>
      </c>
      <c r="G65" s="21"/>
      <c r="H65" s="21">
        <v>0</v>
      </c>
      <c r="I65" s="21"/>
      <c r="J65" s="21">
        <v>0</v>
      </c>
      <c r="K65" s="21"/>
      <c r="L65" s="21">
        <v>0</v>
      </c>
      <c r="M65" s="21"/>
      <c r="N65" s="21">
        <v>0</v>
      </c>
    </row>
    <row r="66" spans="1:14" x14ac:dyDescent="0.4">
      <c r="A66" s="19" t="s">
        <v>32</v>
      </c>
      <c r="B66" s="19"/>
      <c r="C66" s="19"/>
      <c r="D66" s="21">
        <v>83.466999999999999</v>
      </c>
      <c r="E66" s="21"/>
      <c r="F66" s="21">
        <v>70.641999999999996</v>
      </c>
      <c r="G66" s="21"/>
      <c r="H66" s="21">
        <v>61.142000000000003</v>
      </c>
      <c r="I66" s="21"/>
      <c r="J66" s="21">
        <v>56.58</v>
      </c>
      <c r="K66" s="21"/>
      <c r="L66" s="21">
        <v>58.124000000000002</v>
      </c>
      <c r="M66" s="21"/>
      <c r="N66" s="21">
        <v>44.674999999999997</v>
      </c>
    </row>
    <row r="67" spans="1:14" x14ac:dyDescent="0.4">
      <c r="A67" s="19" t="s">
        <v>33</v>
      </c>
      <c r="B67" s="19"/>
      <c r="C67" s="19"/>
      <c r="D67" s="21">
        <v>4.75</v>
      </c>
      <c r="E67" s="21"/>
      <c r="F67" s="21">
        <v>4.2300000000000004</v>
      </c>
      <c r="G67" s="21"/>
      <c r="H67" s="21">
        <v>3.73</v>
      </c>
      <c r="I67" s="21"/>
      <c r="J67" s="21">
        <v>3.46</v>
      </c>
      <c r="K67" s="21"/>
      <c r="L67" s="21">
        <v>3.56</v>
      </c>
      <c r="M67" s="21"/>
      <c r="N67" s="21">
        <v>2.87</v>
      </c>
    </row>
    <row r="68" spans="1:14" x14ac:dyDescent="0.4">
      <c r="A68" s="19" t="s">
        <v>34</v>
      </c>
      <c r="B68" s="19"/>
      <c r="C68" s="19"/>
      <c r="D68" s="21">
        <v>774.13</v>
      </c>
      <c r="E68" s="21"/>
      <c r="F68" s="21">
        <v>697.08500000000004</v>
      </c>
      <c r="G68" s="21"/>
      <c r="H68" s="21">
        <v>561.577</v>
      </c>
      <c r="I68" s="21"/>
      <c r="J68" s="21">
        <v>518.43899999999996</v>
      </c>
      <c r="K68" s="21"/>
      <c r="L68" s="21">
        <v>486.29399999999998</v>
      </c>
      <c r="M68" s="21"/>
      <c r="N68" s="21">
        <v>446.08600000000001</v>
      </c>
    </row>
    <row r="69" spans="1:14" x14ac:dyDescent="0.4">
      <c r="A69" s="19" t="s">
        <v>35</v>
      </c>
      <c r="B69" s="19"/>
      <c r="C69" s="19"/>
      <c r="D69" s="21">
        <v>0</v>
      </c>
      <c r="E69" s="21"/>
      <c r="F69" s="21">
        <v>0</v>
      </c>
      <c r="G69" s="21"/>
      <c r="H69" s="21">
        <v>0</v>
      </c>
      <c r="I69" s="21"/>
      <c r="J69" s="21">
        <v>0</v>
      </c>
      <c r="K69" s="21"/>
      <c r="L69" s="21">
        <v>0</v>
      </c>
      <c r="M69" s="21"/>
      <c r="N69" s="21">
        <v>0</v>
      </c>
    </row>
    <row r="70" spans="1:14" x14ac:dyDescent="0.4">
      <c r="A70" s="19" t="s">
        <v>36</v>
      </c>
      <c r="B70" s="19"/>
      <c r="C70" s="19"/>
      <c r="D70" s="21">
        <v>0</v>
      </c>
      <c r="E70" s="21"/>
      <c r="F70" s="21">
        <v>0</v>
      </c>
      <c r="G70" s="21"/>
      <c r="H70" s="21">
        <v>0</v>
      </c>
      <c r="I70" s="21"/>
      <c r="J70" s="21">
        <v>0</v>
      </c>
      <c r="K70" s="21"/>
      <c r="L70" s="21">
        <v>0</v>
      </c>
      <c r="M70" s="21"/>
      <c r="N70" s="21">
        <v>0</v>
      </c>
    </row>
    <row r="71" spans="1:14" x14ac:dyDescent="0.4">
      <c r="A71" s="19" t="s">
        <v>37</v>
      </c>
      <c r="B71" s="19"/>
      <c r="C71" s="19"/>
      <c r="D71" s="21">
        <v>0</v>
      </c>
      <c r="E71" s="21"/>
      <c r="F71" s="21">
        <v>0</v>
      </c>
      <c r="G71" s="21"/>
      <c r="H71" s="21">
        <v>0</v>
      </c>
      <c r="I71" s="21"/>
      <c r="J71" s="21">
        <v>0</v>
      </c>
      <c r="K71" s="21"/>
      <c r="L71" s="21">
        <v>0</v>
      </c>
      <c r="M71" s="21"/>
      <c r="N71" s="21">
        <v>0</v>
      </c>
    </row>
    <row r="72" spans="1:14" x14ac:dyDescent="0.4">
      <c r="A72" s="19" t="s">
        <v>38</v>
      </c>
      <c r="B72" s="19"/>
      <c r="C72" s="19"/>
      <c r="D72" s="21">
        <v>0</v>
      </c>
      <c r="E72" s="21"/>
      <c r="F72" s="21">
        <v>0</v>
      </c>
      <c r="G72" s="21"/>
      <c r="H72" s="21">
        <v>0</v>
      </c>
      <c r="I72" s="21"/>
      <c r="J72" s="21">
        <v>0</v>
      </c>
      <c r="K72" s="21"/>
      <c r="L72" s="21">
        <v>0</v>
      </c>
      <c r="M72" s="21"/>
      <c r="N72" s="21">
        <v>0</v>
      </c>
    </row>
    <row r="73" spans="1:14" x14ac:dyDescent="0.4">
      <c r="A73" s="19" t="s">
        <v>39</v>
      </c>
      <c r="B73" s="19"/>
      <c r="C73" s="19"/>
      <c r="D73" s="21">
        <v>0</v>
      </c>
      <c r="E73" s="21"/>
      <c r="F73" s="21">
        <v>0</v>
      </c>
      <c r="G73" s="21"/>
      <c r="H73" s="21">
        <v>0</v>
      </c>
      <c r="I73" s="21"/>
      <c r="J73" s="21">
        <v>0</v>
      </c>
      <c r="K73" s="21"/>
      <c r="L73" s="21">
        <v>0</v>
      </c>
      <c r="M73" s="21"/>
      <c r="N73" s="21">
        <v>0</v>
      </c>
    </row>
    <row r="74" spans="1:14" x14ac:dyDescent="0.4">
      <c r="A74" s="19" t="s">
        <v>40</v>
      </c>
      <c r="B74" s="19"/>
      <c r="C74" s="19"/>
      <c r="D74" s="21">
        <v>0</v>
      </c>
      <c r="E74" s="21"/>
      <c r="F74" s="21">
        <v>0</v>
      </c>
      <c r="G74" s="21"/>
      <c r="H74" s="21">
        <v>0</v>
      </c>
      <c r="I74" s="21"/>
      <c r="J74" s="21">
        <v>0</v>
      </c>
      <c r="K74" s="21"/>
      <c r="L74" s="21">
        <v>0</v>
      </c>
      <c r="M74" s="21"/>
      <c r="N74" s="21">
        <v>0</v>
      </c>
    </row>
    <row r="75" spans="1:14" x14ac:dyDescent="0.4">
      <c r="A75" s="19" t="s">
        <v>41</v>
      </c>
      <c r="B75" s="19"/>
      <c r="C75" s="19"/>
      <c r="D75" s="21">
        <v>0</v>
      </c>
      <c r="E75" s="21"/>
      <c r="F75" s="21">
        <v>0</v>
      </c>
      <c r="G75" s="21"/>
      <c r="H75" s="21">
        <v>0</v>
      </c>
      <c r="I75" s="21"/>
      <c r="J75" s="21">
        <v>0</v>
      </c>
      <c r="K75" s="21"/>
      <c r="L75" s="21">
        <v>0</v>
      </c>
      <c r="M75" s="21"/>
      <c r="N75" s="21">
        <v>0</v>
      </c>
    </row>
    <row r="76" spans="1:14" x14ac:dyDescent="0.4">
      <c r="A76" s="19" t="s">
        <v>42</v>
      </c>
      <c r="B76" s="19"/>
      <c r="C76" s="19"/>
      <c r="D76" s="21">
        <v>549.90300000000002</v>
      </c>
      <c r="E76" s="21"/>
      <c r="F76" s="21">
        <v>508.49900000000002</v>
      </c>
      <c r="G76" s="21"/>
      <c r="H76" s="21">
        <v>440.16800000000001</v>
      </c>
      <c r="I76" s="21"/>
      <c r="J76" s="21">
        <v>316.02</v>
      </c>
      <c r="K76" s="21"/>
      <c r="L76" s="21">
        <v>197.39500000000001</v>
      </c>
      <c r="M76" s="21"/>
      <c r="N76" s="21">
        <v>136.95400000000001</v>
      </c>
    </row>
    <row r="77" spans="1:14" x14ac:dyDescent="0.4">
      <c r="A77" s="19" t="s">
        <v>43</v>
      </c>
      <c r="B77" s="19"/>
      <c r="C77" s="19"/>
      <c r="D77" s="21">
        <v>0</v>
      </c>
      <c r="E77" s="21"/>
      <c r="F77" s="21">
        <v>0</v>
      </c>
      <c r="G77" s="21"/>
      <c r="H77" s="21">
        <v>0</v>
      </c>
      <c r="I77" s="21"/>
      <c r="J77" s="21">
        <v>0</v>
      </c>
      <c r="K77" s="21"/>
      <c r="L77" s="21">
        <v>0</v>
      </c>
      <c r="M77" s="21"/>
      <c r="N77" s="21">
        <v>0</v>
      </c>
    </row>
    <row r="78" spans="1:14" x14ac:dyDescent="0.4">
      <c r="A78" s="19" t="s">
        <v>44</v>
      </c>
      <c r="B78" s="19"/>
      <c r="C78" s="19"/>
      <c r="D78" s="21">
        <f>SUM(D68:D77)</f>
        <v>1324.0329999999999</v>
      </c>
      <c r="E78" s="21"/>
      <c r="F78" s="21">
        <f>SUM(F68:F77)</f>
        <v>1205.5840000000001</v>
      </c>
      <c r="G78" s="21"/>
      <c r="H78" s="21">
        <f>SUM(H68:H77)</f>
        <v>1001.745</v>
      </c>
      <c r="I78" s="21"/>
      <c r="J78" s="21">
        <v>834.45899999999995</v>
      </c>
      <c r="K78" s="21"/>
      <c r="L78" s="21">
        <v>683.68899999999996</v>
      </c>
      <c r="M78" s="21"/>
      <c r="N78" s="21">
        <v>583.04</v>
      </c>
    </row>
    <row r="79" spans="1:14" x14ac:dyDescent="0.4">
      <c r="A79" s="19" t="s">
        <v>45</v>
      </c>
      <c r="B79" s="19"/>
      <c r="C79" s="19"/>
      <c r="D79" s="21">
        <v>17.962</v>
      </c>
      <c r="E79" s="21"/>
      <c r="F79" s="21">
        <v>13.6</v>
      </c>
      <c r="G79" s="21"/>
      <c r="H79" s="21">
        <v>45.6</v>
      </c>
      <c r="I79" s="21"/>
      <c r="J79" s="21">
        <v>11.935</v>
      </c>
      <c r="K79" s="21"/>
      <c r="L79" s="21">
        <v>9.4209999999999994</v>
      </c>
      <c r="M79" s="21"/>
      <c r="N79" s="21">
        <v>12.099</v>
      </c>
    </row>
    <row r="80" spans="1:14" x14ac:dyDescent="0.4">
      <c r="A80" s="19" t="s">
        <v>46</v>
      </c>
      <c r="B80" s="19"/>
      <c r="C80" s="19"/>
      <c r="D80" s="21">
        <v>221.63399999999999</v>
      </c>
      <c r="E80" s="21"/>
      <c r="F80" s="21">
        <v>175.64400000000001</v>
      </c>
      <c r="G80" s="21"/>
      <c r="H80" s="21">
        <v>247.37100000000001</v>
      </c>
      <c r="I80" s="21"/>
      <c r="J80" s="21">
        <v>294.45800000000003</v>
      </c>
      <c r="K80" s="21"/>
      <c r="L80" s="21">
        <v>250.96899999999999</v>
      </c>
      <c r="M80" s="21"/>
      <c r="N80" s="21">
        <v>209.87100000000001</v>
      </c>
    </row>
    <row r="81" spans="1:14" x14ac:dyDescent="0.4">
      <c r="A81" s="19" t="s">
        <v>47</v>
      </c>
      <c r="B81" s="19"/>
      <c r="C81" s="19"/>
      <c r="D81" s="21">
        <v>0</v>
      </c>
      <c r="E81" s="21"/>
      <c r="F81" s="21">
        <v>0</v>
      </c>
      <c r="G81" s="21"/>
      <c r="H81" s="21">
        <v>0</v>
      </c>
      <c r="I81" s="21"/>
      <c r="J81" s="21">
        <v>0</v>
      </c>
      <c r="K81" s="21"/>
      <c r="L81" s="21">
        <v>0</v>
      </c>
      <c r="M81" s="21"/>
      <c r="N81" s="21">
        <v>0</v>
      </c>
    </row>
    <row r="82" spans="1:14" x14ac:dyDescent="0.4">
      <c r="A82" s="19" t="s">
        <v>48</v>
      </c>
      <c r="B82" s="19"/>
      <c r="C82" s="19"/>
      <c r="D82" s="21">
        <v>83.465999999999994</v>
      </c>
      <c r="E82" s="21"/>
      <c r="F82" s="21">
        <v>71.498000000000005</v>
      </c>
      <c r="G82" s="21"/>
      <c r="H82" s="21">
        <v>65.153000000000006</v>
      </c>
      <c r="I82" s="21"/>
      <c r="J82" s="21">
        <v>56.58</v>
      </c>
      <c r="K82" s="21"/>
      <c r="L82" s="21">
        <v>58.124000000000002</v>
      </c>
      <c r="M82" s="21"/>
      <c r="N82" s="21">
        <v>44.674999999999997</v>
      </c>
    </row>
    <row r="83" spans="1:14" x14ac:dyDescent="0.4">
      <c r="A83" s="19" t="s">
        <v>49</v>
      </c>
      <c r="B83" s="19"/>
      <c r="C83" s="19"/>
      <c r="D83" s="21">
        <f>62.661+10.228</f>
        <v>72.888999999999996</v>
      </c>
      <c r="E83" s="21"/>
      <c r="F83" s="21">
        <f>58.117+9.599</f>
        <v>67.715999999999994</v>
      </c>
      <c r="G83" s="21"/>
      <c r="H83" s="21">
        <f>45.9+8.752</f>
        <v>54.652000000000001</v>
      </c>
      <c r="I83" s="21"/>
      <c r="J83" s="21">
        <v>49.337000000000003</v>
      </c>
      <c r="K83" s="21"/>
      <c r="L83" s="21">
        <v>44.720999999999997</v>
      </c>
      <c r="M83" s="21"/>
      <c r="N83" s="21">
        <v>39.493000000000002</v>
      </c>
    </row>
    <row r="84" spans="1:14" x14ac:dyDescent="0.4">
      <c r="A84" s="19" t="s">
        <v>50</v>
      </c>
      <c r="B84" s="19"/>
      <c r="C84" s="19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</row>
    <row r="85" spans="1:14" x14ac:dyDescent="0.4">
      <c r="A85" s="19" t="s">
        <v>51</v>
      </c>
      <c r="B85" s="19"/>
      <c r="C85" s="19"/>
      <c r="D85" s="21">
        <v>26.658000000000001</v>
      </c>
      <c r="E85" s="21"/>
      <c r="F85" s="21">
        <v>24.709</v>
      </c>
      <c r="G85" s="21"/>
      <c r="H85" s="21">
        <v>24.475999999999999</v>
      </c>
      <c r="I85" s="21"/>
      <c r="J85" s="21">
        <v>21.225999999999999</v>
      </c>
      <c r="K85" s="21"/>
      <c r="L85" s="21">
        <v>11.085000000000001</v>
      </c>
      <c r="M85" s="21"/>
      <c r="N85" s="21">
        <v>31.257000000000001</v>
      </c>
    </row>
    <row r="86" spans="1:14" x14ac:dyDescent="0.4">
      <c r="A86" s="19" t="s">
        <v>52</v>
      </c>
      <c r="B86" s="19"/>
      <c r="C86" s="19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</row>
    <row r="87" spans="1:14" x14ac:dyDescent="0.4">
      <c r="A87" s="19" t="s">
        <v>53</v>
      </c>
      <c r="B87" s="19"/>
      <c r="C87" s="19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</row>
    <row r="88" spans="1:14" x14ac:dyDescent="0.4">
      <c r="A88" s="19" t="s">
        <v>69</v>
      </c>
      <c r="B88" s="19"/>
      <c r="C88" s="19"/>
      <c r="D88" s="21">
        <f>-9.026-1.464-0.053+5.945</f>
        <v>-4.5980000000000008</v>
      </c>
      <c r="E88" s="21"/>
      <c r="F88" s="21">
        <f>-0.2-6.243-1.482+0.207+4.829</f>
        <v>-2.8890000000000011</v>
      </c>
      <c r="G88" s="21"/>
      <c r="H88" s="21">
        <f>-7.344-4.135-1.595+1.985+4.279</f>
        <v>-6.8100000000000005</v>
      </c>
      <c r="I88" s="21"/>
      <c r="J88" s="21">
        <f>5.497+0.429+0.856+2.813</f>
        <v>9.5950000000000006</v>
      </c>
      <c r="K88" s="21"/>
      <c r="L88" s="21">
        <f>3.179-1.001+1.577+2.49-0.75</f>
        <v>5.4950000000000001</v>
      </c>
      <c r="M88" s="21"/>
      <c r="N88" s="21">
        <f>0.695-0.385+1.887+2.367-0.079</f>
        <v>4.4850000000000003</v>
      </c>
    </row>
    <row r="89" spans="1:14" x14ac:dyDescent="0.4">
      <c r="A89" s="19" t="s">
        <v>54</v>
      </c>
      <c r="B89" s="19"/>
      <c r="C89" s="19"/>
      <c r="D89" s="21">
        <v>186.92400000000001</v>
      </c>
      <c r="E89" s="21"/>
      <c r="F89" s="21">
        <v>165.511</v>
      </c>
      <c r="G89" s="21"/>
      <c r="H89" s="21">
        <v>184.727</v>
      </c>
      <c r="I89" s="21"/>
      <c r="J89" s="21">
        <v>269.767</v>
      </c>
      <c r="K89" s="21"/>
      <c r="L89" s="21">
        <v>175.32900000000001</v>
      </c>
      <c r="M89" s="21"/>
      <c r="N89" s="21">
        <v>169.86099999999999</v>
      </c>
    </row>
    <row r="90" spans="1:14" x14ac:dyDescent="0.4">
      <c r="A90" s="19" t="s">
        <v>55</v>
      </c>
      <c r="B90" s="19"/>
      <c r="C90" s="19"/>
      <c r="D90" s="21">
        <v>31.536999999999999</v>
      </c>
      <c r="E90" s="21"/>
      <c r="F90" s="21">
        <v>27.161000000000001</v>
      </c>
      <c r="G90" s="21"/>
      <c r="H90" s="21">
        <v>24.693000000000001</v>
      </c>
      <c r="I90" s="21"/>
      <c r="J90" s="21">
        <v>22.042999999999999</v>
      </c>
      <c r="K90" s="21"/>
      <c r="L90" s="21">
        <v>19.928000000000001</v>
      </c>
      <c r="M90" s="21"/>
      <c r="N90" s="21">
        <v>17.481999999999999</v>
      </c>
    </row>
    <row r="91" spans="1:14" x14ac:dyDescent="0.4">
      <c r="A91" s="19" t="s">
        <v>56</v>
      </c>
      <c r="B91" s="19"/>
      <c r="C91" s="19"/>
      <c r="D91" s="21">
        <v>0</v>
      </c>
      <c r="E91" s="21"/>
      <c r="F91" s="21">
        <v>0</v>
      </c>
      <c r="G91" s="21"/>
      <c r="H91" s="21">
        <v>0</v>
      </c>
      <c r="I91" s="21"/>
      <c r="J91" s="21">
        <v>0</v>
      </c>
      <c r="K91" s="21"/>
      <c r="L91" s="21">
        <v>0</v>
      </c>
      <c r="M91" s="21"/>
      <c r="N91" s="21">
        <v>0</v>
      </c>
    </row>
    <row r="92" spans="1:14" x14ac:dyDescent="0.4">
      <c r="A92" s="19" t="s">
        <v>57</v>
      </c>
      <c r="B92" s="19"/>
      <c r="C92" s="19"/>
      <c r="D92" s="21">
        <v>20.809000000000001</v>
      </c>
      <c r="E92" s="21"/>
      <c r="F92" s="21">
        <v>22.884</v>
      </c>
      <c r="G92" s="21"/>
      <c r="H92" s="21">
        <v>23.856000000000002</v>
      </c>
      <c r="I92" s="21"/>
      <c r="J92" s="21">
        <v>16.741</v>
      </c>
      <c r="K92" s="21"/>
      <c r="L92" s="21">
        <v>12.42</v>
      </c>
      <c r="M92" s="21"/>
      <c r="N92" s="21">
        <v>10.315</v>
      </c>
    </row>
    <row r="93" spans="1:14" x14ac:dyDescent="0.4">
      <c r="A93" s="19" t="s">
        <v>58</v>
      </c>
      <c r="B93" s="19"/>
      <c r="C93" s="19"/>
      <c r="D93" s="21">
        <v>8.3949999999999996</v>
      </c>
      <c r="E93" s="21"/>
      <c r="F93" s="21">
        <v>-8.1349999999999998</v>
      </c>
      <c r="G93" s="21"/>
      <c r="H93" s="21">
        <v>3.2210000000000001</v>
      </c>
      <c r="I93" s="21"/>
      <c r="J93" s="21">
        <v>0.47699999999999998</v>
      </c>
      <c r="K93" s="21"/>
      <c r="L93" s="21">
        <v>-4.1139999999999999</v>
      </c>
      <c r="M93" s="21"/>
      <c r="N93" s="21">
        <v>-5.3079999999999998</v>
      </c>
    </row>
    <row r="94" spans="1:14" x14ac:dyDescent="0.4">
      <c r="A94" s="19" t="s">
        <v>67</v>
      </c>
      <c r="B94" s="19"/>
      <c r="C94" s="19"/>
      <c r="D94" s="21">
        <v>1</v>
      </c>
      <c r="E94" s="21"/>
      <c r="F94" s="21">
        <v>1</v>
      </c>
      <c r="G94" s="21"/>
      <c r="H94" s="21">
        <v>1</v>
      </c>
      <c r="I94" s="21"/>
      <c r="J94" s="21">
        <v>1</v>
      </c>
      <c r="K94" s="21"/>
      <c r="L94" s="21">
        <v>1</v>
      </c>
      <c r="M94" s="21"/>
      <c r="N94" s="21">
        <v>1</v>
      </c>
    </row>
    <row r="95" spans="1:14" x14ac:dyDescent="0.4">
      <c r="A95" s="19" t="s">
        <v>68</v>
      </c>
      <c r="B95" s="19"/>
      <c r="C95" s="19"/>
      <c r="D95" s="21">
        <v>1</v>
      </c>
      <c r="E95" s="21"/>
      <c r="F95" s="21">
        <v>1</v>
      </c>
      <c r="G95" s="21"/>
      <c r="H95" s="21">
        <v>1</v>
      </c>
      <c r="I95" s="21"/>
      <c r="J95" s="21">
        <v>1</v>
      </c>
      <c r="K95" s="21"/>
      <c r="L95" s="21">
        <v>1</v>
      </c>
      <c r="M95" s="21"/>
      <c r="N95" s="21">
        <v>1</v>
      </c>
    </row>
    <row r="96" spans="1:14" x14ac:dyDescent="0.4">
      <c r="A96" s="19" t="s">
        <v>59</v>
      </c>
      <c r="B96" s="19"/>
      <c r="C96" s="19"/>
      <c r="D96" s="21">
        <v>33.363</v>
      </c>
      <c r="E96" s="21"/>
      <c r="F96" s="21">
        <v>29.106000000000002</v>
      </c>
      <c r="G96" s="21"/>
      <c r="H96" s="21">
        <v>26.190999999999999</v>
      </c>
      <c r="I96" s="21"/>
      <c r="J96" s="21">
        <v>23.6</v>
      </c>
      <c r="K96" s="21"/>
      <c r="L96" s="21">
        <v>21.045000000000002</v>
      </c>
      <c r="M96" s="21"/>
      <c r="N96" s="21">
        <v>18.847999999999999</v>
      </c>
    </row>
    <row r="97" spans="1:14" x14ac:dyDescent="0.4">
      <c r="A97" s="19" t="s">
        <v>60</v>
      </c>
      <c r="B97" s="19"/>
      <c r="C97" s="19"/>
      <c r="D97" s="21">
        <v>1.88</v>
      </c>
      <c r="E97" s="21"/>
      <c r="F97" s="21">
        <v>1.7250000000000001</v>
      </c>
      <c r="G97" s="21"/>
      <c r="H97" s="21">
        <v>1.585</v>
      </c>
      <c r="I97" s="21"/>
      <c r="J97" s="21">
        <v>1.4350000000000001</v>
      </c>
      <c r="K97" s="21"/>
      <c r="L97" s="21">
        <v>1.28</v>
      </c>
      <c r="M97" s="21"/>
      <c r="N97" s="21">
        <v>1.2030000000000001</v>
      </c>
    </row>
    <row r="98" spans="1:14" x14ac:dyDescent="0.4">
      <c r="A98" s="19" t="s">
        <v>61</v>
      </c>
      <c r="B98" s="19"/>
      <c r="C98" s="19"/>
      <c r="D98" s="21">
        <v>1.88</v>
      </c>
      <c r="E98" s="21"/>
      <c r="F98" s="21">
        <v>1.7250000000000001</v>
      </c>
      <c r="G98" s="21"/>
      <c r="H98" s="21">
        <v>1.585</v>
      </c>
      <c r="I98" s="21"/>
      <c r="J98" s="21">
        <v>1.39</v>
      </c>
      <c r="K98" s="21"/>
      <c r="L98" s="21">
        <v>1.26</v>
      </c>
      <c r="M98" s="21"/>
      <c r="N98" s="21">
        <v>1.1850000000000001</v>
      </c>
    </row>
    <row r="99" spans="1:14" x14ac:dyDescent="0.4">
      <c r="A99" s="19" t="s">
        <v>62</v>
      </c>
      <c r="B99" s="19"/>
      <c r="C99" s="19"/>
      <c r="D99" s="33">
        <v>146.07</v>
      </c>
      <c r="E99" s="21"/>
      <c r="F99" s="21">
        <v>111.4</v>
      </c>
      <c r="G99" s="21"/>
      <c r="H99" s="21">
        <v>98.55</v>
      </c>
      <c r="I99" s="21"/>
      <c r="J99" s="21">
        <v>93.4</v>
      </c>
      <c r="K99" s="21"/>
      <c r="L99" s="21">
        <v>86.35</v>
      </c>
      <c r="M99" s="21"/>
      <c r="N99" s="21">
        <v>70</v>
      </c>
    </row>
    <row r="100" spans="1:14" x14ac:dyDescent="0.4">
      <c r="A100" s="19" t="s">
        <v>63</v>
      </c>
      <c r="B100" s="19"/>
      <c r="C100" s="19"/>
      <c r="D100" s="33">
        <v>99.64</v>
      </c>
      <c r="E100" s="21"/>
      <c r="F100" s="21">
        <v>69.47</v>
      </c>
      <c r="G100" s="21"/>
      <c r="H100" s="21">
        <v>77.59</v>
      </c>
      <c r="I100" s="21"/>
      <c r="J100" s="21">
        <v>66.349999999999994</v>
      </c>
      <c r="K100" s="21"/>
      <c r="L100" s="21">
        <v>63</v>
      </c>
      <c r="M100" s="21"/>
      <c r="N100" s="21">
        <v>52.25</v>
      </c>
    </row>
    <row r="101" spans="1:14" x14ac:dyDescent="0.4">
      <c r="A101" s="19" t="s">
        <v>64</v>
      </c>
      <c r="B101" s="19"/>
      <c r="C101" s="19"/>
      <c r="D101" s="34">
        <v>145.81</v>
      </c>
      <c r="E101" s="21"/>
      <c r="F101">
        <v>108.21</v>
      </c>
      <c r="G101" s="21"/>
      <c r="H101" s="21">
        <v>95.83</v>
      </c>
      <c r="I101" s="21"/>
      <c r="J101" s="21">
        <v>81.3</v>
      </c>
      <c r="K101" s="21"/>
      <c r="L101" s="21">
        <v>78.55</v>
      </c>
      <c r="M101" s="21"/>
      <c r="N101" s="21">
        <v>66.95</v>
      </c>
    </row>
    <row r="102" spans="1:14" x14ac:dyDescent="0.4">
      <c r="A102" s="19" t="s">
        <v>65</v>
      </c>
      <c r="B102" s="19"/>
      <c r="C102" s="19"/>
      <c r="D102" s="21">
        <v>17.65541</v>
      </c>
      <c r="E102" s="21"/>
      <c r="F102" s="21">
        <v>17.461841</v>
      </c>
      <c r="G102" s="21"/>
      <c r="H102" s="21">
        <v>16.403776000000001</v>
      </c>
      <c r="I102" s="21"/>
      <c r="J102" s="21">
        <v>16.378</v>
      </c>
      <c r="K102" s="21"/>
      <c r="L102" s="21">
        <v>16.344000000000001</v>
      </c>
      <c r="M102" s="21"/>
      <c r="N102" s="21">
        <v>16.303999999999998</v>
      </c>
    </row>
    <row r="103" spans="1:14" x14ac:dyDescent="0.4">
      <c r="A103" s="19" t="s">
        <v>73</v>
      </c>
      <c r="B103" s="19"/>
      <c r="C103" s="19"/>
      <c r="D103" s="21">
        <v>1.3029999999999999</v>
      </c>
      <c r="E103" s="21"/>
      <c r="F103" s="21">
        <v>-2.8650000000000002</v>
      </c>
      <c r="G103" s="21"/>
      <c r="H103" s="21">
        <v>-6.2670000000000003</v>
      </c>
      <c r="I103" s="21"/>
      <c r="J103" s="21">
        <v>-6.7130000000000001</v>
      </c>
      <c r="K103" s="21"/>
      <c r="L103" s="21">
        <v>-4.2720000000000002</v>
      </c>
      <c r="M103" s="21"/>
      <c r="N103" s="21">
        <v>-4.8780000000000001</v>
      </c>
    </row>
    <row r="104" spans="1:14" x14ac:dyDescent="0.4">
      <c r="A104" t="s">
        <v>71</v>
      </c>
    </row>
    <row r="105" spans="1:14" x14ac:dyDescent="0.4">
      <c r="B105" t="s">
        <v>70</v>
      </c>
      <c r="D105" s="14">
        <f>D67/D94</f>
        <v>4.75</v>
      </c>
      <c r="F105" s="14">
        <f>F67/F94</f>
        <v>4.2300000000000004</v>
      </c>
      <c r="H105" s="14">
        <f>H67/H94</f>
        <v>3.73</v>
      </c>
      <c r="J105" s="14">
        <f>J67/J94</f>
        <v>3.46</v>
      </c>
      <c r="L105" s="14">
        <f>L67/L94</f>
        <v>3.56</v>
      </c>
      <c r="N105" s="14">
        <f>N67/N94</f>
        <v>2.87</v>
      </c>
    </row>
    <row r="106" spans="1:14" x14ac:dyDescent="0.4">
      <c r="B106" t="s">
        <v>60</v>
      </c>
      <c r="D106" s="14">
        <f>D97/D94</f>
        <v>1.88</v>
      </c>
      <c r="F106" s="14">
        <f>F97/F94</f>
        <v>1.7250000000000001</v>
      </c>
      <c r="H106" s="14">
        <f>H97/H94</f>
        <v>1.585</v>
      </c>
      <c r="J106" s="14">
        <f>J97/J94</f>
        <v>1.4350000000000001</v>
      </c>
      <c r="L106" s="14">
        <f>L97/L94</f>
        <v>1.28</v>
      </c>
      <c r="N106" s="14">
        <f>N97/N94</f>
        <v>1.2030000000000001</v>
      </c>
    </row>
    <row r="107" spans="1:14" x14ac:dyDescent="0.4">
      <c r="B107" t="s">
        <v>61</v>
      </c>
      <c r="D107" s="14">
        <f>D98/D94</f>
        <v>1.88</v>
      </c>
      <c r="F107" s="14">
        <f>F98/F94</f>
        <v>1.7250000000000001</v>
      </c>
      <c r="H107" s="14">
        <f>H98/H94</f>
        <v>1.585</v>
      </c>
      <c r="J107" s="14">
        <f>J98/J94</f>
        <v>1.39</v>
      </c>
      <c r="L107" s="14">
        <f>L98/L94</f>
        <v>1.26</v>
      </c>
      <c r="N107" s="14">
        <f>N98/N94</f>
        <v>1.1850000000000001</v>
      </c>
    </row>
    <row r="108" spans="1:14" x14ac:dyDescent="0.4">
      <c r="B108" t="s">
        <v>62</v>
      </c>
      <c r="D108" s="14">
        <v>146.07</v>
      </c>
      <c r="F108" s="14">
        <f>F99/F94</f>
        <v>111.4</v>
      </c>
      <c r="H108" s="14">
        <f>H99/H94</f>
        <v>98.55</v>
      </c>
      <c r="J108" s="14">
        <f>J99/J94</f>
        <v>93.4</v>
      </c>
      <c r="L108" s="14">
        <f>L99/L94</f>
        <v>86.35</v>
      </c>
      <c r="N108" s="14">
        <f>N99/N94</f>
        <v>70</v>
      </c>
    </row>
    <row r="109" spans="1:14" x14ac:dyDescent="0.4">
      <c r="B109" t="s">
        <v>63</v>
      </c>
      <c r="D109" s="14">
        <v>99.639999000000003</v>
      </c>
      <c r="F109" s="14">
        <f>F100/F94</f>
        <v>69.47</v>
      </c>
      <c r="H109" s="14">
        <f>H100/H94</f>
        <v>77.59</v>
      </c>
      <c r="J109" s="14">
        <f>J100/J94</f>
        <v>66.349999999999994</v>
      </c>
      <c r="L109" s="14">
        <f>L100/L94</f>
        <v>63</v>
      </c>
      <c r="N109" s="14">
        <f>N100/N94</f>
        <v>52.25</v>
      </c>
    </row>
    <row r="110" spans="1:14" x14ac:dyDescent="0.4">
      <c r="B110" t="s">
        <v>64</v>
      </c>
      <c r="D110" s="14">
        <f>D101/D94</f>
        <v>145.81</v>
      </c>
      <c r="F110" s="14">
        <f>F101/F94</f>
        <v>108.21</v>
      </c>
      <c r="H110" s="14">
        <f>H101/H94</f>
        <v>95.83</v>
      </c>
      <c r="J110" s="14">
        <f>J101/J94</f>
        <v>81.3</v>
      </c>
      <c r="L110" s="14">
        <f>L101/L94</f>
        <v>78.55</v>
      </c>
      <c r="N110" s="14">
        <f>N101/N94</f>
        <v>66.95</v>
      </c>
    </row>
    <row r="111" spans="1:14" x14ac:dyDescent="0.4">
      <c r="B111" t="s">
        <v>65</v>
      </c>
      <c r="D111" s="15">
        <f>D102*D94</f>
        <v>17.65541</v>
      </c>
      <c r="E111" s="15"/>
      <c r="F111" s="15">
        <f>F102*F94</f>
        <v>17.461841</v>
      </c>
      <c r="G111" s="15"/>
      <c r="H111" s="15">
        <f>H102*H94</f>
        <v>16.403776000000001</v>
      </c>
      <c r="I111" s="15"/>
      <c r="J111" s="15">
        <f>J102*J94</f>
        <v>16.378</v>
      </c>
      <c r="K111" s="15"/>
      <c r="L111" s="15">
        <f>L102*L94</f>
        <v>16.344000000000001</v>
      </c>
      <c r="M111" s="15"/>
      <c r="N111" s="15">
        <f>N102*N94</f>
        <v>16.303999999999998</v>
      </c>
    </row>
    <row r="112" spans="1:14" x14ac:dyDescent="0.4">
      <c r="B112" t="s">
        <v>66</v>
      </c>
      <c r="D112" s="14">
        <f>ROUND(D68/D111,2)</f>
        <v>43.85</v>
      </c>
      <c r="F112" s="14">
        <f>ROUND(F68/F111,2)</f>
        <v>39.92</v>
      </c>
      <c r="H112" s="14">
        <f>ROUND(H68/H111,2)</f>
        <v>34.229999999999997</v>
      </c>
      <c r="J112" s="14">
        <f>ROUND(J68/J111,2)</f>
        <v>31.65</v>
      </c>
      <c r="L112" s="14">
        <f>ROUND(L68/L111,2)</f>
        <v>29.75</v>
      </c>
      <c r="N112" s="14">
        <f>ROUND(N68/N111,2)</f>
        <v>27.36</v>
      </c>
    </row>
  </sheetData>
  <mergeCells count="4">
    <mergeCell ref="D6:L6"/>
    <mergeCell ref="A1:O1"/>
    <mergeCell ref="A2:O2"/>
    <mergeCell ref="A3:O3"/>
  </mergeCells>
  <phoneticPr fontId="0" type="noConversion"/>
  <pageMargins left="1.25" right="0" top="1.5" bottom="1" header="0.5" footer="0.5"/>
  <pageSetup scale="63" orientation="portrait" r:id="rId1"/>
  <headerFooter alignWithMargins="0">
    <oddHeader>&amp;RExhibit No. PRM-1
Page 3 of 30
Schedule 2 [1 of 2]</oddHeader>
  </headerFooter>
  <rowBreaks count="1" manualBreakCount="1">
    <brk id="52" max="16383" man="1"/>
  </rowBreaks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 A C T I V E ! 1 5 6 7 5 8 2 4 . 1 < / d o c u m e n t i d >  
     < s e n d e r i d > K E A B E T < / s e n d e r i d >  
     < s e n d e r e m a i l > B K E A T I N G @ G U N S T E R . C O M < / s e n d e r e m a i l >  
     < l a s t m o d i f i e d > 2 0 2 2 - 0 6 - 0 3 T 1 0 : 2 2 : 1 0 . 0 0 0 0 0 0 0 - 0 4 : 0 0 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Page 1</vt:lpstr>
      <vt:lpstr>'Page 1'!Print_Area</vt:lpstr>
    </vt:vector>
  </TitlesOfParts>
  <Company>DellComputerCorporation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User</dc:creator>
  <cp:lastModifiedBy>Paul</cp:lastModifiedBy>
  <cp:lastPrinted>2022-04-12T17:19:32Z</cp:lastPrinted>
  <dcterms:created xsi:type="dcterms:W3CDTF">2001-03-03T20:55:32Z</dcterms:created>
  <dcterms:modified xsi:type="dcterms:W3CDTF">2022-06-03T14:22:10Z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{04D34D7E-9ED1-434E-AF91-B28BBA8682BC}</vt:lpwstr>
  </property>
</Properties>
</file>