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771F803F-4DA7-4978-A25C-3ACBDFFF3D99}" xr6:coauthVersionLast="47" xr6:coauthVersionMax="47" xr10:uidLastSave="{00000000-0000-0000-0000-000000000000}"/>
  <bookViews>
    <workbookView xWindow="4140" yWindow="4140" windowWidth="21600" windowHeight="11423" tabRatio="952" xr2:uid="{00000000-000D-0000-FFFF-FFFF00000000}"/>
  </bookViews>
  <sheets>
    <sheet name="Page 1" sheetId="14" r:id="rId1"/>
    <sheet name="Atmos" sheetId="27" r:id="rId2"/>
    <sheet name="Chesapeake" sheetId="18" r:id="rId3"/>
    <sheet name="NJ Res" sheetId="20" r:id="rId4"/>
    <sheet name="NISource" sheetId="53" r:id="rId5"/>
    <sheet name="Northwest" sheetId="24" r:id="rId6"/>
    <sheet name="One Gas" sheetId="47" r:id="rId7"/>
    <sheet name="Southwest" sheetId="52" r:id="rId8"/>
    <sheet name="Spire" sheetId="17" r:id="rId9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'Page 1'!$A$1:$O$52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8" i="18" l="1"/>
  <c r="L88" i="18"/>
  <c r="J88" i="18"/>
  <c r="J60" i="18"/>
  <c r="J58" i="18"/>
  <c r="H60" i="18"/>
  <c r="H58" i="18"/>
  <c r="J50" i="24" l="1"/>
  <c r="J49" i="24"/>
  <c r="J48" i="24"/>
  <c r="J47" i="24"/>
  <c r="J46" i="24"/>
  <c r="J45" i="24"/>
  <c r="J42" i="24"/>
  <c r="J41" i="24"/>
  <c r="J40" i="24"/>
  <c r="J37" i="24"/>
  <c r="J36" i="24"/>
  <c r="J35" i="24"/>
  <c r="J32" i="24"/>
  <c r="J30" i="24"/>
  <c r="J27" i="24"/>
  <c r="J28" i="24" s="1"/>
  <c r="J26" i="24"/>
  <c r="J25" i="24"/>
  <c r="J22" i="24"/>
  <c r="J23" i="24" s="1"/>
  <c r="J21" i="24"/>
  <c r="J20" i="24"/>
  <c r="J16" i="24"/>
  <c r="J15" i="24"/>
  <c r="J14" i="24"/>
  <c r="J13" i="24"/>
  <c r="H40" i="24"/>
  <c r="H41" i="24"/>
  <c r="H42" i="24"/>
  <c r="D68" i="17"/>
  <c r="D60" i="17"/>
  <c r="D58" i="17"/>
  <c r="F58" i="17"/>
  <c r="H58" i="17"/>
  <c r="F60" i="17"/>
  <c r="H60" i="17"/>
  <c r="F68" i="17"/>
  <c r="F78" i="17" s="1"/>
  <c r="H68" i="17"/>
  <c r="H78" i="17"/>
  <c r="F88" i="17"/>
  <c r="D60" i="52"/>
  <c r="D58" i="52"/>
  <c r="F58" i="52"/>
  <c r="H58" i="52"/>
  <c r="F60" i="52"/>
  <c r="H60" i="52"/>
  <c r="F78" i="52"/>
  <c r="H78" i="52"/>
  <c r="D88" i="47"/>
  <c r="D60" i="47"/>
  <c r="D58" i="47"/>
  <c r="F58" i="47"/>
  <c r="H58" i="47"/>
  <c r="F60" i="47"/>
  <c r="H60" i="47"/>
  <c r="F78" i="47"/>
  <c r="H78" i="47"/>
  <c r="F88" i="47"/>
  <c r="H88" i="47"/>
  <c r="D88" i="24"/>
  <c r="D60" i="24"/>
  <c r="D58" i="24"/>
  <c r="F58" i="24" l="1"/>
  <c r="H58" i="24"/>
  <c r="F60" i="24"/>
  <c r="H60" i="24"/>
  <c r="F78" i="24"/>
  <c r="H78" i="24"/>
  <c r="F88" i="24"/>
  <c r="H88" i="24"/>
  <c r="D50" i="53"/>
  <c r="D49" i="53"/>
  <c r="D48" i="53"/>
  <c r="D47" i="53"/>
  <c r="D46" i="53"/>
  <c r="D45" i="53"/>
  <c r="D42" i="53"/>
  <c r="D41" i="53"/>
  <c r="D40" i="53"/>
  <c r="D37" i="53"/>
  <c r="D36" i="53"/>
  <c r="D35" i="53"/>
  <c r="D32" i="53"/>
  <c r="D30" i="53"/>
  <c r="D28" i="53"/>
  <c r="D27" i="53"/>
  <c r="D26" i="53"/>
  <c r="D25" i="53"/>
  <c r="D22" i="53"/>
  <c r="D21" i="53"/>
  <c r="D23" i="53" s="1"/>
  <c r="D20" i="53"/>
  <c r="D16" i="53"/>
  <c r="D15" i="53"/>
  <c r="D14" i="53"/>
  <c r="D13" i="53"/>
  <c r="H13" i="53"/>
  <c r="F14" i="53"/>
  <c r="H14" i="53"/>
  <c r="J14" i="53"/>
  <c r="L14" i="53"/>
  <c r="F15" i="53"/>
  <c r="H15" i="53"/>
  <c r="J15" i="53"/>
  <c r="L15" i="53"/>
  <c r="H16" i="53"/>
  <c r="F20" i="53"/>
  <c r="F23" i="53" s="1"/>
  <c r="H20" i="53"/>
  <c r="H23" i="53" s="1"/>
  <c r="J20" i="53"/>
  <c r="J23" i="53" s="1"/>
  <c r="L20" i="53"/>
  <c r="L23" i="53" s="1"/>
  <c r="F21" i="53"/>
  <c r="H21" i="53"/>
  <c r="J21" i="53"/>
  <c r="L21" i="53"/>
  <c r="F22" i="53"/>
  <c r="H22" i="53"/>
  <c r="J22" i="53"/>
  <c r="L22" i="53"/>
  <c r="F25" i="53"/>
  <c r="F28" i="53" s="1"/>
  <c r="H25" i="53"/>
  <c r="H28" i="53" s="1"/>
  <c r="J25" i="53"/>
  <c r="J28" i="53" s="1"/>
  <c r="L25" i="53"/>
  <c r="L28" i="53" s="1"/>
  <c r="F26" i="53"/>
  <c r="H26" i="53"/>
  <c r="J26" i="53"/>
  <c r="L26" i="53"/>
  <c r="F27" i="53"/>
  <c r="H27" i="53"/>
  <c r="J27" i="53"/>
  <c r="L27" i="53"/>
  <c r="H30" i="53"/>
  <c r="L30" i="53"/>
  <c r="F32" i="53"/>
  <c r="H32" i="53"/>
  <c r="J32" i="53"/>
  <c r="L32" i="53"/>
  <c r="F35" i="53"/>
  <c r="H35" i="53"/>
  <c r="J35" i="53"/>
  <c r="L35" i="53"/>
  <c r="F36" i="53"/>
  <c r="H36" i="53"/>
  <c r="J36" i="53"/>
  <c r="L36" i="53"/>
  <c r="F37" i="53"/>
  <c r="H37" i="53"/>
  <c r="J37" i="53"/>
  <c r="L37" i="53"/>
  <c r="F40" i="53"/>
  <c r="H40" i="53"/>
  <c r="J40" i="53"/>
  <c r="L40" i="53"/>
  <c r="F41" i="53"/>
  <c r="H41" i="53"/>
  <c r="J41" i="53"/>
  <c r="L41" i="53"/>
  <c r="F42" i="53"/>
  <c r="H42" i="53"/>
  <c r="J42" i="53"/>
  <c r="L42" i="53"/>
  <c r="H45" i="53"/>
  <c r="L45" i="53"/>
  <c r="F46" i="53"/>
  <c r="H46" i="53"/>
  <c r="J46" i="53"/>
  <c r="L46" i="53"/>
  <c r="F47" i="53"/>
  <c r="H47" i="53"/>
  <c r="J47" i="53"/>
  <c r="L47" i="53"/>
  <c r="F48" i="53"/>
  <c r="H48" i="53"/>
  <c r="J48" i="53"/>
  <c r="L48" i="53"/>
  <c r="F49" i="53"/>
  <c r="H49" i="53"/>
  <c r="J49" i="53"/>
  <c r="L49" i="53"/>
  <c r="F50" i="53"/>
  <c r="H50" i="53"/>
  <c r="J50" i="53"/>
  <c r="L50" i="53"/>
  <c r="D88" i="53" l="1"/>
  <c r="D68" i="53"/>
  <c r="D62" i="53"/>
  <c r="D60" i="53" l="1"/>
  <c r="D58" i="53"/>
  <c r="F58" i="53"/>
  <c r="H58" i="53"/>
  <c r="F60" i="53"/>
  <c r="H60" i="53"/>
  <c r="F62" i="53"/>
  <c r="H62" i="53"/>
  <c r="F68" i="53"/>
  <c r="H68" i="53"/>
  <c r="F78" i="53"/>
  <c r="H78" i="53"/>
  <c r="F88" i="53"/>
  <c r="H88" i="53"/>
  <c r="D89" i="20"/>
  <c r="D88" i="20"/>
  <c r="D102" i="20"/>
  <c r="D62" i="20" l="1"/>
  <c r="D60" i="20"/>
  <c r="D58" i="20"/>
  <c r="F58" i="20"/>
  <c r="H58" i="20"/>
  <c r="F60" i="20"/>
  <c r="H60" i="20"/>
  <c r="F62" i="20"/>
  <c r="F78" i="20"/>
  <c r="H78" i="20"/>
  <c r="F88" i="20"/>
  <c r="H88" i="20"/>
  <c r="F89" i="20"/>
  <c r="H89" i="20"/>
  <c r="F102" i="20"/>
  <c r="D88" i="18"/>
  <c r="D83" i="18"/>
  <c r="D60" i="18"/>
  <c r="D58" i="18"/>
  <c r="F58" i="18"/>
  <c r="F60" i="18"/>
  <c r="F78" i="18"/>
  <c r="H78" i="18"/>
  <c r="F83" i="18"/>
  <c r="H83" i="18"/>
  <c r="F88" i="18"/>
  <c r="H88" i="18"/>
  <c r="D88" i="27" l="1"/>
  <c r="D60" i="27"/>
  <c r="D58" i="27"/>
  <c r="F58" i="27"/>
  <c r="H58" i="27"/>
  <c r="F60" i="27"/>
  <c r="H60" i="27"/>
  <c r="F78" i="27"/>
  <c r="H78" i="27"/>
  <c r="F88" i="27"/>
  <c r="H88" i="27"/>
  <c r="F105" i="27"/>
  <c r="H105" i="27"/>
  <c r="J105" i="27"/>
  <c r="L105" i="27"/>
  <c r="N105" i="27"/>
  <c r="F106" i="27"/>
  <c r="H106" i="27"/>
  <c r="J106" i="27"/>
  <c r="L106" i="27"/>
  <c r="N106" i="27"/>
  <c r="F107" i="27"/>
  <c r="H107" i="27"/>
  <c r="J107" i="27"/>
  <c r="L107" i="27"/>
  <c r="N107" i="27"/>
  <c r="F108" i="27"/>
  <c r="H108" i="27"/>
  <c r="J108" i="27"/>
  <c r="L108" i="27"/>
  <c r="N108" i="27"/>
  <c r="F109" i="27"/>
  <c r="H109" i="27"/>
  <c r="J109" i="27"/>
  <c r="L109" i="27"/>
  <c r="N109" i="27"/>
  <c r="F110" i="27"/>
  <c r="H110" i="27"/>
  <c r="J110" i="27"/>
  <c r="L110" i="27"/>
  <c r="N110" i="27"/>
  <c r="F111" i="27"/>
  <c r="F112" i="27" s="1"/>
  <c r="H111" i="27"/>
  <c r="H112" i="27" s="1"/>
  <c r="J111" i="27"/>
  <c r="J112" i="27" s="1"/>
  <c r="L111" i="27"/>
  <c r="L112" i="27" s="1"/>
  <c r="N111" i="27"/>
  <c r="N112" i="27" s="1"/>
  <c r="F16" i="24" l="1"/>
  <c r="H16" i="24"/>
  <c r="F30" i="24"/>
  <c r="H30" i="24"/>
  <c r="H32" i="24"/>
  <c r="L32" i="24"/>
  <c r="F35" i="24"/>
  <c r="H35" i="24"/>
  <c r="F36" i="24"/>
  <c r="H36" i="24"/>
  <c r="F37" i="24"/>
  <c r="H37" i="24"/>
  <c r="F40" i="24"/>
  <c r="F41" i="24"/>
  <c r="F42" i="24"/>
  <c r="F45" i="24"/>
  <c r="H45" i="24"/>
  <c r="F46" i="24"/>
  <c r="H46" i="24"/>
  <c r="L46" i="24"/>
  <c r="H47" i="24"/>
  <c r="L47" i="24"/>
  <c r="H48" i="24"/>
  <c r="L48" i="24"/>
  <c r="H49" i="24"/>
  <c r="L49" i="24"/>
  <c r="H50" i="24"/>
  <c r="L50" i="24"/>
  <c r="F32" i="24" l="1"/>
  <c r="D78" i="53"/>
  <c r="F48" i="24" l="1"/>
  <c r="F49" i="24"/>
  <c r="F47" i="24"/>
  <c r="F50" i="24"/>
  <c r="D78" i="17" l="1"/>
  <c r="D8" i="17" s="1"/>
  <c r="D49" i="52"/>
  <c r="D78" i="52"/>
  <c r="D8" i="52" s="1"/>
  <c r="D50" i="47"/>
  <c r="D78" i="47"/>
  <c r="D8" i="47" s="1"/>
  <c r="D48" i="24"/>
  <c r="N48" i="24" s="1"/>
  <c r="D78" i="24"/>
  <c r="D8" i="24" s="1"/>
  <c r="D22" i="24" s="1"/>
  <c r="D49" i="20"/>
  <c r="D111" i="20"/>
  <c r="D112" i="20" s="1"/>
  <c r="D78" i="20"/>
  <c r="D8" i="20" s="1"/>
  <c r="D49" i="18"/>
  <c r="D50" i="18"/>
  <c r="D78" i="18"/>
  <c r="D8" i="18" s="1"/>
  <c r="D49" i="27"/>
  <c r="D78" i="27"/>
  <c r="D32" i="27"/>
  <c r="N45" i="53"/>
  <c r="N30" i="53"/>
  <c r="N16" i="53"/>
  <c r="L30" i="47"/>
  <c r="L16" i="47"/>
  <c r="D45" i="24"/>
  <c r="N45" i="24" s="1"/>
  <c r="D42" i="24"/>
  <c r="N42" i="24" s="1"/>
  <c r="D41" i="24"/>
  <c r="D40" i="24"/>
  <c r="N40" i="24" s="1"/>
  <c r="D37" i="24"/>
  <c r="D36" i="24"/>
  <c r="N36" i="24" s="1"/>
  <c r="D35" i="24"/>
  <c r="D30" i="24"/>
  <c r="D16" i="24"/>
  <c r="J30" i="47"/>
  <c r="J16" i="47"/>
  <c r="J32" i="47"/>
  <c r="J35" i="47"/>
  <c r="J36" i="47"/>
  <c r="J37" i="47"/>
  <c r="J40" i="47"/>
  <c r="J41" i="47"/>
  <c r="J42" i="47"/>
  <c r="J45" i="47"/>
  <c r="J46" i="47"/>
  <c r="J47" i="47"/>
  <c r="J48" i="47"/>
  <c r="J49" i="47"/>
  <c r="J50" i="47"/>
  <c r="N111" i="53"/>
  <c r="N112" i="53" s="1"/>
  <c r="L111" i="53"/>
  <c r="L112" i="53" s="1"/>
  <c r="J111" i="53"/>
  <c r="J112" i="53"/>
  <c r="H111" i="53"/>
  <c r="H112" i="53" s="1"/>
  <c r="F111" i="53"/>
  <c r="F112" i="53" s="1"/>
  <c r="D111" i="53"/>
  <c r="D112" i="53" s="1"/>
  <c r="N110" i="53"/>
  <c r="L110" i="53"/>
  <c r="J110" i="53"/>
  <c r="H110" i="53"/>
  <c r="F110" i="53"/>
  <c r="D110" i="53"/>
  <c r="N109" i="53"/>
  <c r="L109" i="53"/>
  <c r="J109" i="53"/>
  <c r="H109" i="53"/>
  <c r="F109" i="53"/>
  <c r="D109" i="53"/>
  <c r="N108" i="53"/>
  <c r="L108" i="53"/>
  <c r="J108" i="53"/>
  <c r="H108" i="53"/>
  <c r="F108" i="53"/>
  <c r="D108" i="53"/>
  <c r="N107" i="53"/>
  <c r="L107" i="53"/>
  <c r="J107" i="53"/>
  <c r="H107" i="53"/>
  <c r="F107" i="53"/>
  <c r="D107" i="53"/>
  <c r="N106" i="53"/>
  <c r="L106" i="53"/>
  <c r="J106" i="53"/>
  <c r="H106" i="53"/>
  <c r="F106" i="53"/>
  <c r="D106" i="53"/>
  <c r="N105" i="53"/>
  <c r="L105" i="53"/>
  <c r="J105" i="53"/>
  <c r="H105" i="53"/>
  <c r="F105" i="53"/>
  <c r="D105" i="53"/>
  <c r="N49" i="53"/>
  <c r="N46" i="53"/>
  <c r="N42" i="53"/>
  <c r="N40" i="53"/>
  <c r="N37" i="53"/>
  <c r="N36" i="53"/>
  <c r="N32" i="53"/>
  <c r="L9" i="53"/>
  <c r="J9" i="53"/>
  <c r="H9" i="53"/>
  <c r="F9" i="53"/>
  <c r="D9" i="53"/>
  <c r="L8" i="53"/>
  <c r="J8" i="53"/>
  <c r="H8" i="53"/>
  <c r="H10" i="53" s="1"/>
  <c r="F8" i="53"/>
  <c r="D8" i="53"/>
  <c r="L5" i="53"/>
  <c r="J5" i="53"/>
  <c r="H5" i="53"/>
  <c r="F5" i="53"/>
  <c r="D5" i="53"/>
  <c r="A3" i="53"/>
  <c r="A1" i="53"/>
  <c r="N111" i="52"/>
  <c r="N112" i="52"/>
  <c r="L111" i="52"/>
  <c r="L112" i="52" s="1"/>
  <c r="J111" i="52"/>
  <c r="J112" i="52"/>
  <c r="H111" i="52"/>
  <c r="H112" i="52"/>
  <c r="F111" i="52"/>
  <c r="F112" i="52" s="1"/>
  <c r="F14" i="52" s="1"/>
  <c r="D111" i="52"/>
  <c r="D112" i="52" s="1"/>
  <c r="N110" i="52"/>
  <c r="L110" i="52"/>
  <c r="J110" i="52"/>
  <c r="H110" i="52"/>
  <c r="F110" i="52"/>
  <c r="D110" i="52"/>
  <c r="N109" i="52"/>
  <c r="L109" i="52"/>
  <c r="J109" i="52"/>
  <c r="H109" i="52"/>
  <c r="F109" i="52"/>
  <c r="D109" i="52"/>
  <c r="D13" i="52" s="1"/>
  <c r="N108" i="52"/>
  <c r="L108" i="52"/>
  <c r="J108" i="52"/>
  <c r="J13" i="52" s="1"/>
  <c r="H108" i="52"/>
  <c r="F108" i="52"/>
  <c r="D108" i="52"/>
  <c r="N107" i="52"/>
  <c r="L107" i="52"/>
  <c r="J107" i="52"/>
  <c r="H107" i="52"/>
  <c r="F107" i="52"/>
  <c r="D107" i="52"/>
  <c r="N106" i="52"/>
  <c r="L106" i="52"/>
  <c r="J106" i="52"/>
  <c r="H106" i="52"/>
  <c r="H15" i="52" s="1"/>
  <c r="F106" i="52"/>
  <c r="F15" i="52" s="1"/>
  <c r="D106" i="52"/>
  <c r="D15" i="52" s="1"/>
  <c r="N105" i="52"/>
  <c r="L105" i="52"/>
  <c r="J105" i="52"/>
  <c r="H105" i="52"/>
  <c r="F105" i="52"/>
  <c r="D105" i="52"/>
  <c r="L50" i="52"/>
  <c r="J50" i="52"/>
  <c r="H50" i="52"/>
  <c r="F50" i="52"/>
  <c r="D50" i="52"/>
  <c r="L49" i="52"/>
  <c r="J49" i="52"/>
  <c r="H49" i="52"/>
  <c r="F49" i="52"/>
  <c r="L48" i="52"/>
  <c r="J48" i="52"/>
  <c r="H48" i="52"/>
  <c r="F48" i="52"/>
  <c r="D48" i="52"/>
  <c r="L47" i="52"/>
  <c r="J47" i="52"/>
  <c r="H47" i="52"/>
  <c r="F47" i="52"/>
  <c r="D47" i="52"/>
  <c r="L46" i="52"/>
  <c r="J46" i="52"/>
  <c r="H46" i="52"/>
  <c r="F46" i="52"/>
  <c r="D46" i="52"/>
  <c r="L45" i="52"/>
  <c r="J45" i="52"/>
  <c r="H45" i="52"/>
  <c r="F45" i="52"/>
  <c r="D45" i="52"/>
  <c r="L42" i="52"/>
  <c r="J42" i="52"/>
  <c r="H42" i="52"/>
  <c r="F42" i="52"/>
  <c r="D42" i="52"/>
  <c r="N42" i="52" s="1"/>
  <c r="L41" i="52"/>
  <c r="J41" i="52"/>
  <c r="H41" i="52"/>
  <c r="F41" i="52"/>
  <c r="D41" i="52"/>
  <c r="L40" i="52"/>
  <c r="J40" i="52"/>
  <c r="H40" i="52"/>
  <c r="F40" i="52"/>
  <c r="D40" i="52"/>
  <c r="L37" i="52"/>
  <c r="J37" i="52"/>
  <c r="H37" i="52"/>
  <c r="F37" i="52"/>
  <c r="D37" i="52"/>
  <c r="L36" i="52"/>
  <c r="J36" i="52"/>
  <c r="H36" i="52"/>
  <c r="F36" i="52"/>
  <c r="D36" i="52"/>
  <c r="L35" i="52"/>
  <c r="J35" i="52"/>
  <c r="H35" i="52"/>
  <c r="F35" i="52"/>
  <c r="D35" i="52"/>
  <c r="L32" i="52"/>
  <c r="J32" i="52"/>
  <c r="H32" i="52"/>
  <c r="F32" i="52"/>
  <c r="D32" i="52"/>
  <c r="L30" i="52"/>
  <c r="J30" i="52"/>
  <c r="H30" i="52"/>
  <c r="F30" i="52"/>
  <c r="D30" i="52"/>
  <c r="L16" i="52"/>
  <c r="J16" i="52"/>
  <c r="H16" i="52"/>
  <c r="F16" i="52"/>
  <c r="D16" i="52"/>
  <c r="N16" i="52" s="1"/>
  <c r="L9" i="52"/>
  <c r="J9" i="52"/>
  <c r="H9" i="52"/>
  <c r="F9" i="52"/>
  <c r="D9" i="52"/>
  <c r="L8" i="52"/>
  <c r="L22" i="52" s="1"/>
  <c r="L20" i="52"/>
  <c r="J8" i="52"/>
  <c r="J10" i="52" s="1"/>
  <c r="H8" i="52"/>
  <c r="H10" i="52" s="1"/>
  <c r="F8" i="52"/>
  <c r="F22" i="52" s="1"/>
  <c r="L5" i="52"/>
  <c r="J5" i="52"/>
  <c r="H5" i="52"/>
  <c r="F5" i="52"/>
  <c r="D5" i="52"/>
  <c r="A3" i="52"/>
  <c r="A1" i="52"/>
  <c r="J14" i="27"/>
  <c r="D111" i="27"/>
  <c r="D112" i="27" s="1"/>
  <c r="D110" i="27"/>
  <c r="F15" i="27"/>
  <c r="D109" i="27"/>
  <c r="D108" i="27"/>
  <c r="D107" i="27"/>
  <c r="L15" i="27"/>
  <c r="D106" i="27"/>
  <c r="L13" i="27"/>
  <c r="D105" i="27"/>
  <c r="L30" i="27"/>
  <c r="J30" i="27"/>
  <c r="H30" i="27"/>
  <c r="F30" i="27"/>
  <c r="D30" i="27"/>
  <c r="N30" i="27" s="1"/>
  <c r="L8" i="27"/>
  <c r="L22" i="27" s="1"/>
  <c r="L9" i="27"/>
  <c r="J8" i="27"/>
  <c r="J21" i="27" s="1"/>
  <c r="J9" i="27"/>
  <c r="H8" i="27"/>
  <c r="H20" i="27"/>
  <c r="H9" i="27"/>
  <c r="H10" i="27" s="1"/>
  <c r="F8" i="27"/>
  <c r="F22" i="27" s="1"/>
  <c r="F9" i="27"/>
  <c r="D8" i="27"/>
  <c r="D20" i="27" s="1"/>
  <c r="D9" i="27"/>
  <c r="F50" i="27"/>
  <c r="F16" i="27"/>
  <c r="H16" i="27"/>
  <c r="H50" i="27"/>
  <c r="D16" i="27"/>
  <c r="J50" i="27"/>
  <c r="L50" i="27"/>
  <c r="F49" i="27"/>
  <c r="H49" i="27"/>
  <c r="J49" i="27"/>
  <c r="L49" i="27"/>
  <c r="D48" i="27"/>
  <c r="D47" i="27"/>
  <c r="D46" i="27"/>
  <c r="D45" i="27"/>
  <c r="D42" i="27"/>
  <c r="D41" i="27"/>
  <c r="D40" i="27"/>
  <c r="D37" i="27"/>
  <c r="D36" i="27"/>
  <c r="D35" i="27"/>
  <c r="F32" i="27"/>
  <c r="H32" i="27"/>
  <c r="A3" i="27"/>
  <c r="F46" i="27"/>
  <c r="H46" i="27"/>
  <c r="J46" i="27"/>
  <c r="L46" i="27"/>
  <c r="L42" i="27"/>
  <c r="L41" i="27"/>
  <c r="L40" i="27"/>
  <c r="L37" i="27"/>
  <c r="L36" i="27"/>
  <c r="L35" i="27"/>
  <c r="J42" i="27"/>
  <c r="J41" i="27"/>
  <c r="J40" i="27"/>
  <c r="J37" i="27"/>
  <c r="J36" i="27"/>
  <c r="J35" i="27"/>
  <c r="H42" i="27"/>
  <c r="H41" i="27"/>
  <c r="H40" i="27"/>
  <c r="H37" i="27"/>
  <c r="H36" i="27"/>
  <c r="H35" i="27"/>
  <c r="F42" i="27"/>
  <c r="F41" i="27"/>
  <c r="F40" i="27"/>
  <c r="F37" i="27"/>
  <c r="F36" i="27"/>
  <c r="F35" i="27"/>
  <c r="L48" i="27"/>
  <c r="J48" i="27"/>
  <c r="F48" i="27"/>
  <c r="H48" i="27"/>
  <c r="L47" i="27"/>
  <c r="F47" i="27"/>
  <c r="H47" i="27"/>
  <c r="J47" i="27"/>
  <c r="F45" i="27"/>
  <c r="H45" i="27"/>
  <c r="J45" i="27"/>
  <c r="L45" i="27"/>
  <c r="J32" i="27"/>
  <c r="L32" i="27"/>
  <c r="J16" i="27"/>
  <c r="L16" i="27"/>
  <c r="L5" i="27"/>
  <c r="J5" i="27"/>
  <c r="H5" i="27"/>
  <c r="F5" i="27"/>
  <c r="D5" i="27"/>
  <c r="A1" i="27"/>
  <c r="L30" i="18"/>
  <c r="J30" i="18"/>
  <c r="H30" i="18"/>
  <c r="F30" i="18"/>
  <c r="D30" i="18"/>
  <c r="L8" i="18"/>
  <c r="L21" i="18" s="1"/>
  <c r="L9" i="18"/>
  <c r="J8" i="18"/>
  <c r="J22" i="18" s="1"/>
  <c r="J9" i="18"/>
  <c r="H8" i="18"/>
  <c r="H10" i="18" s="1"/>
  <c r="H9" i="18"/>
  <c r="F8" i="18"/>
  <c r="F20" i="18" s="1"/>
  <c r="F9" i="18"/>
  <c r="D9" i="18"/>
  <c r="J16" i="18"/>
  <c r="J108" i="18"/>
  <c r="J109" i="18"/>
  <c r="J105" i="18"/>
  <c r="J13" i="18" s="1"/>
  <c r="L108" i="18"/>
  <c r="L109" i="18"/>
  <c r="L105" i="18"/>
  <c r="H108" i="18"/>
  <c r="H109" i="18"/>
  <c r="H105" i="18"/>
  <c r="H13" i="18" s="1"/>
  <c r="F108" i="18"/>
  <c r="F109" i="18"/>
  <c r="F105" i="18"/>
  <c r="D105" i="18"/>
  <c r="F50" i="18"/>
  <c r="H50" i="18"/>
  <c r="J50" i="18"/>
  <c r="L50" i="18"/>
  <c r="F49" i="18"/>
  <c r="H49" i="18"/>
  <c r="J49" i="18"/>
  <c r="L49" i="18"/>
  <c r="N111" i="18"/>
  <c r="N112" i="18" s="1"/>
  <c r="L111" i="18"/>
  <c r="L112" i="18" s="1"/>
  <c r="J111" i="18"/>
  <c r="J112" i="18" s="1"/>
  <c r="H111" i="18"/>
  <c r="H112" i="18"/>
  <c r="F111" i="18"/>
  <c r="F112" i="18"/>
  <c r="D111" i="18"/>
  <c r="D112" i="18" s="1"/>
  <c r="N110" i="18"/>
  <c r="L110" i="18"/>
  <c r="J110" i="18"/>
  <c r="H110" i="18"/>
  <c r="F110" i="18"/>
  <c r="D110" i="18"/>
  <c r="N109" i="18"/>
  <c r="N108" i="18"/>
  <c r="N107" i="18"/>
  <c r="L107" i="18"/>
  <c r="J107" i="18"/>
  <c r="H107" i="18"/>
  <c r="F107" i="18"/>
  <c r="D107" i="18"/>
  <c r="N106" i="18"/>
  <c r="L106" i="18"/>
  <c r="L15" i="18" s="1"/>
  <c r="J106" i="18"/>
  <c r="J15" i="18" s="1"/>
  <c r="H106" i="18"/>
  <c r="F106" i="18"/>
  <c r="D106" i="18"/>
  <c r="N105" i="18"/>
  <c r="A3" i="18"/>
  <c r="D46" i="18"/>
  <c r="F46" i="18"/>
  <c r="H46" i="18"/>
  <c r="J46" i="18"/>
  <c r="L46" i="18"/>
  <c r="L42" i="18"/>
  <c r="J42" i="18"/>
  <c r="H42" i="18"/>
  <c r="F42" i="18"/>
  <c r="D42" i="18"/>
  <c r="L41" i="18"/>
  <c r="J41" i="18"/>
  <c r="H41" i="18"/>
  <c r="F41" i="18"/>
  <c r="D41" i="18"/>
  <c r="L40" i="18"/>
  <c r="J40" i="18"/>
  <c r="H40" i="18"/>
  <c r="F40" i="18"/>
  <c r="D40" i="18"/>
  <c r="L37" i="18"/>
  <c r="J37" i="18"/>
  <c r="H37" i="18"/>
  <c r="F37" i="18"/>
  <c r="D37" i="18"/>
  <c r="L36" i="18"/>
  <c r="J36" i="18"/>
  <c r="H36" i="18"/>
  <c r="F36" i="18"/>
  <c r="D36" i="18"/>
  <c r="L35" i="18"/>
  <c r="J35" i="18"/>
  <c r="H35" i="18"/>
  <c r="F35" i="18"/>
  <c r="D35" i="18"/>
  <c r="L48" i="18"/>
  <c r="J48" i="18"/>
  <c r="F48" i="18"/>
  <c r="H48" i="18"/>
  <c r="L47" i="18"/>
  <c r="F47" i="18"/>
  <c r="H47" i="18"/>
  <c r="J47" i="18"/>
  <c r="D45" i="18"/>
  <c r="F45" i="18"/>
  <c r="H45" i="18"/>
  <c r="J45" i="18"/>
  <c r="L45" i="18"/>
  <c r="D32" i="18"/>
  <c r="F32" i="18"/>
  <c r="H32" i="18"/>
  <c r="J32" i="18"/>
  <c r="L32" i="18"/>
  <c r="L20" i="18"/>
  <c r="H20" i="18"/>
  <c r="H21" i="18"/>
  <c r="D16" i="18"/>
  <c r="F16" i="18"/>
  <c r="H16" i="18"/>
  <c r="L16" i="18"/>
  <c r="L5" i="18"/>
  <c r="J5" i="18"/>
  <c r="H5" i="18"/>
  <c r="F5" i="18"/>
  <c r="D5" i="18"/>
  <c r="A1" i="18"/>
  <c r="N111" i="20"/>
  <c r="N112" i="20" s="1"/>
  <c r="L111" i="20"/>
  <c r="L112" i="20" s="1"/>
  <c r="J111" i="20"/>
  <c r="J112" i="20" s="1"/>
  <c r="H111" i="20"/>
  <c r="H112" i="20" s="1"/>
  <c r="F111" i="20"/>
  <c r="F112" i="20" s="1"/>
  <c r="N110" i="20"/>
  <c r="L110" i="20"/>
  <c r="J110" i="20"/>
  <c r="H110" i="20"/>
  <c r="F110" i="20"/>
  <c r="D110" i="20"/>
  <c r="N109" i="20"/>
  <c r="L109" i="20"/>
  <c r="J109" i="20"/>
  <c r="H109" i="20"/>
  <c r="F109" i="20"/>
  <c r="D109" i="20"/>
  <c r="N108" i="20"/>
  <c r="L108" i="20"/>
  <c r="J108" i="20"/>
  <c r="H108" i="20"/>
  <c r="H13" i="20" s="1"/>
  <c r="F108" i="20"/>
  <c r="D108" i="20"/>
  <c r="N107" i="20"/>
  <c r="L107" i="20"/>
  <c r="J107" i="20"/>
  <c r="H107" i="20"/>
  <c r="F107" i="20"/>
  <c r="D107" i="20"/>
  <c r="N106" i="20"/>
  <c r="L106" i="20"/>
  <c r="J106" i="20"/>
  <c r="H106" i="20"/>
  <c r="F106" i="20"/>
  <c r="D106" i="20"/>
  <c r="N105" i="20"/>
  <c r="L105" i="20"/>
  <c r="J105" i="20"/>
  <c r="H105" i="20"/>
  <c r="F105" i="20"/>
  <c r="D105" i="20"/>
  <c r="L30" i="20"/>
  <c r="J30" i="20"/>
  <c r="H30" i="20"/>
  <c r="F30" i="20"/>
  <c r="D30" i="20"/>
  <c r="N30" i="20" s="1"/>
  <c r="L8" i="20"/>
  <c r="L22" i="20"/>
  <c r="L9" i="20"/>
  <c r="J8" i="20"/>
  <c r="J22" i="20" s="1"/>
  <c r="J9" i="20"/>
  <c r="H8" i="20"/>
  <c r="H20" i="20" s="1"/>
  <c r="H9" i="20"/>
  <c r="F8" i="20"/>
  <c r="F20" i="20" s="1"/>
  <c r="F9" i="20"/>
  <c r="F10" i="20"/>
  <c r="D9" i="20"/>
  <c r="J16" i="20"/>
  <c r="D50" i="20"/>
  <c r="F50" i="20"/>
  <c r="H50" i="20"/>
  <c r="J50" i="20"/>
  <c r="L50" i="20"/>
  <c r="F49" i="20"/>
  <c r="H49" i="20"/>
  <c r="J49" i="20"/>
  <c r="L49" i="20"/>
  <c r="A3" i="20"/>
  <c r="D46" i="20"/>
  <c r="F46" i="20"/>
  <c r="H46" i="20"/>
  <c r="J46" i="20"/>
  <c r="L46" i="20"/>
  <c r="L42" i="20"/>
  <c r="J42" i="20"/>
  <c r="H42" i="20"/>
  <c r="F42" i="20"/>
  <c r="D42" i="20"/>
  <c r="L41" i="20"/>
  <c r="J41" i="20"/>
  <c r="H41" i="20"/>
  <c r="F41" i="20"/>
  <c r="D41" i="20"/>
  <c r="L40" i="20"/>
  <c r="J40" i="20"/>
  <c r="H40" i="20"/>
  <c r="F40" i="20"/>
  <c r="D40" i="20"/>
  <c r="L37" i="20"/>
  <c r="J37" i="20"/>
  <c r="H37" i="20"/>
  <c r="F37" i="20"/>
  <c r="D37" i="20"/>
  <c r="L36" i="20"/>
  <c r="J36" i="20"/>
  <c r="H36" i="20"/>
  <c r="F36" i="20"/>
  <c r="D36" i="20"/>
  <c r="L35" i="20"/>
  <c r="J35" i="20"/>
  <c r="H35" i="20"/>
  <c r="F35" i="20"/>
  <c r="D35" i="20"/>
  <c r="L48" i="20"/>
  <c r="J48" i="20"/>
  <c r="D48" i="20"/>
  <c r="F48" i="20"/>
  <c r="H48" i="20"/>
  <c r="L47" i="20"/>
  <c r="F47" i="20"/>
  <c r="H47" i="20"/>
  <c r="J47" i="20"/>
  <c r="D45" i="20"/>
  <c r="F45" i="20"/>
  <c r="H45" i="20"/>
  <c r="J45" i="20"/>
  <c r="L45" i="20"/>
  <c r="D32" i="20"/>
  <c r="F32" i="20"/>
  <c r="H32" i="20"/>
  <c r="J32" i="20"/>
  <c r="L32" i="20"/>
  <c r="L21" i="20"/>
  <c r="L20" i="20"/>
  <c r="L23" i="20" s="1"/>
  <c r="D16" i="20"/>
  <c r="F16" i="20"/>
  <c r="H16" i="20"/>
  <c r="L16" i="20"/>
  <c r="L5" i="20"/>
  <c r="J5" i="20"/>
  <c r="H5" i="20"/>
  <c r="F5" i="20"/>
  <c r="D5" i="20"/>
  <c r="A1" i="20"/>
  <c r="L8" i="24"/>
  <c r="L9" i="24"/>
  <c r="J8" i="24"/>
  <c r="J9" i="24"/>
  <c r="H8" i="24"/>
  <c r="H9" i="24"/>
  <c r="F8" i="24"/>
  <c r="F9" i="24"/>
  <c r="D9" i="24"/>
  <c r="L108" i="24"/>
  <c r="L109" i="24"/>
  <c r="L105" i="24"/>
  <c r="J108" i="24"/>
  <c r="J109" i="24"/>
  <c r="J105" i="24"/>
  <c r="H108" i="24"/>
  <c r="H109" i="24"/>
  <c r="H105" i="24"/>
  <c r="F108" i="24"/>
  <c r="F109" i="24"/>
  <c r="F105" i="24"/>
  <c r="D108" i="24"/>
  <c r="D109" i="24"/>
  <c r="D105" i="24"/>
  <c r="D50" i="24"/>
  <c r="N105" i="24"/>
  <c r="F106" i="24"/>
  <c r="H106" i="24"/>
  <c r="J106" i="24"/>
  <c r="L106" i="24"/>
  <c r="N106" i="24"/>
  <c r="F107" i="24"/>
  <c r="H107" i="24"/>
  <c r="J107" i="24"/>
  <c r="L107" i="24"/>
  <c r="N107" i="24"/>
  <c r="N108" i="24"/>
  <c r="N109" i="24"/>
  <c r="F110" i="24"/>
  <c r="H110" i="24"/>
  <c r="J110" i="24"/>
  <c r="L110" i="24"/>
  <c r="N110" i="24"/>
  <c r="F111" i="24"/>
  <c r="F112" i="24" s="1"/>
  <c r="H111" i="24"/>
  <c r="H112" i="24"/>
  <c r="J111" i="24"/>
  <c r="J112" i="24" s="1"/>
  <c r="L111" i="24"/>
  <c r="L112" i="24" s="1"/>
  <c r="N111" i="24"/>
  <c r="N112" i="24" s="1"/>
  <c r="A3" i="24"/>
  <c r="D46" i="24"/>
  <c r="D111" i="24"/>
  <c r="D112" i="24" s="1"/>
  <c r="D110" i="24"/>
  <c r="D107" i="24"/>
  <c r="D106" i="24"/>
  <c r="D47" i="24"/>
  <c r="D32" i="24"/>
  <c r="L5" i="24"/>
  <c r="J5" i="24"/>
  <c r="H5" i="24"/>
  <c r="F5" i="24"/>
  <c r="D5" i="24"/>
  <c r="A1" i="24"/>
  <c r="D30" i="47"/>
  <c r="D30" i="17"/>
  <c r="F30" i="47"/>
  <c r="F30" i="17"/>
  <c r="H30" i="47"/>
  <c r="H30" i="17"/>
  <c r="J30" i="17"/>
  <c r="L30" i="17"/>
  <c r="L108" i="47"/>
  <c r="L109" i="47"/>
  <c r="L105" i="47"/>
  <c r="L108" i="17"/>
  <c r="L109" i="17"/>
  <c r="L105" i="17"/>
  <c r="L13" i="17" s="1"/>
  <c r="J108" i="47"/>
  <c r="J109" i="47"/>
  <c r="J105" i="47"/>
  <c r="J13" i="47" s="1"/>
  <c r="J108" i="17"/>
  <c r="J109" i="17"/>
  <c r="J105" i="17"/>
  <c r="H108" i="47"/>
  <c r="H109" i="47"/>
  <c r="H105" i="47"/>
  <c r="H108" i="17"/>
  <c r="H109" i="17"/>
  <c r="H105" i="17"/>
  <c r="F108" i="47"/>
  <c r="F109" i="47"/>
  <c r="F105" i="47"/>
  <c r="F13" i="47" s="1"/>
  <c r="F108" i="17"/>
  <c r="F109" i="17"/>
  <c r="F105" i="17"/>
  <c r="F13" i="17" s="1"/>
  <c r="D108" i="47"/>
  <c r="D109" i="47"/>
  <c r="D105" i="47"/>
  <c r="D108" i="17"/>
  <c r="D109" i="17"/>
  <c r="D105" i="17"/>
  <c r="D5" i="17"/>
  <c r="D5" i="14" s="1"/>
  <c r="F5" i="17"/>
  <c r="F5" i="14" s="1"/>
  <c r="H5" i="17"/>
  <c r="H5" i="14" s="1"/>
  <c r="J5" i="17"/>
  <c r="J5" i="14" s="1"/>
  <c r="L5" i="17"/>
  <c r="L5" i="14" s="1"/>
  <c r="D16" i="47"/>
  <c r="D16" i="17"/>
  <c r="F16" i="47"/>
  <c r="F16" i="17"/>
  <c r="H16" i="47"/>
  <c r="H16" i="17"/>
  <c r="L16" i="17"/>
  <c r="D111" i="47"/>
  <c r="D112" i="47" s="1"/>
  <c r="F111" i="47"/>
  <c r="F112" i="47" s="1"/>
  <c r="D111" i="17"/>
  <c r="D112" i="17" s="1"/>
  <c r="F111" i="17"/>
  <c r="F112" i="17" s="1"/>
  <c r="H111" i="47"/>
  <c r="H112" i="47" s="1"/>
  <c r="H111" i="17"/>
  <c r="H112" i="17" s="1"/>
  <c r="J111" i="47"/>
  <c r="J112" i="47"/>
  <c r="J111" i="17"/>
  <c r="J112" i="17"/>
  <c r="L111" i="47"/>
  <c r="L112" i="47"/>
  <c r="L111" i="17"/>
  <c r="L112" i="17" s="1"/>
  <c r="N111" i="47"/>
  <c r="N112" i="47" s="1"/>
  <c r="N111" i="17"/>
  <c r="N112" i="17" s="1"/>
  <c r="D32" i="17"/>
  <c r="F32" i="47"/>
  <c r="F32" i="17"/>
  <c r="H32" i="47"/>
  <c r="H32" i="17"/>
  <c r="J32" i="17"/>
  <c r="L32" i="47"/>
  <c r="L32" i="17"/>
  <c r="D106" i="47"/>
  <c r="D106" i="17"/>
  <c r="F106" i="47"/>
  <c r="F15" i="47"/>
  <c r="F106" i="17"/>
  <c r="F15" i="17" s="1"/>
  <c r="H106" i="47"/>
  <c r="H106" i="17"/>
  <c r="H15" i="17" s="1"/>
  <c r="J106" i="47"/>
  <c r="J106" i="17"/>
  <c r="L106" i="47"/>
  <c r="L106" i="17"/>
  <c r="L15" i="17" s="1"/>
  <c r="D37" i="47"/>
  <c r="D37" i="17"/>
  <c r="F37" i="47"/>
  <c r="F37" i="17"/>
  <c r="H37" i="47"/>
  <c r="H37" i="17"/>
  <c r="J37" i="17"/>
  <c r="L37" i="47"/>
  <c r="L37" i="17"/>
  <c r="D36" i="47"/>
  <c r="D36" i="17"/>
  <c r="F36" i="47"/>
  <c r="F36" i="17"/>
  <c r="H36" i="47"/>
  <c r="H36" i="14" s="1"/>
  <c r="H36" i="17"/>
  <c r="J36" i="17"/>
  <c r="L36" i="47"/>
  <c r="L36" i="17"/>
  <c r="D46" i="47"/>
  <c r="D46" i="17"/>
  <c r="F46" i="47"/>
  <c r="F46" i="17"/>
  <c r="H46" i="47"/>
  <c r="H46" i="17"/>
  <c r="J46" i="17"/>
  <c r="L46" i="47"/>
  <c r="L46" i="17"/>
  <c r="D35" i="47"/>
  <c r="D35" i="17"/>
  <c r="F35" i="47"/>
  <c r="F35" i="17"/>
  <c r="H35" i="47"/>
  <c r="H35" i="17"/>
  <c r="J35" i="17"/>
  <c r="L35" i="47"/>
  <c r="L35" i="17"/>
  <c r="L8" i="47"/>
  <c r="L20" i="47"/>
  <c r="L23" i="47" s="1"/>
  <c r="L8" i="17"/>
  <c r="L22" i="17" s="1"/>
  <c r="L9" i="47"/>
  <c r="L10" i="47" s="1"/>
  <c r="L25" i="47" s="1"/>
  <c r="L9" i="17"/>
  <c r="J8" i="47"/>
  <c r="J22" i="47" s="1"/>
  <c r="J8" i="17"/>
  <c r="J22" i="17" s="1"/>
  <c r="J9" i="47"/>
  <c r="J9" i="17"/>
  <c r="H8" i="47"/>
  <c r="H8" i="17"/>
  <c r="H22" i="17" s="1"/>
  <c r="H9" i="47"/>
  <c r="H9" i="17"/>
  <c r="F8" i="47"/>
  <c r="F21" i="47" s="1"/>
  <c r="F8" i="17"/>
  <c r="F22" i="17" s="1"/>
  <c r="F9" i="47"/>
  <c r="F9" i="17"/>
  <c r="D9" i="47"/>
  <c r="D9" i="17"/>
  <c r="D40" i="47"/>
  <c r="D40" i="17"/>
  <c r="D41" i="47"/>
  <c r="D41" i="17"/>
  <c r="D42" i="47"/>
  <c r="D42" i="17"/>
  <c r="D45" i="47"/>
  <c r="D45" i="17"/>
  <c r="F45" i="47"/>
  <c r="F45" i="17"/>
  <c r="F42" i="47"/>
  <c r="F42" i="17"/>
  <c r="F41" i="47"/>
  <c r="F41" i="17"/>
  <c r="F40" i="47"/>
  <c r="F40" i="17"/>
  <c r="H40" i="47"/>
  <c r="H40" i="17"/>
  <c r="H41" i="47"/>
  <c r="H41" i="17"/>
  <c r="H42" i="47"/>
  <c r="H42" i="17"/>
  <c r="H45" i="47"/>
  <c r="H45" i="17"/>
  <c r="J45" i="17"/>
  <c r="J42" i="17"/>
  <c r="J41" i="17"/>
  <c r="J40" i="17"/>
  <c r="L40" i="47"/>
  <c r="L40" i="17"/>
  <c r="L41" i="47"/>
  <c r="L41" i="17"/>
  <c r="L42" i="47"/>
  <c r="L42" i="17"/>
  <c r="L42" i="14" s="1"/>
  <c r="L45" i="47"/>
  <c r="L45" i="17"/>
  <c r="D50" i="17"/>
  <c r="D47" i="47"/>
  <c r="D47" i="17"/>
  <c r="D48" i="47"/>
  <c r="D48" i="17"/>
  <c r="D49" i="17"/>
  <c r="F49" i="47"/>
  <c r="F49" i="17"/>
  <c r="F48" i="47"/>
  <c r="F48" i="17"/>
  <c r="F47" i="47"/>
  <c r="F47" i="17"/>
  <c r="F50" i="47"/>
  <c r="F50" i="17"/>
  <c r="H50" i="47"/>
  <c r="H50" i="17"/>
  <c r="H47" i="47"/>
  <c r="H47" i="17"/>
  <c r="H48" i="47"/>
  <c r="H48" i="17"/>
  <c r="H49" i="47"/>
  <c r="H49" i="17"/>
  <c r="J49" i="17"/>
  <c r="J48" i="17"/>
  <c r="J47" i="17"/>
  <c r="J50" i="17"/>
  <c r="L50" i="47"/>
  <c r="L50" i="17"/>
  <c r="L47" i="47"/>
  <c r="L47" i="17"/>
  <c r="L48" i="47"/>
  <c r="L48" i="17"/>
  <c r="L49" i="47"/>
  <c r="L49" i="17"/>
  <c r="J16" i="17"/>
  <c r="N110" i="47"/>
  <c r="L110" i="47"/>
  <c r="J110" i="47"/>
  <c r="H110" i="47"/>
  <c r="F110" i="47"/>
  <c r="D110" i="47"/>
  <c r="N109" i="47"/>
  <c r="N108" i="47"/>
  <c r="N107" i="47"/>
  <c r="L107" i="47"/>
  <c r="J107" i="47"/>
  <c r="H107" i="47"/>
  <c r="F107" i="47"/>
  <c r="D107" i="47"/>
  <c r="N106" i="47"/>
  <c r="N105" i="47"/>
  <c r="A3" i="47"/>
  <c r="L5" i="47"/>
  <c r="J5" i="47"/>
  <c r="H5" i="47"/>
  <c r="F5" i="47"/>
  <c r="D5" i="47"/>
  <c r="A1" i="47"/>
  <c r="N110" i="17"/>
  <c r="L110" i="17"/>
  <c r="J110" i="17"/>
  <c r="H110" i="17"/>
  <c r="F110" i="17"/>
  <c r="D110" i="17"/>
  <c r="N109" i="17"/>
  <c r="N108" i="17"/>
  <c r="N107" i="17"/>
  <c r="L107" i="17"/>
  <c r="J107" i="17"/>
  <c r="H107" i="17"/>
  <c r="F107" i="17"/>
  <c r="D107" i="17"/>
  <c r="N106" i="17"/>
  <c r="N105" i="17"/>
  <c r="A3" i="17"/>
  <c r="A1" i="17"/>
  <c r="H22" i="18"/>
  <c r="J21" i="17"/>
  <c r="L10" i="20"/>
  <c r="L26" i="20" s="1"/>
  <c r="L10" i="18"/>
  <c r="L25" i="18" s="1"/>
  <c r="J20" i="17"/>
  <c r="H10" i="47"/>
  <c r="H26" i="47" s="1"/>
  <c r="J20" i="18"/>
  <c r="F21" i="52"/>
  <c r="L21" i="52"/>
  <c r="H22" i="47"/>
  <c r="H20" i="47"/>
  <c r="H21" i="47"/>
  <c r="L22" i="18"/>
  <c r="F21" i="27"/>
  <c r="F21" i="20"/>
  <c r="L21" i="17"/>
  <c r="H21" i="52"/>
  <c r="J22" i="52"/>
  <c r="J20" i="52"/>
  <c r="L21" i="47"/>
  <c r="L22" i="47"/>
  <c r="J16" i="14"/>
  <c r="J22" i="27"/>
  <c r="J20" i="27"/>
  <c r="L37" i="14"/>
  <c r="L10" i="53"/>
  <c r="H20" i="52"/>
  <c r="N50" i="53"/>
  <c r="N47" i="53"/>
  <c r="F13" i="20"/>
  <c r="F22" i="20"/>
  <c r="H20" i="17"/>
  <c r="L20" i="17"/>
  <c r="L13" i="52"/>
  <c r="L15" i="52"/>
  <c r="F20" i="47"/>
  <c r="F22" i="47"/>
  <c r="L10" i="24"/>
  <c r="N48" i="53"/>
  <c r="N35" i="53"/>
  <c r="F26" i="20"/>
  <c r="F27" i="20"/>
  <c r="F25" i="20"/>
  <c r="J20" i="20"/>
  <c r="J21" i="20"/>
  <c r="J10" i="27"/>
  <c r="J27" i="27" s="1"/>
  <c r="H22" i="27"/>
  <c r="H21" i="27"/>
  <c r="H23" i="27" s="1"/>
  <c r="D50" i="27"/>
  <c r="N49" i="27"/>
  <c r="N41" i="53"/>
  <c r="D49" i="47"/>
  <c r="N35" i="24"/>
  <c r="N37" i="24"/>
  <c r="D49" i="24"/>
  <c r="D47" i="20"/>
  <c r="N47" i="20" s="1"/>
  <c r="D47" i="18"/>
  <c r="D48" i="18"/>
  <c r="J21" i="18" l="1"/>
  <c r="N48" i="18"/>
  <c r="F21" i="17"/>
  <c r="F20" i="52"/>
  <c r="F13" i="52"/>
  <c r="F10" i="52"/>
  <c r="H14" i="52"/>
  <c r="D14" i="52"/>
  <c r="D13" i="47"/>
  <c r="N35" i="47"/>
  <c r="J9" i="14"/>
  <c r="L13" i="47"/>
  <c r="J14" i="47"/>
  <c r="H23" i="47"/>
  <c r="J20" i="47"/>
  <c r="H13" i="47"/>
  <c r="L15" i="47"/>
  <c r="F14" i="24"/>
  <c r="H13" i="24"/>
  <c r="H21" i="20"/>
  <c r="F47" i="14"/>
  <c r="H22" i="20"/>
  <c r="J10" i="20"/>
  <c r="H10" i="20"/>
  <c r="L15" i="20"/>
  <c r="F28" i="20"/>
  <c r="H23" i="20"/>
  <c r="J36" i="14"/>
  <c r="L50" i="14"/>
  <c r="L9" i="14"/>
  <c r="N37" i="18"/>
  <c r="F21" i="18"/>
  <c r="H23" i="18"/>
  <c r="J10" i="18"/>
  <c r="F22" i="18"/>
  <c r="N35" i="18"/>
  <c r="H48" i="14"/>
  <c r="N47" i="18"/>
  <c r="L26" i="18"/>
  <c r="J23" i="18"/>
  <c r="N35" i="27"/>
  <c r="H50" i="14"/>
  <c r="J45" i="14"/>
  <c r="H13" i="52"/>
  <c r="N30" i="47"/>
  <c r="J10" i="24"/>
  <c r="J20" i="14"/>
  <c r="N48" i="20"/>
  <c r="N46" i="18"/>
  <c r="J15" i="27"/>
  <c r="N13" i="53"/>
  <c r="F20" i="17"/>
  <c r="F23" i="17" s="1"/>
  <c r="H25" i="47"/>
  <c r="N45" i="47"/>
  <c r="H14" i="24"/>
  <c r="N36" i="27"/>
  <c r="H20" i="24"/>
  <c r="H21" i="24"/>
  <c r="H22" i="24"/>
  <c r="H22" i="14" s="1"/>
  <c r="F23" i="18"/>
  <c r="N46" i="47"/>
  <c r="L20" i="24"/>
  <c r="L21" i="24"/>
  <c r="L22" i="24"/>
  <c r="N41" i="18"/>
  <c r="H22" i="52"/>
  <c r="H23" i="52" s="1"/>
  <c r="J15" i="52"/>
  <c r="J10" i="53"/>
  <c r="L21" i="27"/>
  <c r="L15" i="24"/>
  <c r="L15" i="14" s="1"/>
  <c r="N30" i="52"/>
  <c r="H8" i="14"/>
  <c r="L25" i="24"/>
  <c r="L26" i="24"/>
  <c r="L27" i="24"/>
  <c r="L23" i="17"/>
  <c r="H47" i="14"/>
  <c r="F15" i="18"/>
  <c r="L13" i="18"/>
  <c r="J21" i="52"/>
  <c r="N50" i="18"/>
  <c r="L25" i="20"/>
  <c r="N42" i="47"/>
  <c r="H35" i="14"/>
  <c r="N36" i="17"/>
  <c r="H15" i="24"/>
  <c r="H15" i="18"/>
  <c r="H15" i="14" s="1"/>
  <c r="F10" i="53"/>
  <c r="J14" i="17"/>
  <c r="N41" i="17"/>
  <c r="F15" i="24"/>
  <c r="J13" i="20"/>
  <c r="F13" i="27"/>
  <c r="J10" i="17"/>
  <c r="J27" i="17" s="1"/>
  <c r="H14" i="47"/>
  <c r="L14" i="24"/>
  <c r="N41" i="20"/>
  <c r="H13" i="27"/>
  <c r="N37" i="52"/>
  <c r="F14" i="18"/>
  <c r="L26" i="47"/>
  <c r="N32" i="17"/>
  <c r="H14" i="17"/>
  <c r="J14" i="20"/>
  <c r="J13" i="27"/>
  <c r="J13" i="14" s="1"/>
  <c r="J15" i="17"/>
  <c r="L13" i="20"/>
  <c r="J14" i="18"/>
  <c r="L14" i="17"/>
  <c r="N49" i="20"/>
  <c r="F15" i="20"/>
  <c r="N48" i="52"/>
  <c r="L27" i="47"/>
  <c r="D15" i="47"/>
  <c r="N15" i="47" s="1"/>
  <c r="J23" i="20"/>
  <c r="L27" i="20"/>
  <c r="J15" i="47"/>
  <c r="H15" i="47"/>
  <c r="F20" i="24"/>
  <c r="F21" i="24"/>
  <c r="F21" i="14" s="1"/>
  <c r="F22" i="24"/>
  <c r="F22" i="14" s="1"/>
  <c r="H15" i="20"/>
  <c r="D15" i="20"/>
  <c r="L23" i="18"/>
  <c r="L14" i="27"/>
  <c r="N45" i="52"/>
  <c r="D10" i="53"/>
  <c r="J13" i="17"/>
  <c r="F13" i="24"/>
  <c r="N42" i="20"/>
  <c r="L10" i="52"/>
  <c r="L27" i="52" s="1"/>
  <c r="L14" i="18"/>
  <c r="J23" i="52"/>
  <c r="L10" i="17"/>
  <c r="L25" i="17" s="1"/>
  <c r="L14" i="47"/>
  <c r="H10" i="24"/>
  <c r="N37" i="20"/>
  <c r="F13" i="18"/>
  <c r="F10" i="18"/>
  <c r="H15" i="27"/>
  <c r="N50" i="17"/>
  <c r="N47" i="17"/>
  <c r="N16" i="17"/>
  <c r="D10" i="17"/>
  <c r="D26" i="17" s="1"/>
  <c r="D22" i="17"/>
  <c r="N22" i="17" s="1"/>
  <c r="D20" i="17"/>
  <c r="D21" i="17"/>
  <c r="N48" i="17"/>
  <c r="D27" i="17"/>
  <c r="D25" i="17"/>
  <c r="N30" i="17"/>
  <c r="N45" i="17"/>
  <c r="N42" i="17"/>
  <c r="N37" i="17"/>
  <c r="N49" i="17"/>
  <c r="N35" i="17"/>
  <c r="N46" i="17"/>
  <c r="N40" i="17"/>
  <c r="D15" i="17"/>
  <c r="D13" i="17"/>
  <c r="D14" i="17"/>
  <c r="F14" i="17"/>
  <c r="J23" i="17"/>
  <c r="F10" i="17"/>
  <c r="H21" i="17"/>
  <c r="L48" i="14"/>
  <c r="J41" i="14"/>
  <c r="J40" i="14"/>
  <c r="H41" i="14"/>
  <c r="H10" i="17"/>
  <c r="F16" i="14"/>
  <c r="N20" i="17"/>
  <c r="H13" i="17"/>
  <c r="H49" i="14"/>
  <c r="N50" i="52"/>
  <c r="N47" i="52"/>
  <c r="D21" i="52"/>
  <c r="D10" i="52"/>
  <c r="D22" i="52"/>
  <c r="N22" i="52" s="1"/>
  <c r="D20" i="52"/>
  <c r="N20" i="52" s="1"/>
  <c r="N49" i="52"/>
  <c r="N41" i="52"/>
  <c r="N36" i="52"/>
  <c r="N32" i="52"/>
  <c r="N35" i="52"/>
  <c r="N40" i="52"/>
  <c r="N46" i="52"/>
  <c r="N15" i="52"/>
  <c r="N13" i="52"/>
  <c r="H26" i="52"/>
  <c r="H27" i="52"/>
  <c r="H25" i="52"/>
  <c r="J26" i="52"/>
  <c r="J25" i="52"/>
  <c r="J27" i="52"/>
  <c r="L23" i="52"/>
  <c r="L14" i="52"/>
  <c r="F23" i="52"/>
  <c r="L26" i="52"/>
  <c r="L25" i="52"/>
  <c r="J14" i="52"/>
  <c r="N14" i="52" s="1"/>
  <c r="F15" i="14"/>
  <c r="N50" i="47"/>
  <c r="N47" i="47"/>
  <c r="N48" i="47"/>
  <c r="D10" i="47"/>
  <c r="D21" i="47"/>
  <c r="D22" i="47"/>
  <c r="N22" i="47" s="1"/>
  <c r="D20" i="47"/>
  <c r="N16" i="47"/>
  <c r="D16" i="14"/>
  <c r="N36" i="47"/>
  <c r="N49" i="47"/>
  <c r="N37" i="47"/>
  <c r="D35" i="14"/>
  <c r="D32" i="47"/>
  <c r="N32" i="47" s="1"/>
  <c r="N40" i="47"/>
  <c r="N13" i="47"/>
  <c r="D14" i="47"/>
  <c r="F14" i="47"/>
  <c r="F23" i="47"/>
  <c r="H27" i="47"/>
  <c r="H28" i="47" s="1"/>
  <c r="F10" i="47"/>
  <c r="J10" i="47"/>
  <c r="N41" i="47"/>
  <c r="J21" i="47"/>
  <c r="J8" i="14"/>
  <c r="N47" i="24"/>
  <c r="N50" i="24"/>
  <c r="D20" i="24"/>
  <c r="D21" i="24"/>
  <c r="D10" i="24"/>
  <c r="D27" i="24" s="1"/>
  <c r="N49" i="24"/>
  <c r="D42" i="14"/>
  <c r="N41" i="24"/>
  <c r="N30" i="24"/>
  <c r="F41" i="14"/>
  <c r="N46" i="24"/>
  <c r="N32" i="24"/>
  <c r="D13" i="24"/>
  <c r="D15" i="24"/>
  <c r="N15" i="24" s="1"/>
  <c r="D14" i="24"/>
  <c r="N16" i="24"/>
  <c r="H45" i="14"/>
  <c r="F10" i="24"/>
  <c r="J47" i="14"/>
  <c r="L46" i="14"/>
  <c r="F46" i="14"/>
  <c r="L40" i="14"/>
  <c r="D36" i="14"/>
  <c r="D9" i="14"/>
  <c r="N50" i="20"/>
  <c r="D20" i="20"/>
  <c r="N20" i="20" s="1"/>
  <c r="D22" i="20"/>
  <c r="N22" i="20" s="1"/>
  <c r="D10" i="20"/>
  <c r="D21" i="20"/>
  <c r="N21" i="20" s="1"/>
  <c r="N36" i="20"/>
  <c r="N16" i="20"/>
  <c r="N40" i="20"/>
  <c r="N35" i="20"/>
  <c r="N32" i="20"/>
  <c r="D13" i="20"/>
  <c r="D14" i="20"/>
  <c r="F14" i="20"/>
  <c r="L14" i="20"/>
  <c r="F23" i="20"/>
  <c r="H14" i="20"/>
  <c r="F49" i="14"/>
  <c r="N45" i="20"/>
  <c r="D30" i="14"/>
  <c r="N46" i="20"/>
  <c r="J15" i="20"/>
  <c r="H42" i="14"/>
  <c r="J30" i="14"/>
  <c r="H26" i="20"/>
  <c r="H37" i="14"/>
  <c r="H40" i="14"/>
  <c r="J46" i="14"/>
  <c r="L49" i="14"/>
  <c r="J37" i="14"/>
  <c r="J48" i="14"/>
  <c r="H32" i="14"/>
  <c r="F35" i="14"/>
  <c r="F32" i="14"/>
  <c r="N49" i="18"/>
  <c r="D47" i="14"/>
  <c r="D50" i="14"/>
  <c r="N30" i="18"/>
  <c r="D10" i="18"/>
  <c r="D20" i="18"/>
  <c r="D21" i="18"/>
  <c r="N21" i="18" s="1"/>
  <c r="D22" i="18"/>
  <c r="N22" i="18" s="1"/>
  <c r="D14" i="18"/>
  <c r="D13" i="18"/>
  <c r="N16" i="18"/>
  <c r="N45" i="18"/>
  <c r="D45" i="14"/>
  <c r="D41" i="14"/>
  <c r="D37" i="14"/>
  <c r="N36" i="18"/>
  <c r="N42" i="18"/>
  <c r="D49" i="14"/>
  <c r="N40" i="18"/>
  <c r="D40" i="14"/>
  <c r="D46" i="14"/>
  <c r="F25" i="18"/>
  <c r="F27" i="18"/>
  <c r="F26" i="18"/>
  <c r="H26" i="18"/>
  <c r="H25" i="18"/>
  <c r="H27" i="18"/>
  <c r="H14" i="18"/>
  <c r="J27" i="18"/>
  <c r="J26" i="18"/>
  <c r="J25" i="18"/>
  <c r="D48" i="14"/>
  <c r="F42" i="14"/>
  <c r="H46" i="14"/>
  <c r="J49" i="14"/>
  <c r="F36" i="14"/>
  <c r="L27" i="18"/>
  <c r="L28" i="18" s="1"/>
  <c r="L47" i="14"/>
  <c r="N32" i="18"/>
  <c r="J35" i="14"/>
  <c r="F48" i="14"/>
  <c r="J50" i="14"/>
  <c r="H30" i="14"/>
  <c r="L16" i="14"/>
  <c r="F30" i="14"/>
  <c r="J42" i="14"/>
  <c r="H16" i="14"/>
  <c r="L32" i="14"/>
  <c r="F37" i="14"/>
  <c r="L35" i="14"/>
  <c r="J32" i="14"/>
  <c r="L36" i="14"/>
  <c r="F50" i="14"/>
  <c r="L30" i="14"/>
  <c r="L45" i="14"/>
  <c r="J22" i="14"/>
  <c r="L21" i="14"/>
  <c r="L41" i="14"/>
  <c r="F9" i="14"/>
  <c r="H13" i="14"/>
  <c r="D15" i="18"/>
  <c r="N15" i="18" s="1"/>
  <c r="D13" i="27"/>
  <c r="N13" i="27" s="1"/>
  <c r="N47" i="27"/>
  <c r="D8" i="14"/>
  <c r="D10" i="27"/>
  <c r="D25" i="27" s="1"/>
  <c r="D22" i="27"/>
  <c r="D21" i="27"/>
  <c r="N42" i="27"/>
  <c r="N41" i="27"/>
  <c r="N45" i="27"/>
  <c r="N46" i="27"/>
  <c r="N40" i="27"/>
  <c r="N32" i="27"/>
  <c r="D15" i="27"/>
  <c r="N15" i="27" s="1"/>
  <c r="D14" i="27"/>
  <c r="F13" i="14"/>
  <c r="H26" i="27"/>
  <c r="H25" i="27"/>
  <c r="H27" i="27"/>
  <c r="H14" i="27"/>
  <c r="J26" i="27"/>
  <c r="H9" i="14"/>
  <c r="L8" i="14"/>
  <c r="L10" i="14" s="1"/>
  <c r="J25" i="27"/>
  <c r="L20" i="27"/>
  <c r="F40" i="14"/>
  <c r="F20" i="27"/>
  <c r="F10" i="27"/>
  <c r="N37" i="27"/>
  <c r="J23" i="27"/>
  <c r="F8" i="14"/>
  <c r="N48" i="27"/>
  <c r="N16" i="27"/>
  <c r="N50" i="27"/>
  <c r="L10" i="27"/>
  <c r="F14" i="27"/>
  <c r="F45" i="14"/>
  <c r="J10" i="14" l="1"/>
  <c r="L27" i="17"/>
  <c r="N15" i="17"/>
  <c r="F27" i="52"/>
  <c r="F25" i="52"/>
  <c r="F26" i="52"/>
  <c r="D23" i="47"/>
  <c r="J21" i="14"/>
  <c r="J23" i="14" s="1"/>
  <c r="L28" i="47"/>
  <c r="D23" i="24"/>
  <c r="N21" i="24"/>
  <c r="N13" i="24"/>
  <c r="N21" i="53"/>
  <c r="N15" i="53"/>
  <c r="L28" i="20"/>
  <c r="H25" i="20"/>
  <c r="H27" i="20"/>
  <c r="J26" i="20"/>
  <c r="J27" i="20"/>
  <c r="J25" i="20"/>
  <c r="J28" i="20" s="1"/>
  <c r="H10" i="14"/>
  <c r="N13" i="18"/>
  <c r="D26" i="27"/>
  <c r="D27" i="27"/>
  <c r="L13" i="14"/>
  <c r="L26" i="17"/>
  <c r="F23" i="24"/>
  <c r="J28" i="18"/>
  <c r="N20" i="24"/>
  <c r="L22" i="14"/>
  <c r="N13" i="17"/>
  <c r="H23" i="24"/>
  <c r="L28" i="52"/>
  <c r="J25" i="17"/>
  <c r="J26" i="17"/>
  <c r="N22" i="53"/>
  <c r="L14" i="14"/>
  <c r="N13" i="20"/>
  <c r="N23" i="24"/>
  <c r="N21" i="17"/>
  <c r="L28" i="24"/>
  <c r="D32" i="14"/>
  <c r="N32" i="14" s="1"/>
  <c r="N22" i="24"/>
  <c r="N21" i="52"/>
  <c r="H25" i="24"/>
  <c r="H26" i="24"/>
  <c r="H27" i="24"/>
  <c r="L23" i="24"/>
  <c r="F25" i="24"/>
  <c r="F26" i="24"/>
  <c r="F27" i="24"/>
  <c r="N27" i="24" s="1"/>
  <c r="D23" i="17"/>
  <c r="D28" i="17"/>
  <c r="F25" i="17"/>
  <c r="F27" i="17"/>
  <c r="F26" i="17"/>
  <c r="H23" i="17"/>
  <c r="N23" i="17" s="1"/>
  <c r="H21" i="14"/>
  <c r="H26" i="17"/>
  <c r="H25" i="17"/>
  <c r="H27" i="17"/>
  <c r="L28" i="17"/>
  <c r="N14" i="17"/>
  <c r="D25" i="52"/>
  <c r="N25" i="52" s="1"/>
  <c r="D26" i="52"/>
  <c r="D27" i="52"/>
  <c r="N27" i="52" s="1"/>
  <c r="D23" i="52"/>
  <c r="N23" i="52" s="1"/>
  <c r="J28" i="52"/>
  <c r="H28" i="52"/>
  <c r="J14" i="14"/>
  <c r="F14" i="14"/>
  <c r="F10" i="14"/>
  <c r="H20" i="14"/>
  <c r="J15" i="14"/>
  <c r="N21" i="47"/>
  <c r="D20" i="14"/>
  <c r="N20" i="47"/>
  <c r="D25" i="47"/>
  <c r="D26" i="47"/>
  <c r="D27" i="47"/>
  <c r="J26" i="47"/>
  <c r="J27" i="47"/>
  <c r="J25" i="47"/>
  <c r="J28" i="47" s="1"/>
  <c r="F25" i="47"/>
  <c r="F26" i="47"/>
  <c r="F27" i="47"/>
  <c r="J23" i="47"/>
  <c r="N23" i="47"/>
  <c r="N14" i="47"/>
  <c r="D25" i="24"/>
  <c r="D10" i="14"/>
  <c r="D26" i="24"/>
  <c r="N14" i="24"/>
  <c r="N48" i="14"/>
  <c r="N16" i="14"/>
  <c r="N20" i="53"/>
  <c r="N49" i="14"/>
  <c r="N14" i="53"/>
  <c r="N36" i="14"/>
  <c r="D25" i="20"/>
  <c r="D27" i="20"/>
  <c r="N27" i="20" s="1"/>
  <c r="D26" i="20"/>
  <c r="N26" i="20" s="1"/>
  <c r="D23" i="20"/>
  <c r="N23" i="20" s="1"/>
  <c r="D13" i="14"/>
  <c r="D14" i="14"/>
  <c r="N41" i="14"/>
  <c r="N35" i="14"/>
  <c r="N45" i="14"/>
  <c r="N15" i="20"/>
  <c r="N14" i="20"/>
  <c r="N42" i="14"/>
  <c r="N30" i="14"/>
  <c r="H28" i="20"/>
  <c r="N46" i="14"/>
  <c r="N47" i="14"/>
  <c r="N50" i="14"/>
  <c r="N14" i="18"/>
  <c r="D21" i="14"/>
  <c r="N20" i="18"/>
  <c r="D23" i="18"/>
  <c r="N23" i="18" s="1"/>
  <c r="D22" i="14"/>
  <c r="D26" i="18"/>
  <c r="N26" i="18" s="1"/>
  <c r="D25" i="18"/>
  <c r="D27" i="18"/>
  <c r="N37" i="14"/>
  <c r="N40" i="14"/>
  <c r="D15" i="14"/>
  <c r="H28" i="18"/>
  <c r="H14" i="14"/>
  <c r="F28" i="18"/>
  <c r="N22" i="27"/>
  <c r="D23" i="27"/>
  <c r="N21" i="27"/>
  <c r="D28" i="27"/>
  <c r="L25" i="27"/>
  <c r="L27" i="27"/>
  <c r="L27" i="14" s="1"/>
  <c r="L26" i="27"/>
  <c r="L26" i="14" s="1"/>
  <c r="F25" i="27"/>
  <c r="F27" i="27"/>
  <c r="F26" i="27"/>
  <c r="H28" i="27"/>
  <c r="F20" i="14"/>
  <c r="F23" i="27"/>
  <c r="N20" i="27"/>
  <c r="L20" i="14"/>
  <c r="L23" i="27"/>
  <c r="J28" i="27"/>
  <c r="N14" i="27"/>
  <c r="F28" i="52" l="1"/>
  <c r="N26" i="52"/>
  <c r="D28" i="24"/>
  <c r="H27" i="14"/>
  <c r="H26" i="14"/>
  <c r="H23" i="14"/>
  <c r="N23" i="53"/>
  <c r="J27" i="14"/>
  <c r="J26" i="14"/>
  <c r="N13" i="14"/>
  <c r="L23" i="14"/>
  <c r="N22" i="14"/>
  <c r="N21" i="14"/>
  <c r="J28" i="17"/>
  <c r="F28" i="24"/>
  <c r="N28" i="24" s="1"/>
  <c r="N26" i="53"/>
  <c r="H28" i="24"/>
  <c r="N27" i="53"/>
  <c r="J25" i="14"/>
  <c r="H25" i="14"/>
  <c r="N25" i="53"/>
  <c r="N26" i="47"/>
  <c r="H28" i="17"/>
  <c r="N26" i="17"/>
  <c r="N27" i="17"/>
  <c r="N25" i="17"/>
  <c r="F28" i="17"/>
  <c r="D28" i="52"/>
  <c r="N28" i="52" s="1"/>
  <c r="N15" i="14"/>
  <c r="N27" i="47"/>
  <c r="D28" i="47"/>
  <c r="N25" i="47"/>
  <c r="F28" i="47"/>
  <c r="N26" i="24"/>
  <c r="N25" i="24"/>
  <c r="D27" i="14"/>
  <c r="D28" i="20"/>
  <c r="N25" i="20"/>
  <c r="N14" i="14"/>
  <c r="N28" i="20"/>
  <c r="D23" i="14"/>
  <c r="D28" i="18"/>
  <c r="D25" i="14"/>
  <c r="N25" i="18"/>
  <c r="N27" i="18"/>
  <c r="D26" i="14"/>
  <c r="N28" i="18"/>
  <c r="N23" i="27"/>
  <c r="F23" i="14"/>
  <c r="N20" i="14"/>
  <c r="F26" i="14"/>
  <c r="N26" i="27"/>
  <c r="F27" i="14"/>
  <c r="N27" i="27"/>
  <c r="F28" i="27"/>
  <c r="F25" i="14"/>
  <c r="N25" i="27"/>
  <c r="L25" i="14"/>
  <c r="L28" i="14" s="1"/>
  <c r="L28" i="27"/>
  <c r="N28" i="47" l="1"/>
  <c r="H28" i="14"/>
  <c r="J28" i="14"/>
  <c r="N28" i="53"/>
  <c r="N28" i="17"/>
  <c r="N23" i="14"/>
  <c r="N27" i="14"/>
  <c r="N26" i="14"/>
  <c r="D28" i="14"/>
  <c r="N28" i="27"/>
  <c r="N25" i="14"/>
  <c r="F28" i="14"/>
  <c r="N28" i="14" l="1"/>
</calcChain>
</file>

<file path=xl/sharedStrings.xml><?xml version="1.0" encoding="utf-8"?>
<sst xmlns="http://schemas.openxmlformats.org/spreadsheetml/2006/main" count="1303" uniqueCount="107">
  <si>
    <t>Capitalization and Financial Statistics</t>
  </si>
  <si>
    <t>Amount of Capital Employed</t>
  </si>
  <si>
    <t>Capital Structure Ratios</t>
  </si>
  <si>
    <t>x</t>
  </si>
  <si>
    <t>See Page 2 for Notes.</t>
  </si>
  <si>
    <t>Short-Term Debt</t>
  </si>
  <si>
    <t>Permanent Capital</t>
  </si>
  <si>
    <t>Total Capital</t>
  </si>
  <si>
    <t>Market-Based Financial Ratios</t>
  </si>
  <si>
    <t>Dividend Yield</t>
  </si>
  <si>
    <t>Dividend Payout Ratio</t>
  </si>
  <si>
    <t>Based on Permanent Captial:</t>
  </si>
  <si>
    <t>Based on Total Capital:</t>
  </si>
  <si>
    <t>Pre-tax: All Interest Charges</t>
  </si>
  <si>
    <t>Overall Coverage: All Int. &amp; Pfd. Div.</t>
  </si>
  <si>
    <t>Quality of Earnings &amp; Cash Flow</t>
  </si>
  <si>
    <t>AFC/Income Avail. for Common Equity</t>
  </si>
  <si>
    <t>Effective Income Tax Rate</t>
  </si>
  <si>
    <t>(Millions of Dollars)</t>
  </si>
  <si>
    <t>Average</t>
  </si>
  <si>
    <t>Market/Book Ratio</t>
  </si>
  <si>
    <t>Post-tax: All Interest Charges</t>
  </si>
  <si>
    <t>I/S - Operating Revs-Total (MM$)</t>
  </si>
  <si>
    <t>I/S - Operating Inc Taxes-Total (MM$)</t>
  </si>
  <si>
    <t>I/S - Operating Exps-Total (MM$)</t>
  </si>
  <si>
    <t>I/S - Nonoperating Inc Taxes-Net (MM$)</t>
  </si>
  <si>
    <t>I/S - Gross Inc (Inc Bef Int) (MM$)</t>
  </si>
  <si>
    <t>I/S - Interest Charges-Total (MM$)</t>
  </si>
  <si>
    <t>I/S - Allow for Funds Used During Const-Total (MM$)</t>
  </si>
  <si>
    <t>I/S - Subsidiary Preferred Dividends (MM$)</t>
  </si>
  <si>
    <t>I/S - Pref. Dividend Requirements (MM$)</t>
  </si>
  <si>
    <t>I/S - Preference Div. Requirements (MM$)</t>
  </si>
  <si>
    <t>I/S - Available for Common After Adj. for Common SE (MM$)</t>
  </si>
  <si>
    <t>I/S - Earnings/Share (Primary) Excl. Extra. Items ($&amp;¢)</t>
  </si>
  <si>
    <t>B/S - Common Equity-Total (MM$)</t>
  </si>
  <si>
    <t>B/S - Subsidiary Preferred Stock at Carrying Value (MM$)</t>
  </si>
  <si>
    <t>B/S - Premium on Subsidiary Preferred Stock (MM$)</t>
  </si>
  <si>
    <t>B/S - Preferred Stock at Carrying Value (MM$)</t>
  </si>
  <si>
    <t>B/S - Premium on Preferred Stock (MM$)</t>
  </si>
  <si>
    <t>B/S - Preference Stock at Carrying Value (MM$)</t>
  </si>
  <si>
    <t>B/S - Premium on Preference Stock (MM$)</t>
  </si>
  <si>
    <t>B/S - Minority Interest (MM$)</t>
  </si>
  <si>
    <t>B/S - Long-Term Debt (Total) (MM$)</t>
  </si>
  <si>
    <t>B/S - Treasury Stock-Dollar Amount-Preferred (MM$)</t>
  </si>
  <si>
    <t>B/S - Capitalization (MM$)</t>
  </si>
  <si>
    <t>B/S - Debt (Long-Term Due Within One Year) (MM$)</t>
  </si>
  <si>
    <t>B/S - Short-Term Debt (Total) (MM$)</t>
  </si>
  <si>
    <t>B/S - Pref/Preference Stock Sinking Fund Requirement (MM$)</t>
  </si>
  <si>
    <t>C/F - Net Inc Bef Extra Items &amp; After MI (MM$)</t>
  </si>
  <si>
    <t>C/F - Depr. and Depl. (MM$)</t>
  </si>
  <si>
    <t>C/F - Amortization (MM$)</t>
  </si>
  <si>
    <t>C/F - Def. Inc Taxes-Net (MM$)</t>
  </si>
  <si>
    <t>C/F - Invest. Tax Credit-Net (MM$)</t>
  </si>
  <si>
    <t>C/F - Allow for Funds Used During Constr. (MM$)</t>
  </si>
  <si>
    <t>C/F - Util Plant-Gross Additions (MM$)</t>
  </si>
  <si>
    <t>C/F - Cash Div on Common Stock (MM$)</t>
  </si>
  <si>
    <t>C/F - Cash Div on Pref/Preference Stock (MM$)</t>
  </si>
  <si>
    <t>C/F - Interest Paid-Net (MM$)</t>
  </si>
  <si>
    <t>C/F - Inc Taxes Paid (MM$)</t>
  </si>
  <si>
    <t>Common Dividends (MM$)</t>
  </si>
  <si>
    <t>Common Div. Paid per Share by Ex-Date ($&amp;¢)</t>
  </si>
  <si>
    <t>Common Dividends Paid/Share by Payable Date ($&amp;¢)</t>
  </si>
  <si>
    <t>Price-High ($&amp;¢)</t>
  </si>
  <si>
    <t>Price-Low ($&amp;¢)</t>
  </si>
  <si>
    <t>Price-Close ($&amp;¢)</t>
  </si>
  <si>
    <t>Common Shares Outstanding (MM)</t>
  </si>
  <si>
    <t>Book Value per Share</t>
  </si>
  <si>
    <t>Adjustment Factor (Cumulative) by Ex-Date (RATIO)</t>
  </si>
  <si>
    <t>Adjustment Factor (Cumulative)-Payable Date (Ratio)</t>
  </si>
  <si>
    <t>C/F - Other Internal Sources-Net (MM$)</t>
  </si>
  <si>
    <t>Earnings/Share (Primary) Excl. Extra. Items ($&amp;¢)</t>
  </si>
  <si>
    <t>Per Share (or Shares) Adjusted for Splits/Stock Dividends</t>
  </si>
  <si>
    <t>Based on Permanent Capital:</t>
  </si>
  <si>
    <t>Price-Earnings Multiple</t>
  </si>
  <si>
    <t>ATMOS ENERGY CORP</t>
  </si>
  <si>
    <t>NEW JERSEY RESOURCES CORP</t>
  </si>
  <si>
    <t>Other Comprehensive Income</t>
  </si>
  <si>
    <t>Long-Term Debt</t>
  </si>
  <si>
    <t>Preferred Stock</t>
  </si>
  <si>
    <r>
      <t xml:space="preserve">Common Equity </t>
    </r>
    <r>
      <rPr>
        <vertAlign val="superscript"/>
        <sz val="12"/>
        <rFont val="Arial"/>
        <family val="2"/>
      </rPr>
      <t>(1)</t>
    </r>
  </si>
  <si>
    <t>Total Debt incl. Short Term</t>
  </si>
  <si>
    <r>
      <t xml:space="preserve">Rate of Return on Book Common Equity </t>
    </r>
    <r>
      <rPr>
        <vertAlign val="superscript"/>
        <sz val="12"/>
        <rFont val="Arial"/>
        <family val="2"/>
      </rPr>
      <t>(1)</t>
    </r>
  </si>
  <si>
    <r>
      <t xml:space="preserve">Operating Ratio </t>
    </r>
    <r>
      <rPr>
        <vertAlign val="superscript"/>
        <sz val="12"/>
        <rFont val="Arial"/>
        <family val="2"/>
      </rPr>
      <t>(2)</t>
    </r>
  </si>
  <si>
    <r>
      <t xml:space="preserve">Coverage incl. AFUDC </t>
    </r>
    <r>
      <rPr>
        <vertAlign val="superscript"/>
        <sz val="12"/>
        <rFont val="Arial"/>
        <family val="2"/>
      </rPr>
      <t>(3)</t>
    </r>
  </si>
  <si>
    <r>
      <t xml:space="preserve">Coverage excl. AFUDC </t>
    </r>
    <r>
      <rPr>
        <vertAlign val="superscript"/>
        <sz val="12"/>
        <rFont val="Arial"/>
        <family val="2"/>
      </rPr>
      <t>(4)</t>
    </r>
  </si>
  <si>
    <r>
      <t xml:space="preserve">Internal Cash Generation/Construction </t>
    </r>
    <r>
      <rPr>
        <vertAlign val="superscript"/>
        <sz val="12"/>
        <rFont val="Arial"/>
        <family val="2"/>
      </rPr>
      <t>(5)</t>
    </r>
  </si>
  <si>
    <r>
      <t xml:space="preserve">Gross Cash Flow/ Avg. Total Debt </t>
    </r>
    <r>
      <rPr>
        <vertAlign val="superscript"/>
        <sz val="12"/>
        <rFont val="Arial"/>
        <family val="2"/>
      </rPr>
      <t>(6)</t>
    </r>
  </si>
  <si>
    <r>
      <t xml:space="preserve">Gross Cash Flow Interest Coverage </t>
    </r>
    <r>
      <rPr>
        <vertAlign val="superscript"/>
        <sz val="12"/>
        <rFont val="Arial"/>
        <family val="2"/>
      </rPr>
      <t>(7)</t>
    </r>
  </si>
  <si>
    <r>
      <t xml:space="preserve">Common Dividend Coverage </t>
    </r>
    <r>
      <rPr>
        <vertAlign val="superscript"/>
        <sz val="12"/>
        <rFont val="Arial"/>
        <family val="2"/>
      </rPr>
      <t>(8)</t>
    </r>
  </si>
  <si>
    <r>
      <t xml:space="preserve">Common Equity </t>
    </r>
    <r>
      <rPr>
        <vertAlign val="superscript"/>
        <sz val="12"/>
        <rFont val="Arial"/>
        <family val="2"/>
      </rPr>
      <t>(2)</t>
    </r>
  </si>
  <si>
    <r>
      <t xml:space="preserve">Capitalization and Financial Statistics </t>
    </r>
    <r>
      <rPr>
        <vertAlign val="superscript"/>
        <sz val="12"/>
        <rFont val="Arial"/>
        <family val="2"/>
      </rPr>
      <t>(1)</t>
    </r>
  </si>
  <si>
    <r>
      <t xml:space="preserve">Operating Ratio </t>
    </r>
    <r>
      <rPr>
        <vertAlign val="superscript"/>
        <sz val="12"/>
        <rFont val="Arial"/>
        <family val="2"/>
      </rPr>
      <t>(3)</t>
    </r>
  </si>
  <si>
    <r>
      <t xml:space="preserve">Coverage incl. AFUDC </t>
    </r>
    <r>
      <rPr>
        <vertAlign val="superscript"/>
        <sz val="12"/>
        <rFont val="Arial"/>
        <family val="2"/>
      </rPr>
      <t>(4)</t>
    </r>
  </si>
  <si>
    <r>
      <t xml:space="preserve">Rate of Return on Book Common Equity </t>
    </r>
    <r>
      <rPr>
        <vertAlign val="superscript"/>
        <sz val="12"/>
        <rFont val="Arial"/>
        <family val="2"/>
      </rPr>
      <t>(2)</t>
    </r>
  </si>
  <si>
    <r>
      <t xml:space="preserve">Coverage excl. AFUDC </t>
    </r>
    <r>
      <rPr>
        <vertAlign val="superscript"/>
        <sz val="12"/>
        <rFont val="Arial"/>
        <family val="2"/>
      </rPr>
      <t>(3)</t>
    </r>
  </si>
  <si>
    <r>
      <t xml:space="preserve">Internal Cash Generation/Construction </t>
    </r>
    <r>
      <rPr>
        <vertAlign val="superscript"/>
        <sz val="12"/>
        <rFont val="Arial"/>
        <family val="2"/>
      </rPr>
      <t>(4)</t>
    </r>
  </si>
  <si>
    <r>
      <t xml:space="preserve">Gross Cash Flow/ Avg. Total Debt </t>
    </r>
    <r>
      <rPr>
        <vertAlign val="superscript"/>
        <sz val="12"/>
        <rFont val="Arial"/>
        <family val="2"/>
      </rPr>
      <t>(5)</t>
    </r>
  </si>
  <si>
    <r>
      <t xml:space="preserve">Gross Cash Flow Interest Coverage </t>
    </r>
    <r>
      <rPr>
        <vertAlign val="superscript"/>
        <sz val="12"/>
        <rFont val="Arial"/>
        <family val="2"/>
      </rPr>
      <t>(6)</t>
    </r>
  </si>
  <si>
    <r>
      <t xml:space="preserve">Common Dividend Coverage </t>
    </r>
    <r>
      <rPr>
        <vertAlign val="superscript"/>
        <sz val="12"/>
        <rFont val="Arial"/>
        <family val="2"/>
      </rPr>
      <t>(7)</t>
    </r>
  </si>
  <si>
    <t>Gas Group</t>
  </si>
  <si>
    <t>CHESAPEAKE UTILITIES CORP</t>
  </si>
  <si>
    <t>ONE GAS INC</t>
  </si>
  <si>
    <t>SOUTHWEST GAS HOLDINGS INC</t>
  </si>
  <si>
    <t>SPIRE INC</t>
  </si>
  <si>
    <t>NISOURCE INC</t>
  </si>
  <si>
    <t>NORTHWEST NATURAL HLDNG CO</t>
  </si>
  <si>
    <t>2017-2021, Inclusive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</si>
</sst>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0.0%"/>
    <numFmt numFmtId="166" formatCode="0.000"/>
    <numFmt numFmtId="167" formatCode="_(* #,##0.000_);_(* \(#,##0.000\);_(* &quot;-&quot;??_);_(@_)"/>
    <numFmt numFmtId="168" formatCode="#,##0.0_);\(#,##0.0\)"/>
  </numFmts>
  <fonts count="8" x14ac:knownFonts="1">
    <font>
      <sz val="12"/>
      <name val="Arial"/>
    </font>
    <font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165" fontId="0" fillId="0" borderId="1" xfId="0" applyNumberFormat="1" applyBorder="1"/>
    <xf numFmtId="165" fontId="0" fillId="0" borderId="2" xfId="0" applyNumberFormat="1" applyBorder="1"/>
    <xf numFmtId="165" fontId="0" fillId="0" borderId="0" xfId="0" applyNumberFormat="1" applyAlignment="1"/>
    <xf numFmtId="2" fontId="0" fillId="0" borderId="0" xfId="0" applyNumberFormat="1"/>
    <xf numFmtId="165" fontId="0" fillId="0" borderId="1" xfId="0" applyNumberFormat="1" applyBorder="1" applyAlignment="1"/>
    <xf numFmtId="165" fontId="0" fillId="0" borderId="2" xfId="0" applyNumberFormat="1" applyBorder="1" applyAlignment="1"/>
    <xf numFmtId="164" fontId="1" fillId="0" borderId="0" xfId="2" applyNumberFormat="1"/>
    <xf numFmtId="164" fontId="1" fillId="0" borderId="1" xfId="2" applyNumberFormat="1" applyBorder="1"/>
    <xf numFmtId="164" fontId="1" fillId="0" borderId="2" xfId="2" applyNumberFormat="1" applyBorder="1"/>
    <xf numFmtId="165" fontId="1" fillId="0" borderId="0" xfId="3" applyNumberFormat="1"/>
    <xf numFmtId="9" fontId="1" fillId="0" borderId="0" xfId="3"/>
    <xf numFmtId="44" fontId="1" fillId="0" borderId="0" xfId="2"/>
    <xf numFmtId="167" fontId="1" fillId="0" borderId="0" xfId="1" applyNumberFormat="1"/>
    <xf numFmtId="165" fontId="0" fillId="0" borderId="0" xfId="3" applyNumberFormat="1" applyFont="1"/>
    <xf numFmtId="9" fontId="0" fillId="0" borderId="0" xfId="3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166" fontId="5" fillId="0" borderId="0" xfId="0" applyNumberFormat="1" applyFont="1" applyAlignment="1">
      <alignment horizontal="right"/>
    </xf>
    <xf numFmtId="0" fontId="5" fillId="0" borderId="0" xfId="0" quotePrefix="1" applyFont="1" applyAlignment="1"/>
    <xf numFmtId="0" fontId="0" fillId="0" borderId="0" xfId="0" applyAlignment="1">
      <alignment horizontal="left"/>
    </xf>
    <xf numFmtId="168" fontId="0" fillId="0" borderId="0" xfId="0" applyNumberFormat="1"/>
    <xf numFmtId="2" fontId="1" fillId="0" borderId="0" xfId="1" applyNumberFormat="1"/>
    <xf numFmtId="2" fontId="1" fillId="0" borderId="0" xfId="1" applyNumberFormat="1" applyAlignment="1"/>
    <xf numFmtId="4" fontId="1" fillId="0" borderId="0" xfId="1" applyNumberFormat="1"/>
    <xf numFmtId="4" fontId="1" fillId="0" borderId="0" xfId="1" applyNumberFormat="1" applyAlignment="1"/>
    <xf numFmtId="1" fontId="1" fillId="0" borderId="0" xfId="3" applyNumberFormat="1"/>
    <xf numFmtId="1" fontId="0" fillId="0" borderId="0" xfId="0" applyNumberFormat="1" applyAlignment="1"/>
    <xf numFmtId="3" fontId="0" fillId="0" borderId="0" xfId="0" applyNumberFormat="1"/>
    <xf numFmtId="3" fontId="0" fillId="0" borderId="0" xfId="0" applyNumberFormat="1" applyAlignment="1"/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1"/>
    </xf>
    <xf numFmtId="0" fontId="0" fillId="0" borderId="0" xfId="0" quotePrefix="1" applyAlignment="1">
      <alignment horizontal="left"/>
    </xf>
    <xf numFmtId="164" fontId="0" fillId="0" borderId="0" xfId="2" applyNumberFormat="1" applyFont="1"/>
    <xf numFmtId="166" fontId="0" fillId="0" borderId="0" xfId="0" applyNumberForma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1" fillId="0" borderId="0" xfId="0" applyFont="1"/>
    <xf numFmtId="166" fontId="1" fillId="0" borderId="0" xfId="0" applyNumberFormat="1" applyFont="1"/>
    <xf numFmtId="0" fontId="3" fillId="0" borderId="0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calcChain" Target="calcChain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haredStrings" Target="sharedString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tyles" Target="styles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O52"/>
  <sheetViews>
    <sheetView tabSelected="1" zoomScale="85" zoomScaleNormal="85" zoomScalePageLayoutView="7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3" max="3" width="9.5546875" customWidth="1"/>
    <col min="4" max="4" width="10.21875" customWidth="1"/>
    <col min="5" max="5" width="3.71875" customWidth="1"/>
    <col min="6" max="6" width="10.21875" customWidth="1"/>
    <col min="7" max="7" width="3.71875" customWidth="1"/>
    <col min="8" max="8" width="10.21875" customWidth="1"/>
    <col min="9" max="9" width="3.71875" customWidth="1"/>
    <col min="10" max="10" width="10.21875" customWidth="1"/>
    <col min="11" max="11" width="3.71875" customWidth="1"/>
    <col min="12" max="12" width="10.2187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4" t="s">
        <v>99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7.25" x14ac:dyDescent="0.4">
      <c r="A2" s="46" t="s">
        <v>90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4">
      <c r="A3" s="44" t="s">
        <v>106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5" spans="1:15" s="1" customFormat="1" x14ac:dyDescent="0.4">
      <c r="D5" s="2">
        <f>Spire!D5</f>
        <v>2021</v>
      </c>
      <c r="E5" s="23"/>
      <c r="F5" s="2">
        <f>Spire!F5</f>
        <v>2020</v>
      </c>
      <c r="H5" s="2">
        <f>Spire!H5</f>
        <v>2019</v>
      </c>
      <c r="J5" s="2">
        <f>Spire!J5</f>
        <v>2018</v>
      </c>
      <c r="L5" s="2">
        <f>Spire!L5</f>
        <v>2017</v>
      </c>
    </row>
    <row r="6" spans="1:15" s="1" customFormat="1" x14ac:dyDescent="0.4">
      <c r="D6" s="43" t="s">
        <v>18</v>
      </c>
      <c r="E6" s="43"/>
      <c r="F6" s="43"/>
      <c r="G6" s="43"/>
      <c r="H6" s="43"/>
      <c r="I6" s="43"/>
      <c r="J6" s="43"/>
      <c r="K6" s="43"/>
      <c r="L6" s="43"/>
    </row>
    <row r="7" spans="1:15" x14ac:dyDescent="0.4">
      <c r="A7" t="s">
        <v>1</v>
      </c>
    </row>
    <row r="8" spans="1:15" x14ac:dyDescent="0.4">
      <c r="B8" t="s">
        <v>6</v>
      </c>
      <c r="D8" s="10">
        <f>ROUND(AVERAGE(Atmos:Spire!D8),1)</f>
        <v>7293.8</v>
      </c>
      <c r="F8" s="10">
        <f>ROUND(AVERAGE(Atmos:Spire!F8),1)</f>
        <v>6052.7</v>
      </c>
      <c r="H8" s="10">
        <f>ROUND(AVERAGE(Atmos:Spire!H8),1)</f>
        <v>5316.3</v>
      </c>
      <c r="J8" s="10">
        <f>ROUND(AVERAGE(Atmos:Spire!J8),1)</f>
        <v>4769</v>
      </c>
      <c r="L8" s="10">
        <f>ROUND(AVERAGE(Atmos:Spire!L8),1)</f>
        <v>4348.5</v>
      </c>
    </row>
    <row r="9" spans="1:15" x14ac:dyDescent="0.4">
      <c r="B9" t="s">
        <v>5</v>
      </c>
      <c r="D9" s="10">
        <f>ROUND(AVERAGE(Atmos:Spire!D9),1)</f>
        <v>577.9</v>
      </c>
      <c r="F9" s="10">
        <f>ROUND(AVERAGE(Atmos:Spire!F9),1)</f>
        <v>285.2</v>
      </c>
      <c r="H9" s="10">
        <f>ROUND(AVERAGE(Atmos:Spire!H9),1)</f>
        <v>516.29999999999995</v>
      </c>
      <c r="J9" s="10">
        <f>ROUND(AVERAGE(Atmos:Spire!J9),1)</f>
        <v>527.79999999999995</v>
      </c>
      <c r="L9" s="10">
        <f>ROUND(AVERAGE(Atmos:Spire!L9),1)</f>
        <v>409.2</v>
      </c>
    </row>
    <row r="10" spans="1:15" ht="15.4" thickBot="1" x14ac:dyDescent="0.45">
      <c r="B10" t="s">
        <v>7</v>
      </c>
      <c r="D10" s="12">
        <f>D8+D9</f>
        <v>7871.7</v>
      </c>
      <c r="F10" s="12">
        <f>F8+F9</f>
        <v>6337.9</v>
      </c>
      <c r="H10" s="12">
        <f>H8+H9</f>
        <v>5832.6</v>
      </c>
      <c r="J10" s="12">
        <f>J8+J9</f>
        <v>5296.8</v>
      </c>
      <c r="L10" s="12">
        <f>L8+L9</f>
        <v>4757.7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73</v>
      </c>
      <c r="D13" s="30">
        <f>ROUND(AVERAGE(Atmos:Spire!D13),0)</f>
        <v>21</v>
      </c>
      <c r="E13" s="25" t="s">
        <v>3</v>
      </c>
      <c r="F13" s="30">
        <f>ROUND(AVERAGE(Atmos:Spire!F13),0)</f>
        <v>24</v>
      </c>
      <c r="G13" s="25" t="s">
        <v>3</v>
      </c>
      <c r="H13" s="30">
        <f>ROUND(AVERAGE(Atmos:Spire!H13),0)</f>
        <v>25</v>
      </c>
      <c r="I13" s="25" t="s">
        <v>3</v>
      </c>
      <c r="J13" s="30">
        <f>ROUND(AVERAGE(Atmos:Spire!J13),0)</f>
        <v>20</v>
      </c>
      <c r="K13" s="25" t="s">
        <v>3</v>
      </c>
      <c r="L13" s="30">
        <f>ROUND(AVERAGE(Atmos:Spire!L13),0)</f>
        <v>22</v>
      </c>
      <c r="M13" s="25" t="s">
        <v>3</v>
      </c>
      <c r="N13" s="31">
        <f>AVERAGE(D13,F13,H13,J13,L13)</f>
        <v>22.4</v>
      </c>
      <c r="O13" s="25" t="s">
        <v>3</v>
      </c>
    </row>
    <row r="14" spans="1:15" x14ac:dyDescent="0.4">
      <c r="B14" t="s">
        <v>20</v>
      </c>
      <c r="D14" s="13">
        <f>ROUND(AVERAGE(Atmos:Spire!D14),3)</f>
        <v>1.857</v>
      </c>
      <c r="E14" s="3"/>
      <c r="F14" s="13">
        <f>ROUND(AVERAGE(Atmos:Spire!F14),3)</f>
        <v>1.8859999999999999</v>
      </c>
      <c r="G14" s="3"/>
      <c r="H14" s="13">
        <f>ROUND(AVERAGE(Atmos:Spire!H14),3)</f>
        <v>2.25</v>
      </c>
      <c r="I14" s="3"/>
      <c r="J14" s="13">
        <f>ROUND(AVERAGE(Atmos:Spire!J14),3)</f>
        <v>2.1850000000000001</v>
      </c>
      <c r="K14" s="3"/>
      <c r="L14" s="13">
        <f>ROUND(AVERAGE(Atmos:Spire!L14),3)</f>
        <v>2.2450000000000001</v>
      </c>
      <c r="M14" s="3"/>
      <c r="N14" s="6">
        <f>AVERAGE(D14,F14,H14,J14,L14)</f>
        <v>2.0846000000000005</v>
      </c>
    </row>
    <row r="15" spans="1:15" x14ac:dyDescent="0.4">
      <c r="B15" t="s">
        <v>9</v>
      </c>
      <c r="D15" s="13">
        <f>ROUND(AVERAGE(Atmos:Spire!D15),3)</f>
        <v>3.2000000000000001E-2</v>
      </c>
      <c r="E15" s="3"/>
      <c r="F15" s="13">
        <f>ROUND(AVERAGE(Atmos:Spire!F15),3)</f>
        <v>3.1E-2</v>
      </c>
      <c r="G15" s="3"/>
      <c r="H15" s="13">
        <f>ROUND(AVERAGE(Atmos:Spire!H15),3)</f>
        <v>2.5000000000000001E-2</v>
      </c>
      <c r="I15" s="3"/>
      <c r="J15" s="13">
        <f>ROUND(AVERAGE(Atmos:Spire!J15),3)</f>
        <v>2.7E-2</v>
      </c>
      <c r="K15" s="3"/>
      <c r="L15" s="13">
        <f>ROUND(AVERAGE(Atmos:Spire!L15),3)</f>
        <v>2.5000000000000001E-2</v>
      </c>
      <c r="M15" s="3"/>
      <c r="N15" s="6">
        <f>AVERAGE(D15,F15,H15,J15,L15)</f>
        <v>2.7999999999999997E-2</v>
      </c>
    </row>
    <row r="16" spans="1:15" x14ac:dyDescent="0.4">
      <c r="B16" t="s">
        <v>10</v>
      </c>
      <c r="D16" s="13">
        <f>ROUND(AVERAGE(Atmos:Spire!D16),3)</f>
        <v>0.65600000000000003</v>
      </c>
      <c r="E16" s="3"/>
      <c r="F16" s="13">
        <f>ROUND(AVERAGE(Atmos:Spire!F16),3)</f>
        <v>0.747</v>
      </c>
      <c r="G16" s="3"/>
      <c r="H16" s="13">
        <f>ROUND(AVERAGE(Atmos:Spire!H16),3)</f>
        <v>0.63900000000000001</v>
      </c>
      <c r="I16" s="3"/>
      <c r="J16" s="13">
        <f>ROUND(AVERAGE(Atmos:Spire!J16),3)</f>
        <v>0.52400000000000002</v>
      </c>
      <c r="K16" s="3"/>
      <c r="L16" s="13">
        <f>ROUND(AVERAGE(Atmos:Spire!L16),3)</f>
        <v>0.53300000000000003</v>
      </c>
      <c r="M16" s="3"/>
      <c r="N16" s="6">
        <f>AVERAGE(D16,F16,H16,J16,L16)</f>
        <v>0.61979999999999991</v>
      </c>
    </row>
    <row r="18" spans="1:14" x14ac:dyDescent="0.4">
      <c r="A18" t="s">
        <v>2</v>
      </c>
    </row>
    <row r="19" spans="1:14" x14ac:dyDescent="0.4">
      <c r="B19" t="s">
        <v>72</v>
      </c>
    </row>
    <row r="20" spans="1:14" x14ac:dyDescent="0.4">
      <c r="B20" s="34" t="s">
        <v>77</v>
      </c>
      <c r="D20" s="13">
        <f>ROUND(AVERAGE(Atmos:Spire!D20),4)</f>
        <v>0.53490000000000004</v>
      </c>
      <c r="E20" s="3"/>
      <c r="F20" s="13">
        <f>ROUND(AVERAGE(Atmos:Spire!F20),4)</f>
        <v>0.48609999999999998</v>
      </c>
      <c r="G20" s="3"/>
      <c r="H20" s="13">
        <f>ROUND(AVERAGE(Atmos:Spire!H20),4)</f>
        <v>0.46350000000000002</v>
      </c>
      <c r="I20" s="3"/>
      <c r="J20" s="13">
        <f>ROUND(AVERAGE(Atmos:Spire!J20),4)</f>
        <v>0.45350000000000001</v>
      </c>
      <c r="K20" s="3"/>
      <c r="L20" s="13">
        <f>ROUND(AVERAGE(Atmos:Spire!L20),4)</f>
        <v>0.46889999999999998</v>
      </c>
      <c r="M20" s="3"/>
      <c r="N20" s="6">
        <f>AVERAGE(D20,F20,H20,J20,L20)</f>
        <v>0.48137999999999997</v>
      </c>
    </row>
    <row r="21" spans="1:14" x14ac:dyDescent="0.4">
      <c r="B21" s="34" t="s">
        <v>78</v>
      </c>
      <c r="D21" s="13">
        <f>ROUND(AVERAGE(Atmos:Spire!D21),4)</f>
        <v>2.2800000000000001E-2</v>
      </c>
      <c r="E21" s="3"/>
      <c r="F21" s="13">
        <f>ROUND(AVERAGE(Atmos:Spire!F21),4)</f>
        <v>1.7600000000000001E-2</v>
      </c>
      <c r="G21" s="3"/>
      <c r="H21" s="13">
        <f>ROUND(AVERAGE(Atmos:Spire!H21),4)</f>
        <v>1.6500000000000001E-2</v>
      </c>
      <c r="I21" s="3"/>
      <c r="J21" s="13">
        <f>ROUND(AVERAGE(Atmos:Spire!J21),4)</f>
        <v>1.0999999999999999E-2</v>
      </c>
      <c r="K21" s="3"/>
      <c r="L21" s="13">
        <f>ROUND(AVERAGE(Atmos:Spire!L21),4)</f>
        <v>-1E-4</v>
      </c>
      <c r="M21" s="3"/>
      <c r="N21" s="6">
        <f>AVERAGE(D21,F21,H21,J21,L21)</f>
        <v>1.3559999999999999E-2</v>
      </c>
    </row>
    <row r="22" spans="1:14" ht="17.25" x14ac:dyDescent="0.4">
      <c r="B22" s="35" t="s">
        <v>89</v>
      </c>
      <c r="D22" s="13">
        <f>ROUND(AVERAGE(Atmos:Spire!D22),4)</f>
        <v>0.44209999999999999</v>
      </c>
      <c r="E22" s="3"/>
      <c r="F22" s="13">
        <f>ROUND(AVERAGE(Atmos:Spire!F22),4)</f>
        <v>0.49640000000000001</v>
      </c>
      <c r="G22" s="3"/>
      <c r="H22" s="13">
        <f>ROUND(AVERAGE(Atmos:Spire!H22),4)</f>
        <v>0.52</v>
      </c>
      <c r="I22" s="3"/>
      <c r="J22" s="13">
        <f>ROUND(AVERAGE(Atmos:Spire!J22),4)</f>
        <v>0.53549999999999998</v>
      </c>
      <c r="K22" s="3"/>
      <c r="L22" s="13">
        <f>ROUND(AVERAGE(Atmos:Spire!L22),4)</f>
        <v>0.53129999999999999</v>
      </c>
      <c r="M22" s="3"/>
      <c r="N22" s="8">
        <f>AVERAGE(D22,F22,H22,J22,L22)</f>
        <v>0.50505999999999995</v>
      </c>
    </row>
    <row r="23" spans="1:14" ht="15.4" thickBot="1" x14ac:dyDescent="0.45">
      <c r="D23" s="5">
        <f>SUM(D20:D22)</f>
        <v>0.99980000000000002</v>
      </c>
      <c r="E23" s="3"/>
      <c r="F23" s="5">
        <f>SUM(F20:F22)</f>
        <v>1.0001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1.0001</v>
      </c>
      <c r="M23" s="3"/>
      <c r="N23" s="9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4" t="s">
        <v>80</v>
      </c>
      <c r="D25" s="13">
        <f>ROUND(AVERAGE(Atmos:Spire!D25),4)</f>
        <v>0.58160000000000001</v>
      </c>
      <c r="E25" s="3"/>
      <c r="F25" s="13">
        <f>ROUND(AVERAGE(Atmos:Spire!F25),4)</f>
        <v>0.52249999999999996</v>
      </c>
      <c r="G25" s="3"/>
      <c r="H25" s="13">
        <f>ROUND(AVERAGE(Atmos:Spire!H25),4)</f>
        <v>0.51359999999999995</v>
      </c>
      <c r="I25" s="3"/>
      <c r="J25" s="13">
        <f>ROUND(AVERAGE(Atmos:Spire!J25),4)</f>
        <v>0.51300000000000001</v>
      </c>
      <c r="K25" s="3"/>
      <c r="L25" s="13">
        <f>ROUND(AVERAGE(Atmos:Spire!L25),4)</f>
        <v>0.52659999999999996</v>
      </c>
      <c r="M25" s="3"/>
      <c r="N25" s="6">
        <f>AVERAGE(D25,F25,H25,J25,L25)</f>
        <v>0.53145999999999982</v>
      </c>
    </row>
    <row r="26" spans="1:14" x14ac:dyDescent="0.4">
      <c r="B26" s="34" t="s">
        <v>78</v>
      </c>
      <c r="D26" s="13">
        <f>ROUND(AVERAGE(Atmos:Spire!D26),4)</f>
        <v>2.1299999999999999E-2</v>
      </c>
      <c r="E26" s="3"/>
      <c r="F26" s="13">
        <f>ROUND(AVERAGE(Atmos:Spire!F26),4)</f>
        <v>1.66E-2</v>
      </c>
      <c r="G26" s="3"/>
      <c r="H26" s="13">
        <f>ROUND(AVERAGE(Atmos:Spire!H26),4)</f>
        <v>1.46E-2</v>
      </c>
      <c r="I26" s="3"/>
      <c r="J26" s="13">
        <f>ROUND(AVERAGE(Atmos:Spire!J26),4)</f>
        <v>9.7999999999999997E-3</v>
      </c>
      <c r="K26" s="3"/>
      <c r="L26" s="13">
        <f>ROUND(AVERAGE(Atmos:Spire!L26),4)</f>
        <v>-1E-4</v>
      </c>
      <c r="M26" s="3"/>
      <c r="N26" s="6">
        <f>AVERAGE(D26,F26,H26,J26,L26)</f>
        <v>1.2440000000000001E-2</v>
      </c>
    </row>
    <row r="27" spans="1:14" ht="17.25" x14ac:dyDescent="0.4">
      <c r="B27" s="35" t="s">
        <v>89</v>
      </c>
      <c r="D27" s="13">
        <f>ROUND(AVERAGE(Atmos:Spire!D27),4)</f>
        <v>0.39710000000000001</v>
      </c>
      <c r="E27" s="3"/>
      <c r="F27" s="13">
        <f>ROUND(AVERAGE(Atmos:Spire!F27),4)</f>
        <v>0.46079999999999999</v>
      </c>
      <c r="G27" s="3"/>
      <c r="H27" s="13">
        <f>ROUND(AVERAGE(Atmos:Spire!H27),4)</f>
        <v>0.4718</v>
      </c>
      <c r="I27" s="3"/>
      <c r="J27" s="13">
        <f>ROUND(AVERAGE(Atmos:Spire!J27),4)</f>
        <v>0.4773</v>
      </c>
      <c r="K27" s="3"/>
      <c r="L27" s="13">
        <f>ROUND(AVERAGE(Atmos:Spire!L27),4)</f>
        <v>0.47349999999999998</v>
      </c>
      <c r="M27" s="3"/>
      <c r="N27" s="8">
        <f>AVERAGE(D27,F27,H27,J27,L27)</f>
        <v>0.45610000000000001</v>
      </c>
    </row>
    <row r="28" spans="1:14" ht="15.4" thickBot="1" x14ac:dyDescent="0.45">
      <c r="D28" s="5">
        <f>SUM(D25:D27)</f>
        <v>1</v>
      </c>
      <c r="E28" s="3"/>
      <c r="F28" s="5">
        <f>SUM(F25:F27)</f>
        <v>0.9998999999999999</v>
      </c>
      <c r="G28" s="3"/>
      <c r="H28" s="5">
        <f>SUM(H25:H27)</f>
        <v>0.99999999999999989</v>
      </c>
      <c r="I28" s="3"/>
      <c r="J28" s="5">
        <f>SUM(J25:J27)</f>
        <v>1.0001</v>
      </c>
      <c r="K28" s="3"/>
      <c r="L28" s="5">
        <f>SUM(L25:L27)</f>
        <v>1</v>
      </c>
      <c r="M28" s="3"/>
      <c r="N28" s="9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6" t="s">
        <v>93</v>
      </c>
      <c r="D30" s="13">
        <f>ROUND(AVERAGE(Atmos:Spire!D30),3)</f>
        <v>0.09</v>
      </c>
      <c r="E30" s="3"/>
      <c r="F30" s="13">
        <f>ROUND(AVERAGE(Atmos:Spire!F30),3)</f>
        <v>8.6999999999999994E-2</v>
      </c>
      <c r="G30" s="3"/>
      <c r="H30" s="13">
        <f>ROUND(AVERAGE(Atmos:Spire!H30),3)</f>
        <v>0.09</v>
      </c>
      <c r="I30" s="3"/>
      <c r="J30" s="13">
        <f>ROUND(AVERAGE(Atmos:Spire!J30),3)</f>
        <v>0.112</v>
      </c>
      <c r="K30" s="3"/>
      <c r="L30" s="13">
        <f>ROUND(AVERAGE(Atmos:Spire!L30),3)</f>
        <v>9.0999999999999998E-2</v>
      </c>
      <c r="M30" s="3"/>
      <c r="N30" s="6">
        <f>ROUND(AVERAGE(D30,F30,H30,J30,L30),3)</f>
        <v>9.4E-2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6" t="s">
        <v>91</v>
      </c>
      <c r="D32" s="13">
        <f>ROUND(AVERAGE(Atmos:Spire!D32),3)</f>
        <v>0.81299999999999994</v>
      </c>
      <c r="E32" s="3"/>
      <c r="F32" s="13">
        <f>ROUND(AVERAGE(Atmos:Spire!F32),3)</f>
        <v>0.82699999999999996</v>
      </c>
      <c r="G32" s="3"/>
      <c r="H32" s="13">
        <f>ROUND(AVERAGE(Atmos:Spire!H32),3)</f>
        <v>0.83099999999999996</v>
      </c>
      <c r="I32" s="3"/>
      <c r="J32" s="13">
        <f>ROUND(AVERAGE(Atmos:Spire!J32),3)</f>
        <v>0.84299999999999997</v>
      </c>
      <c r="K32" s="3"/>
      <c r="L32" s="13">
        <f>ROUND(AVERAGE(Atmos:Spire!L32),3)</f>
        <v>0.83099999999999996</v>
      </c>
      <c r="M32" s="3"/>
      <c r="N32" s="6">
        <f>AVERAGE(D32,F32,H32,J32,L32)</f>
        <v>0.82899999999999996</v>
      </c>
    </row>
    <row r="34" spans="1:15" ht="17.25" x14ac:dyDescent="0.4">
      <c r="A34" s="36" t="s">
        <v>92</v>
      </c>
    </row>
    <row r="35" spans="1:15" x14ac:dyDescent="0.4">
      <c r="B35" t="s">
        <v>13</v>
      </c>
      <c r="D35" s="26">
        <f>ROUND(AVERAGE(Atmos:Spire!D35),2)</f>
        <v>4.88</v>
      </c>
      <c r="E35" s="7" t="s">
        <v>3</v>
      </c>
      <c r="F35" s="26">
        <f>ROUND(AVERAGE(Atmos:Spire!F35),2)</f>
        <v>4.18</v>
      </c>
      <c r="G35" s="7" t="s">
        <v>3</v>
      </c>
      <c r="H35" s="26">
        <f>ROUND(AVERAGE(Atmos:Spire!H35),2)</f>
        <v>4.0199999999999996</v>
      </c>
      <c r="I35" s="7" t="s">
        <v>3</v>
      </c>
      <c r="J35" s="26">
        <f>ROUND(AVERAGE(Atmos:Spire!J35),2)</f>
        <v>4.0199999999999996</v>
      </c>
      <c r="K35" s="7" t="s">
        <v>3</v>
      </c>
      <c r="L35" s="26">
        <f>ROUND(AVERAGE(Atmos:Spire!L35),2)</f>
        <v>4.76</v>
      </c>
      <c r="M35" s="7" t="s">
        <v>3</v>
      </c>
      <c r="N35" s="27">
        <f>AVERAGE(D35,F35,H35,J35,L35)</f>
        <v>4.3719999999999999</v>
      </c>
      <c r="O35" t="s">
        <v>3</v>
      </c>
    </row>
    <row r="36" spans="1:15" x14ac:dyDescent="0.4">
      <c r="B36" t="s">
        <v>21</v>
      </c>
      <c r="D36" s="26">
        <f>ROUND(AVERAGE(Atmos:Spire!D36),2)</f>
        <v>4.09</v>
      </c>
      <c r="E36" s="7" t="s">
        <v>3</v>
      </c>
      <c r="F36" s="26">
        <f>ROUND(AVERAGE(Atmos:Spire!F36),2)</f>
        <v>3.61</v>
      </c>
      <c r="G36" s="7" t="s">
        <v>3</v>
      </c>
      <c r="H36" s="26">
        <f>ROUND(AVERAGE(Atmos:Spire!H36),2)</f>
        <v>3.57</v>
      </c>
      <c r="I36" s="7" t="s">
        <v>3</v>
      </c>
      <c r="J36" s="26">
        <f>ROUND(AVERAGE(Atmos:Spire!J36),2)</f>
        <v>3.8</v>
      </c>
      <c r="K36" s="7" t="s">
        <v>3</v>
      </c>
      <c r="L36" s="26">
        <f>ROUND(AVERAGE(Atmos:Spire!L36),2)</f>
        <v>3.64</v>
      </c>
      <c r="M36" s="7" t="s">
        <v>3</v>
      </c>
      <c r="N36" s="27">
        <f>AVERAGE(D36,F36,H36,J36,L36)</f>
        <v>3.742</v>
      </c>
      <c r="O36" t="s">
        <v>3</v>
      </c>
    </row>
    <row r="37" spans="1:15" x14ac:dyDescent="0.4">
      <c r="B37" t="s">
        <v>14</v>
      </c>
      <c r="D37" s="26">
        <f>ROUND(AVERAGE(Atmos:Spire!D37),2)</f>
        <v>3.99</v>
      </c>
      <c r="E37" s="7" t="s">
        <v>3</v>
      </c>
      <c r="F37" s="26">
        <f>ROUND(AVERAGE(Atmos:Spire!F37),2)</f>
        <v>3.57</v>
      </c>
      <c r="G37" s="7" t="s">
        <v>3</v>
      </c>
      <c r="H37" s="26">
        <f>ROUND(AVERAGE(Atmos:Spire!H37),2)</f>
        <v>3.52</v>
      </c>
      <c r="I37" s="7" t="s">
        <v>3</v>
      </c>
      <c r="J37" s="26">
        <f>ROUND(AVERAGE(Atmos:Spire!J37),2)</f>
        <v>3.8</v>
      </c>
      <c r="K37" s="7" t="s">
        <v>3</v>
      </c>
      <c r="L37" s="26">
        <f>ROUND(AVERAGE(Atmos:Spire!L37),2)</f>
        <v>3.64</v>
      </c>
      <c r="M37" s="7" t="s">
        <v>3</v>
      </c>
      <c r="N37" s="27">
        <f>AVERAGE(D37,F37,H37,J37,L37)</f>
        <v>3.7039999999999997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6" t="s">
        <v>84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26">
        <f>ROUND(AVERAGE(Atmos:Spire!D40),2)</f>
        <v>4.76</v>
      </c>
      <c r="E40" s="7" t="s">
        <v>3</v>
      </c>
      <c r="F40" s="26">
        <f>ROUND(AVERAGE(Atmos:Spire!F40),2)</f>
        <v>4.07</v>
      </c>
      <c r="G40" s="7" t="s">
        <v>3</v>
      </c>
      <c r="H40" s="26">
        <f>ROUND(AVERAGE(Atmos:Spire!H40),2)</f>
        <v>3.96</v>
      </c>
      <c r="I40" s="7" t="s">
        <v>3</v>
      </c>
      <c r="J40" s="26">
        <f>ROUND(AVERAGE(Atmos:Spire!J40),2)</f>
        <v>3.96</v>
      </c>
      <c r="K40" s="7" t="s">
        <v>3</v>
      </c>
      <c r="L40" s="26">
        <f>ROUND(AVERAGE(Atmos:Spire!L40),2)</f>
        <v>4.72</v>
      </c>
      <c r="M40" s="7" t="s">
        <v>3</v>
      </c>
      <c r="N40" s="27">
        <f>AVERAGE(D40,F40,H40,J40,L40)</f>
        <v>4.2939999999999996</v>
      </c>
      <c r="O40" t="s">
        <v>3</v>
      </c>
    </row>
    <row r="41" spans="1:15" x14ac:dyDescent="0.4">
      <c r="B41" t="s">
        <v>21</v>
      </c>
      <c r="D41" s="26">
        <f>ROUND(AVERAGE(Atmos:Spire!D41),2)</f>
        <v>3.97</v>
      </c>
      <c r="E41" s="7" t="s">
        <v>3</v>
      </c>
      <c r="F41" s="26">
        <f>ROUND(AVERAGE(Atmos:Spire!F41),2)</f>
        <v>3.5</v>
      </c>
      <c r="G41" s="7" t="s">
        <v>3</v>
      </c>
      <c r="H41" s="26">
        <f>ROUND(AVERAGE(Atmos:Spire!H41),2)</f>
        <v>3.5</v>
      </c>
      <c r="I41" s="7" t="s">
        <v>3</v>
      </c>
      <c r="J41" s="26">
        <f>ROUND(AVERAGE(Atmos:Spire!J41),2)</f>
        <v>3.75</v>
      </c>
      <c r="K41" s="7" t="s">
        <v>3</v>
      </c>
      <c r="L41" s="26">
        <f>ROUND(AVERAGE(Atmos:Spire!L41),2)</f>
        <v>3.61</v>
      </c>
      <c r="M41" s="7" t="s">
        <v>3</v>
      </c>
      <c r="N41" s="27">
        <f>AVERAGE(D41,F41,H41,J41,L41)</f>
        <v>3.6660000000000004</v>
      </c>
      <c r="O41" t="s">
        <v>3</v>
      </c>
    </row>
    <row r="42" spans="1:15" x14ac:dyDescent="0.4">
      <c r="B42" t="s">
        <v>14</v>
      </c>
      <c r="D42" s="26">
        <f>ROUND(AVERAGE(Atmos:Spire!D42),2)</f>
        <v>3.87</v>
      </c>
      <c r="E42" s="7" t="s">
        <v>3</v>
      </c>
      <c r="F42" s="26">
        <f>ROUND(AVERAGE(Atmos:Spire!F42),2)</f>
        <v>3.46</v>
      </c>
      <c r="G42" s="7" t="s">
        <v>3</v>
      </c>
      <c r="H42" s="26">
        <f>ROUND(AVERAGE(Atmos:Spire!H42),2)</f>
        <v>3.45</v>
      </c>
      <c r="I42" s="7" t="s">
        <v>3</v>
      </c>
      <c r="J42" s="26">
        <f>ROUND(AVERAGE(Atmos:Spire!J42),2)</f>
        <v>3.74</v>
      </c>
      <c r="K42" s="7" t="s">
        <v>3</v>
      </c>
      <c r="L42" s="26">
        <f>ROUND(AVERAGE(Atmos:Spire!L42),2)</f>
        <v>3.61</v>
      </c>
      <c r="M42" s="7" t="s">
        <v>3</v>
      </c>
      <c r="N42" s="27">
        <f>AVERAGE(D42,F42,H42,J42,L42)</f>
        <v>3.6260000000000003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3">
        <f>ROUND(AVERAGE(Atmos:Spire!D45),3)</f>
        <v>4.2999999999999997E-2</v>
      </c>
      <c r="E45" s="13"/>
      <c r="F45" s="13">
        <f>ROUND(AVERAGE(Atmos:Spire!F45),3)</f>
        <v>3.1E-2</v>
      </c>
      <c r="G45" s="13"/>
      <c r="H45" s="13">
        <f>ROUND(AVERAGE(Atmos:Spire!H45),3)</f>
        <v>2.5000000000000001E-2</v>
      </c>
      <c r="I45" s="13"/>
      <c r="J45" s="13">
        <f>ROUND(AVERAGE(Atmos:Spire!J45),3)</f>
        <v>1.6E-2</v>
      </c>
      <c r="K45" s="13"/>
      <c r="L45" s="13">
        <f>ROUND(AVERAGE(Atmos:Spire!L45),3)</f>
        <v>0.03</v>
      </c>
      <c r="M45" s="3"/>
      <c r="N45" s="6">
        <f t="shared" ref="N45:N50" si="0">AVERAGE(D45,F45,H45,J45,L45)</f>
        <v>2.9000000000000005E-2</v>
      </c>
    </row>
    <row r="46" spans="1:15" x14ac:dyDescent="0.4">
      <c r="B46" t="s">
        <v>17</v>
      </c>
      <c r="D46" s="13">
        <f>ROUND(AVERAGE(Atmos:Spire!D46),3)</f>
        <v>0.20300000000000001</v>
      </c>
      <c r="E46" s="14"/>
      <c r="F46" s="13">
        <f>ROUND(AVERAGE(Atmos:Spire!F46),3)</f>
        <v>0.20599999999999999</v>
      </c>
      <c r="G46" s="14"/>
      <c r="H46" s="13">
        <f>ROUND(AVERAGE(Atmos:Spire!H46),3)</f>
        <v>0.14299999999999999</v>
      </c>
      <c r="I46" s="14"/>
      <c r="J46" s="13">
        <f>ROUND(AVERAGE(Atmos:Spire!J46),3)</f>
        <v>0.17199999999999999</v>
      </c>
      <c r="K46" s="14"/>
      <c r="L46" s="13">
        <f>ROUND(AVERAGE(Atmos:Spire!L46),3)</f>
        <v>0.33700000000000002</v>
      </c>
      <c r="N46" s="6">
        <f t="shared" si="0"/>
        <v>0.2122</v>
      </c>
    </row>
    <row r="47" spans="1:15" ht="17.25" x14ac:dyDescent="0.4">
      <c r="B47" s="36" t="s">
        <v>85</v>
      </c>
      <c r="D47" s="13">
        <f>ROUND(AVERAGE(Atmos:Spire!D47),3)</f>
        <v>0.628</v>
      </c>
      <c r="E47" s="14"/>
      <c r="F47" s="13">
        <f>ROUND(AVERAGE(Atmos:Spire!F47),3)</f>
        <v>0.54800000000000004</v>
      </c>
      <c r="G47" s="14"/>
      <c r="H47" s="13">
        <f>ROUND(AVERAGE(Atmos:Spire!H47),3)</f>
        <v>0.52100000000000002</v>
      </c>
      <c r="I47" s="14"/>
      <c r="J47" s="13">
        <f>ROUND(AVERAGE(Atmos:Spire!J47),3)</f>
        <v>0.50600000000000001</v>
      </c>
      <c r="K47" s="14"/>
      <c r="L47" s="13">
        <f>ROUND(AVERAGE(Atmos:Spire!L47),3)</f>
        <v>0.64100000000000001</v>
      </c>
      <c r="N47" s="6">
        <f t="shared" si="0"/>
        <v>0.56880000000000008</v>
      </c>
    </row>
    <row r="48" spans="1:15" ht="17.25" x14ac:dyDescent="0.4">
      <c r="B48" s="36" t="s">
        <v>86</v>
      </c>
      <c r="D48" s="13">
        <f>ROUND(AVERAGE(Atmos:Spire!D48),3)</f>
        <v>0.17399999999999999</v>
      </c>
      <c r="E48" s="14"/>
      <c r="F48" s="13">
        <f>ROUND(AVERAGE(Atmos:Spire!F48),3)</f>
        <v>0.191</v>
      </c>
      <c r="G48" s="14"/>
      <c r="H48" s="13">
        <f>ROUND(AVERAGE(Atmos:Spire!H48),3)</f>
        <v>0.19800000000000001</v>
      </c>
      <c r="I48" s="14"/>
      <c r="J48" s="13">
        <f>ROUND(AVERAGE(Atmos:Spire!J48),3)</f>
        <v>0.20100000000000001</v>
      </c>
      <c r="K48" s="14"/>
      <c r="L48" s="13">
        <f>ROUND(AVERAGE(Atmos:Spire!L48),3)</f>
        <v>0.22900000000000001</v>
      </c>
      <c r="N48" s="6">
        <f t="shared" si="0"/>
        <v>0.1986</v>
      </c>
    </row>
    <row r="49" spans="1:15" ht="17.25" x14ac:dyDescent="0.4">
      <c r="B49" s="36" t="s">
        <v>87</v>
      </c>
      <c r="D49" s="28">
        <f>ROUND(AVERAGE(Atmos:Spire!D49),2)</f>
        <v>8.34</v>
      </c>
      <c r="E49" t="s">
        <v>3</v>
      </c>
      <c r="F49" s="28">
        <f>ROUND(AVERAGE(Atmos:Spire!F49),2)</f>
        <v>7.35</v>
      </c>
      <c r="G49" t="s">
        <v>3</v>
      </c>
      <c r="H49" s="28">
        <f>ROUND(AVERAGE(Atmos:Spire!H49),2)</f>
        <v>6.67</v>
      </c>
      <c r="I49" t="s">
        <v>3</v>
      </c>
      <c r="J49" s="28">
        <f>ROUND(AVERAGE(Atmos:Spire!J49),2)</f>
        <v>6.67</v>
      </c>
      <c r="K49" t="s">
        <v>3</v>
      </c>
      <c r="L49" s="28">
        <f>ROUND(AVERAGE(Atmos:Spire!L49),2)</f>
        <v>7.12</v>
      </c>
      <c r="M49" t="s">
        <v>3</v>
      </c>
      <c r="N49" s="29">
        <f t="shared" si="0"/>
        <v>7.2299999999999995</v>
      </c>
      <c r="O49" t="s">
        <v>3</v>
      </c>
    </row>
    <row r="50" spans="1:15" ht="17.25" x14ac:dyDescent="0.4">
      <c r="B50" s="36" t="s">
        <v>88</v>
      </c>
      <c r="D50" s="28">
        <f>ROUND(AVERAGE(Atmos:Spire!D50),2)</f>
        <v>4.22</v>
      </c>
      <c r="E50" t="s">
        <v>3</v>
      </c>
      <c r="F50" s="28">
        <f>ROUND(AVERAGE(Atmos:Spire!F50),2)</f>
        <v>3.96</v>
      </c>
      <c r="G50" t="s">
        <v>3</v>
      </c>
      <c r="H50" s="28">
        <f>ROUND(AVERAGE(Atmos:Spire!H50),2)</f>
        <v>4.0999999999999996</v>
      </c>
      <c r="I50" t="s">
        <v>3</v>
      </c>
      <c r="J50" s="28">
        <f>ROUND(AVERAGE(Atmos:Spire!J50),2)</f>
        <v>3.93</v>
      </c>
      <c r="K50" t="s">
        <v>3</v>
      </c>
      <c r="L50" s="28">
        <f>ROUND(AVERAGE(Atmos:Spire!L50),2)</f>
        <v>4.55</v>
      </c>
      <c r="M50" t="s">
        <v>3</v>
      </c>
      <c r="N50" s="29">
        <f t="shared" si="0"/>
        <v>4.1520000000000001</v>
      </c>
      <c r="O50" t="s">
        <v>3</v>
      </c>
    </row>
    <row r="52" spans="1:15" x14ac:dyDescent="0.4">
      <c r="A52" t="s">
        <v>4</v>
      </c>
    </row>
  </sheetData>
  <mergeCells count="4">
    <mergeCell ref="D6:L6"/>
    <mergeCell ref="A1:O1"/>
    <mergeCell ref="A2:O2"/>
    <mergeCell ref="A3:O3"/>
  </mergeCells>
  <phoneticPr fontId="0" type="noConversion"/>
  <pageMargins left="1.22" right="0" top="1.5" bottom="1" header="0.5" footer="0.5"/>
  <pageSetup scale="62" orientation="portrait" r:id="rId1"/>
  <headerFooter alignWithMargins="0">
    <oddHeader>&amp;R&amp;16Exhibit No. PRM-1
Page 5 of 30
Schedule 3 [1 of 2]</oddHeader>
  </headerFooter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12"/>
  <sheetViews>
    <sheetView zoomScale="85" zoomScaleNormal="8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21875" customWidth="1"/>
    <col min="5" max="5" width="3.71875" customWidth="1"/>
    <col min="6" max="6" width="10.21875" customWidth="1"/>
    <col min="7" max="7" width="3.71875" customWidth="1"/>
    <col min="8" max="8" width="10.21875" customWidth="1"/>
    <col min="9" max="9" width="3.71875" customWidth="1"/>
    <col min="10" max="10" width="10.21875" customWidth="1"/>
    <col min="11" max="11" width="3.71875" customWidth="1"/>
    <col min="12" max="12" width="10.2187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9" t="str">
        <f>A54</f>
        <v>ATMOS ENERGY CORP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4">
      <c r="A3" s="45" t="str">
        <f>'Page 1'!A3:N3</f>
        <v>2017-2021, Inclusive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8" t="s">
        <v>18</v>
      </c>
      <c r="E6" s="48"/>
      <c r="F6" s="48"/>
      <c r="G6" s="48"/>
      <c r="H6" s="48"/>
      <c r="I6" s="48"/>
      <c r="J6" s="48"/>
      <c r="K6" s="48"/>
      <c r="L6" s="48"/>
    </row>
    <row r="7" spans="1:15" x14ac:dyDescent="0.4">
      <c r="A7" t="s">
        <v>1</v>
      </c>
    </row>
    <row r="8" spans="1:15" x14ac:dyDescent="0.4">
      <c r="B8" t="s">
        <v>6</v>
      </c>
      <c r="D8" s="37">
        <f>D78+D79+D81-D103</f>
        <v>15167.743000000002</v>
      </c>
      <c r="F8" s="37">
        <f>F78+F79+F81-F103</f>
        <v>11380.736000000001</v>
      </c>
      <c r="H8" s="37">
        <f>H78+H79+H81-H103</f>
        <v>9394.2579999999998</v>
      </c>
      <c r="J8" s="37">
        <f>J78+J79+J81-J103</f>
        <v>7922.2629999999999</v>
      </c>
      <c r="L8" s="37">
        <f>L78+L79+L81-L103</f>
        <v>7070.9650000000001</v>
      </c>
    </row>
    <row r="9" spans="1:15" x14ac:dyDescent="0.4">
      <c r="B9" t="s">
        <v>5</v>
      </c>
      <c r="D9" s="11">
        <f>D80</f>
        <v>0</v>
      </c>
      <c r="F9" s="11">
        <f>F80</f>
        <v>0</v>
      </c>
      <c r="H9" s="11">
        <f>H80</f>
        <v>464.91500000000002</v>
      </c>
      <c r="J9" s="11">
        <f>J80</f>
        <v>575.78</v>
      </c>
      <c r="L9" s="11">
        <f>L80</f>
        <v>447.745</v>
      </c>
    </row>
    <row r="10" spans="1:15" ht="15.4" thickBot="1" x14ac:dyDescent="0.45">
      <c r="B10" t="s">
        <v>7</v>
      </c>
      <c r="D10" s="12">
        <f>D8+D9</f>
        <v>15167.743000000002</v>
      </c>
      <c r="F10" s="12">
        <f>F8+F9</f>
        <v>11380.736000000001</v>
      </c>
      <c r="H10" s="12">
        <f>H8+H9</f>
        <v>9859.1730000000007</v>
      </c>
      <c r="J10" s="12">
        <f>J8+J9</f>
        <v>8498.0429999999997</v>
      </c>
      <c r="L10" s="12">
        <f>L8+L9</f>
        <v>7518.71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73</v>
      </c>
      <c r="D13" s="32">
        <f>ROUND(AVERAGE(D108:D109)/D105,0)</f>
        <v>19</v>
      </c>
      <c r="E13" s="7" t="s">
        <v>3</v>
      </c>
      <c r="F13" s="32">
        <f>ROUND(AVERAGE(F108:F109)/F105,0)</f>
        <v>20</v>
      </c>
      <c r="G13" s="7" t="s">
        <v>3</v>
      </c>
      <c r="H13" s="32">
        <f>ROUND(AVERAGE(H108:H109)/H105,0)</f>
        <v>23</v>
      </c>
      <c r="I13" s="7" t="s">
        <v>3</v>
      </c>
      <c r="J13" s="32">
        <f>ROUND(AVERAGE(J108:J109)/J105,0)</f>
        <v>16</v>
      </c>
      <c r="K13" s="7" t="s">
        <v>3</v>
      </c>
      <c r="L13" s="32">
        <f>ROUND(AVERAGE(L108:L109)/L105,0)</f>
        <v>23</v>
      </c>
      <c r="M13" s="7" t="s">
        <v>3</v>
      </c>
      <c r="N13" s="33">
        <f>AVERAGE(D13,F13,H13,J13,L13)</f>
        <v>20.2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1.671</v>
      </c>
      <c r="E14" s="3"/>
      <c r="F14" s="3">
        <f>ROUND(AVERAGE(F108:F109)/AVERAGE(F112,H112),3)</f>
        <v>1.948</v>
      </c>
      <c r="G14" s="3"/>
      <c r="H14" s="3">
        <f>ROUND(AVERAGE(H108:H109)/AVERAGE(H112,J112),3)</f>
        <v>2.2450000000000001</v>
      </c>
      <c r="I14" s="3"/>
      <c r="J14" s="3">
        <f>ROUND(AVERAGE(J108:J109)/AVERAGE(J112,L112),3)</f>
        <v>2.226</v>
      </c>
      <c r="K14" s="3"/>
      <c r="L14" s="3">
        <f>ROUND(AVERAGE(L108:L109)/AVERAGE(L112,N112),3)</f>
        <v>2.371</v>
      </c>
      <c r="M14" s="3"/>
      <c r="N14" s="6">
        <f>AVERAGE(D14,F14,H14,J14,L14)</f>
        <v>2.0922000000000001</v>
      </c>
    </row>
    <row r="15" spans="1:15" x14ac:dyDescent="0.4">
      <c r="B15" t="s">
        <v>9</v>
      </c>
      <c r="D15" s="3">
        <f>ROUND(D106/AVERAGE(D108:D109),3)</f>
        <v>2.5999999999999999E-2</v>
      </c>
      <c r="E15" s="3"/>
      <c r="F15" s="3">
        <f>ROUND(F106/AVERAGE(F108:F109),3)</f>
        <v>2.3E-2</v>
      </c>
      <c r="G15" s="3"/>
      <c r="H15" s="3">
        <f>ROUND(H106/AVERAGE(H108:H109),3)</f>
        <v>2.1000000000000001E-2</v>
      </c>
      <c r="I15" s="3"/>
      <c r="J15" s="3">
        <f>ROUND(J106/AVERAGE(J108:J109),3)</f>
        <v>2.1999999999999999E-2</v>
      </c>
      <c r="K15" s="3"/>
      <c r="L15" s="3">
        <f>ROUND(L106/AVERAGE(L108:L109),3)</f>
        <v>2.1999999999999999E-2</v>
      </c>
      <c r="M15" s="3"/>
      <c r="N15" s="6">
        <f>AVERAGE(D15,F15,H15,J15,L15)</f>
        <v>2.2799999999999997E-2</v>
      </c>
    </row>
    <row r="16" spans="1:15" x14ac:dyDescent="0.4">
      <c r="B16" t="s">
        <v>10</v>
      </c>
      <c r="D16" s="3">
        <f>ROUND(D96/D66,3)</f>
        <v>0.48699999999999999</v>
      </c>
      <c r="E16" s="3"/>
      <c r="F16" s="3">
        <f>ROUND(F96/F66,3)</f>
        <v>0.47</v>
      </c>
      <c r="G16" s="3"/>
      <c r="H16" s="3">
        <f>ROUND(H96/H66,3)</f>
        <v>0.48</v>
      </c>
      <c r="I16" s="3"/>
      <c r="J16" s="3">
        <f>ROUND(J96/J66,3)</f>
        <v>0.35699999999999998</v>
      </c>
      <c r="K16" s="3"/>
      <c r="L16" s="3">
        <f>ROUND(L96/L66,3)</f>
        <v>0.502</v>
      </c>
      <c r="M16" s="3"/>
      <c r="N16" s="6">
        <f>AVERAGE(D16,F16,H16,J16,L16)</f>
        <v>0.45919999999999994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4" t="s">
        <v>77</v>
      </c>
      <c r="D20" s="3">
        <f>ROUND((+D76+D79)/D8,3)</f>
        <v>0.48299999999999998</v>
      </c>
      <c r="E20" s="3"/>
      <c r="F20" s="3">
        <f>ROUND((+F76+F79)/F8,3)</f>
        <v>0.39800000000000002</v>
      </c>
      <c r="G20" s="3"/>
      <c r="H20" s="3">
        <f>ROUND((+H76+H79)/H8,3)</f>
        <v>0.376</v>
      </c>
      <c r="I20" s="3"/>
      <c r="J20" s="3">
        <f>ROUND((+J76+J79)/J8,3)</f>
        <v>0.38700000000000001</v>
      </c>
      <c r="K20" s="3"/>
      <c r="L20" s="3">
        <f>ROUND((+L76+L79)/L8,3)</f>
        <v>0.434</v>
      </c>
      <c r="M20" s="3"/>
      <c r="N20" s="6">
        <f>AVERAGE(D20,F20,H20,J20,L20)</f>
        <v>0.41560000000000008</v>
      </c>
    </row>
    <row r="21" spans="1:14" x14ac:dyDescent="0.4">
      <c r="B21" s="34" t="s">
        <v>78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0</v>
      </c>
      <c r="I21" s="3"/>
      <c r="J21" s="3">
        <f>ROUND((SUM(J69:J75)+J81)/J8,3)</f>
        <v>0</v>
      </c>
      <c r="K21" s="3"/>
      <c r="L21" s="3">
        <f>ROUND((SUM(L69:L75)+L81)/L8,3)</f>
        <v>0</v>
      </c>
      <c r="M21" s="3"/>
      <c r="N21" s="6">
        <f>AVERAGE(D21,F21,H21,J21,L21)</f>
        <v>0</v>
      </c>
    </row>
    <row r="22" spans="1:14" ht="17.25" x14ac:dyDescent="0.4">
      <c r="B22" s="35" t="s">
        <v>79</v>
      </c>
      <c r="D22" s="4">
        <f>ROUND((D68-D103)/D8,3)</f>
        <v>0.51700000000000002</v>
      </c>
      <c r="E22" s="3"/>
      <c r="F22" s="4">
        <f>ROUND((F68-F103)/F8,3)</f>
        <v>0.60199999999999998</v>
      </c>
      <c r="G22" s="3"/>
      <c r="H22" s="4">
        <f>ROUND((H68-H103)/H8,3)</f>
        <v>0.624</v>
      </c>
      <c r="I22" s="3"/>
      <c r="J22" s="4">
        <f>ROUND((J68-J103)/J8,3)</f>
        <v>0.61299999999999999</v>
      </c>
      <c r="K22" s="3"/>
      <c r="L22" s="4">
        <f>ROUND((L68-L103)/L8,3)</f>
        <v>0.56599999999999995</v>
      </c>
      <c r="M22" s="3"/>
      <c r="N22" s="8">
        <f>AVERAGE(D22,F22,H22,J22,L22)</f>
        <v>0.58439999999999992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9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4" t="s">
        <v>80</v>
      </c>
      <c r="D25" s="3">
        <f>ROUND((+D76+D79+D80)/D10,3)</f>
        <v>0.48299999999999998</v>
      </c>
      <c r="E25" s="3"/>
      <c r="F25" s="3">
        <f>ROUND((+F76+F79+F80)/F10,3)</f>
        <v>0.39800000000000002</v>
      </c>
      <c r="G25" s="3"/>
      <c r="H25" s="3">
        <f>ROUND((+H76+H79+H80)/H10,3)</f>
        <v>0.40500000000000003</v>
      </c>
      <c r="I25" s="3"/>
      <c r="J25" s="3">
        <f>ROUND((+J76+J79+J80)/J10,3)</f>
        <v>0.42899999999999999</v>
      </c>
      <c r="K25" s="3"/>
      <c r="L25" s="3">
        <f>ROUND((+L76+L79+L80)/L10,3)</f>
        <v>0.46700000000000003</v>
      </c>
      <c r="M25" s="3"/>
      <c r="N25" s="6">
        <f>AVERAGE(D25,F25,H25,J25,L25)</f>
        <v>0.43640000000000001</v>
      </c>
    </row>
    <row r="26" spans="1:14" x14ac:dyDescent="0.4">
      <c r="B26" s="34" t="s">
        <v>78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0</v>
      </c>
      <c r="I26" s="3"/>
      <c r="J26" s="3">
        <f>ROUND((SUM(J69:J75)+J81)/J10,3)</f>
        <v>0</v>
      </c>
      <c r="K26" s="3"/>
      <c r="L26" s="3">
        <f>ROUND((SUM(L69:L75)+L81)/L10,3)</f>
        <v>0</v>
      </c>
      <c r="M26" s="3"/>
      <c r="N26" s="6">
        <f>AVERAGE(D26,F26,H26,J26,L26)</f>
        <v>0</v>
      </c>
    </row>
    <row r="27" spans="1:14" ht="17.25" x14ac:dyDescent="0.4">
      <c r="B27" s="35" t="s">
        <v>79</v>
      </c>
      <c r="D27" s="4">
        <f>ROUND((D68-D103)/D10,3)</f>
        <v>0.51700000000000002</v>
      </c>
      <c r="E27" s="3"/>
      <c r="F27" s="4">
        <f>ROUND((F68-F103)/F10,3)</f>
        <v>0.60199999999999998</v>
      </c>
      <c r="G27" s="3"/>
      <c r="H27" s="4">
        <f>ROUND((H68-H103)/H10,3)</f>
        <v>0.59499999999999997</v>
      </c>
      <c r="I27" s="3"/>
      <c r="J27" s="4">
        <f>ROUND((J68-J103)/J10,3)</f>
        <v>0.57099999999999995</v>
      </c>
      <c r="K27" s="3"/>
      <c r="L27" s="4">
        <f>ROUND((L68-L103)/L10,3)</f>
        <v>0.53300000000000003</v>
      </c>
      <c r="M27" s="3"/>
      <c r="N27" s="8">
        <f>AVERAGE(D27,F27,H27,J27,L27)</f>
        <v>0.56359999999999999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9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6" t="s">
        <v>81</v>
      </c>
      <c r="D30" s="3">
        <f>ROUND(+D66/(((D68-D103)+(F68-F103))/2),3)</f>
        <v>9.0999999999999998E-2</v>
      </c>
      <c r="E30" s="3"/>
      <c r="F30" s="3">
        <f>ROUND(+F66/(((F68-F103)+(H68-H103))/2),3)</f>
        <v>9.5000000000000001E-2</v>
      </c>
      <c r="G30" s="3"/>
      <c r="H30" s="3">
        <f>ROUND(+H66/(((H68-H103)+(J68-J103))/2),3)</f>
        <v>9.5000000000000001E-2</v>
      </c>
      <c r="I30" s="3"/>
      <c r="J30" s="3">
        <f>ROUND(+J66/(((J68-J103)+(L68-L103))/2),3)</f>
        <v>0.13600000000000001</v>
      </c>
      <c r="K30" s="3"/>
      <c r="L30" s="3">
        <f>ROUND(+L66/(((L68-L103)+(N68-N103))/2),3)</f>
        <v>0.1</v>
      </c>
      <c r="M30" s="3"/>
      <c r="N30" s="6">
        <f>AVERAGE(D30,F30,H30,J30,L30)</f>
        <v>0.10340000000000001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6" t="s">
        <v>82</v>
      </c>
      <c r="D32" s="3">
        <f>ROUND((+D58-D57)/D56,3)</f>
        <v>0.73399999999999999</v>
      </c>
      <c r="E32" s="3"/>
      <c r="F32" s="3">
        <f>ROUND((+F58-F57)/F56,3)</f>
        <v>0.70799999999999996</v>
      </c>
      <c r="G32" s="3"/>
      <c r="H32" s="3">
        <f>ROUND((+H58-H57)/H56,3)</f>
        <v>0.74299999999999999</v>
      </c>
      <c r="I32" s="3"/>
      <c r="J32" s="3">
        <f>ROUND((+J58-J57)/J56,3)</f>
        <v>0.76800000000000002</v>
      </c>
      <c r="K32" s="3"/>
      <c r="L32" s="3">
        <f>ROUND((+L58-L57)/L56,3)</f>
        <v>0.73599999999999999</v>
      </c>
      <c r="M32" s="3"/>
      <c r="N32" s="6">
        <f>AVERAGE(D32,F32,H32,J32,L32)</f>
        <v>0.73780000000000001</v>
      </c>
    </row>
    <row r="34" spans="1:15" ht="17.25" x14ac:dyDescent="0.4">
      <c r="A34" s="36" t="s">
        <v>83</v>
      </c>
    </row>
    <row r="35" spans="1:15" x14ac:dyDescent="0.4">
      <c r="B35" t="s">
        <v>13</v>
      </c>
      <c r="D35" s="7">
        <f>ROUND(((+D66+D65+D64+D63+D61+D59+D57)/D61),2)</f>
        <v>10.81</v>
      </c>
      <c r="E35" s="7" t="s">
        <v>3</v>
      </c>
      <c r="F35" s="7">
        <f>ROUND(((+F66+F65+F64+F63+F61+F59+F57)/F61),2)</f>
        <v>9.84</v>
      </c>
      <c r="G35" s="7" t="s">
        <v>3</v>
      </c>
      <c r="H35" s="7">
        <f>ROUND(((+H66+H65+H64+H63+H61+H59+H57)/H61),2)</f>
        <v>7.3</v>
      </c>
      <c r="I35" s="7" t="s">
        <v>3</v>
      </c>
      <c r="J35" s="7">
        <f>ROUND(((+J66+J65+J64+J63+J61+J59+J57)/J61),2)</f>
        <v>6.38</v>
      </c>
      <c r="K35" s="7" t="s">
        <v>3</v>
      </c>
      <c r="L35" s="7">
        <f>ROUND(((+L66+L65+L64+L63+L61+L59+L57)/L61),2)</f>
        <v>5.92</v>
      </c>
      <c r="M35" s="7" t="s">
        <v>3</v>
      </c>
      <c r="N35" s="27">
        <f>AVERAGE(D35,F35,H35,J35,L35)</f>
        <v>8.0500000000000007</v>
      </c>
      <c r="O35" t="s">
        <v>3</v>
      </c>
    </row>
    <row r="36" spans="1:15" x14ac:dyDescent="0.4">
      <c r="B36" t="s">
        <v>21</v>
      </c>
      <c r="D36" s="7">
        <f>ROUND(((+D66+D65+D64+D63+D61)/(D61)),2)</f>
        <v>8.9700000000000006</v>
      </c>
      <c r="E36" s="7" t="s">
        <v>3</v>
      </c>
      <c r="F36" s="7">
        <f>ROUND(((+F66+F65+F64+F63+F61)/(F61)),2)</f>
        <v>8.1199999999999992</v>
      </c>
      <c r="G36" s="7" t="s">
        <v>3</v>
      </c>
      <c r="H36" s="7">
        <f>ROUND(((+H66+H65+H64+H63+H61)/(H61)),2)</f>
        <v>5.96</v>
      </c>
      <c r="I36" s="7" t="s">
        <v>3</v>
      </c>
      <c r="J36" s="7">
        <f>ROUND(((+J66+J65+J64+J63+J61)/(J61)),2)</f>
        <v>6.31</v>
      </c>
      <c r="K36" s="7" t="s">
        <v>3</v>
      </c>
      <c r="L36" s="7">
        <f>ROUND(((+L66+L65+L64+L63+L61)/(L61)),2)</f>
        <v>4.12</v>
      </c>
      <c r="M36" s="7" t="s">
        <v>3</v>
      </c>
      <c r="N36" s="27">
        <f>AVERAGE(D36,F36,H36,J36,L36)</f>
        <v>6.6959999999999997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8.9700000000000006</v>
      </c>
      <c r="E37" s="7" t="s">
        <v>3</v>
      </c>
      <c r="F37" s="7">
        <f>ROUND(((+F66+F65+F64+F63+F61)/(F61+F63+F64+F65)),2)</f>
        <v>8.1199999999999992</v>
      </c>
      <c r="G37" s="7" t="s">
        <v>3</v>
      </c>
      <c r="H37" s="7">
        <f>ROUND(((+H66+H65+H64+H63+H61)/(H61+H63+H64+H65)),2)</f>
        <v>5.96</v>
      </c>
      <c r="I37" s="7" t="s">
        <v>3</v>
      </c>
      <c r="J37" s="7">
        <f>ROUND(((+J66+J65+J64+J63+J61)/(J61+J63+J64+J65)),2)</f>
        <v>6.31</v>
      </c>
      <c r="K37" s="7" t="s">
        <v>3</v>
      </c>
      <c r="L37" s="7">
        <f>ROUND(((+L66+L65+L64+L63+L61)/(L61+L63+L64+L65)),2)</f>
        <v>4.12</v>
      </c>
      <c r="M37" s="7" t="s">
        <v>3</v>
      </c>
      <c r="N37" s="27">
        <f>AVERAGE(D37,F37,H37,J37,L37)</f>
        <v>6.6959999999999997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6" t="s">
        <v>94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10.28</v>
      </c>
      <c r="E40" s="7" t="s">
        <v>3</v>
      </c>
      <c r="F40" s="7">
        <f>ROUND(((+F66+F65+F64+F63-F62+F61+F59+F57)/F61),2)</f>
        <v>9.4600000000000009</v>
      </c>
      <c r="G40" s="7" t="s">
        <v>3</v>
      </c>
      <c r="H40" s="7">
        <f>ROUND(((+H66+H65+H64+H63-H62+H61+H59+H57)/H61),2)</f>
        <v>7.12</v>
      </c>
      <c r="I40" s="7" t="s">
        <v>3</v>
      </c>
      <c r="J40" s="7">
        <f>ROUND(((+J66+J65+J64+J63-J62+J61+J59+J57)/J61),2)</f>
        <v>6.32</v>
      </c>
      <c r="K40" s="7" t="s">
        <v>3</v>
      </c>
      <c r="L40" s="7">
        <f>ROUND(((+L66+L65+L64+L63-L62+L61+L59+L57)/L61),2)</f>
        <v>5.9</v>
      </c>
      <c r="M40" s="7" t="s">
        <v>3</v>
      </c>
      <c r="N40" s="27">
        <f>AVERAGE(D40,F40,H40,J40,L40)</f>
        <v>7.8160000000000007</v>
      </c>
      <c r="O40" t="s">
        <v>3</v>
      </c>
    </row>
    <row r="41" spans="1:15" x14ac:dyDescent="0.4">
      <c r="B41" t="s">
        <v>21</v>
      </c>
      <c r="D41" s="7">
        <f>ROUND(((+D66+D65+D64+D63-D62+D61)/D61),2)</f>
        <v>8.44</v>
      </c>
      <c r="E41" s="7" t="s">
        <v>3</v>
      </c>
      <c r="F41" s="7">
        <f>ROUND(((+F66+F65+F64+F63-F62+F61)/F61),2)</f>
        <v>7.74</v>
      </c>
      <c r="G41" s="7" t="s">
        <v>3</v>
      </c>
      <c r="H41" s="7">
        <f>ROUND(((+H66+H65+H64+H63-H62+H61)/H61),2)</f>
        <v>5.78</v>
      </c>
      <c r="I41" s="7" t="s">
        <v>3</v>
      </c>
      <c r="J41" s="7">
        <f>ROUND(((+J66+J65+J64+J63-J62+J61)/J61),2)</f>
        <v>6.25</v>
      </c>
      <c r="K41" s="7" t="s">
        <v>3</v>
      </c>
      <c r="L41" s="7">
        <f>ROUND(((+L66+L65+L64+L63-L62+L61)/L61),2)</f>
        <v>4.0999999999999996</v>
      </c>
      <c r="M41" s="7" t="s">
        <v>3</v>
      </c>
      <c r="N41" s="27">
        <f>AVERAGE(D41,F41,H41,J41,L41)</f>
        <v>6.4620000000000006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8.44</v>
      </c>
      <c r="E42" s="7" t="s">
        <v>3</v>
      </c>
      <c r="F42" s="7">
        <f>ROUND(((+F66+F65+F64+F63-F62+F61)/(F61+F63+F64+F65)),2)</f>
        <v>7.74</v>
      </c>
      <c r="G42" s="7" t="s">
        <v>3</v>
      </c>
      <c r="H42" s="7">
        <f>ROUND(((+H66+H65+H64+H63-H62+H61)/(H61+H63+H64+H65)),2)</f>
        <v>5.78</v>
      </c>
      <c r="I42" s="7" t="s">
        <v>3</v>
      </c>
      <c r="J42" s="7">
        <f>ROUND(((+J66+J65+J64+J63-J62+J61)/(J61+J63+J64+J65)),2)</f>
        <v>6.25</v>
      </c>
      <c r="K42" s="7" t="s">
        <v>3</v>
      </c>
      <c r="L42" s="7">
        <f>ROUND(((+L66+L65+L64+L63-L62+L61)/(L61+L63+L64+L65)),2)</f>
        <v>4.0999999999999996</v>
      </c>
      <c r="M42" s="7" t="s">
        <v>3</v>
      </c>
      <c r="N42" s="27">
        <f>AVERAGE(D42,F42,H42,J42,L42)</f>
        <v>6.4620000000000006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3">
        <f>ROUND(D62/D66,3)</f>
        <v>6.6000000000000003E-2</v>
      </c>
      <c r="E45" s="13"/>
      <c r="F45" s="13">
        <f>ROUND(F62/F66,3)</f>
        <v>5.2999999999999999E-2</v>
      </c>
      <c r="G45" s="13"/>
      <c r="H45" s="13">
        <f>ROUND(H62/H66,3)</f>
        <v>3.6999999999999998E-2</v>
      </c>
      <c r="I45" s="13"/>
      <c r="J45" s="13">
        <f>ROUND(J62/J66,3)</f>
        <v>1.0999999999999999E-2</v>
      </c>
      <c r="K45" s="13"/>
      <c r="L45" s="13">
        <f>ROUND(L62/L66,3)</f>
        <v>7.0000000000000001E-3</v>
      </c>
      <c r="M45" s="3"/>
      <c r="N45" s="6">
        <f t="shared" ref="N45:N50" si="0">AVERAGE(D45,F45,H45,J45,L45)</f>
        <v>3.4800000000000005E-2</v>
      </c>
    </row>
    <row r="46" spans="1:15" x14ac:dyDescent="0.4">
      <c r="B46" t="s">
        <v>17</v>
      </c>
      <c r="D46" s="17">
        <f>ROUND((D57+D59)/(D57+D59+D66+D63+D64+D65),3)</f>
        <v>0.188</v>
      </c>
      <c r="E46" s="18"/>
      <c r="F46" s="17">
        <f>ROUND((F57+F59)/(F57+F59+F66+F63+F64+F65),3)</f>
        <v>0.19500000000000001</v>
      </c>
      <c r="G46" s="18"/>
      <c r="H46" s="17">
        <f>ROUND((H57+H59)/(H57+H59+H66+H63+H64+H65),3)</f>
        <v>0.214</v>
      </c>
      <c r="I46" s="18"/>
      <c r="J46" s="17">
        <f>ROUND((J57+J59)/(J57+J59+J66+J63+J64+J65),3)</f>
        <v>1.2999999999999999E-2</v>
      </c>
      <c r="K46" s="18"/>
      <c r="L46" s="17">
        <f>ROUND((L57+L59)/(L57+L59+L66+L63+L64+L65),3)</f>
        <v>0.36699999999999999</v>
      </c>
      <c r="N46" s="6">
        <f t="shared" si="0"/>
        <v>0.19539999999999999</v>
      </c>
    </row>
    <row r="47" spans="1:15" ht="17.25" x14ac:dyDescent="0.4">
      <c r="B47" s="36" t="s">
        <v>95</v>
      </c>
      <c r="D47" s="13">
        <f>ROUND(((+D82+D83+D84+D85+D86-D87+D88-D90-D91)/(+D89-D87)),3)</f>
        <v>0.501</v>
      </c>
      <c r="E47" s="14"/>
      <c r="F47" s="13">
        <f>ROUND(((+F82+F83+F84+F85+F86-F87+F88-F90-F91)/(+F89-F87)),3)</f>
        <v>0.46500000000000002</v>
      </c>
      <c r="G47" s="14"/>
      <c r="H47" s="13">
        <f>ROUND(((+H82+H83+H84+H85+H86-H87+H88-H90-H91)/(+H89-H87)),3)</f>
        <v>0.47499999999999998</v>
      </c>
      <c r="I47" s="14"/>
      <c r="J47" s="13">
        <f>ROUND(((+J82+J83+J84+J85+J86-J87+J88-J90-J91)/(+J89-J87)),3)</f>
        <v>0.52800000000000002</v>
      </c>
      <c r="K47" s="14"/>
      <c r="L47" s="13">
        <f>ROUND(((+L82+L83+L84+L85+L86-L87+L88-L90-L91)/(+L89-L87)),3)</f>
        <v>0.66700000000000004</v>
      </c>
      <c r="N47" s="6">
        <f t="shared" si="0"/>
        <v>0.5272</v>
      </c>
    </row>
    <row r="48" spans="1:15" ht="17.25" x14ac:dyDescent="0.4">
      <c r="B48" s="36" t="s">
        <v>96</v>
      </c>
      <c r="D48" s="13">
        <f>ROUND(((+D82+D83+D84+D85+D86-D87+D88)/(AVERAGE(D76,F76)+AVERAGE(D79,F79)+AVERAGE(D80,F80))),3)</f>
        <v>0.218</v>
      </c>
      <c r="E48" s="14"/>
      <c r="F48" s="13">
        <f>ROUND(((+F82+F83+F84+F85+F86-F87+F88)/(AVERAGE(F76,H76)+AVERAGE(F79,H79)+AVERAGE(F80,H80))),3)</f>
        <v>0.27500000000000002</v>
      </c>
      <c r="G48" s="14"/>
      <c r="H48" s="13">
        <f>ROUND(((+H82+H83+H84+H85+H86-H87+H88)/(AVERAGE(H76,J76)+AVERAGE(H79,J79)+AVERAGE(H80,J80))),3)</f>
        <v>0.27400000000000002</v>
      </c>
      <c r="I48" s="14"/>
      <c r="J48" s="13">
        <f>ROUND(((+J82+J83+J84+J85+J86-J87+J88)/(AVERAGE(J76,L76)+AVERAGE(J79,L79)+AVERAGE(J80,L80))),3)</f>
        <v>0.27700000000000002</v>
      </c>
      <c r="K48" s="14"/>
      <c r="L48" s="13">
        <f>ROUND(((+L82+L83+L84+L85+L86-L87+L88)/(AVERAGE(L76,N76)+AVERAGE(L79,N79)+AVERAGE(L80,N80))),3)</f>
        <v>0.28000000000000003</v>
      </c>
      <c r="N48" s="6">
        <f t="shared" si="0"/>
        <v>0.26480000000000004</v>
      </c>
    </row>
    <row r="49" spans="1:15" ht="17.25" x14ac:dyDescent="0.4">
      <c r="B49" s="36" t="s">
        <v>97</v>
      </c>
      <c r="D49" s="28">
        <f>ROUND(((+D82+D83+D84+D85+D86-D87+D88+D92)/D61),2)</f>
        <v>17.98</v>
      </c>
      <c r="E49" t="s">
        <v>3</v>
      </c>
      <c r="F49" s="28">
        <f>ROUND(((+F82+F83+F84+F85+F86-F87+F88+F92)/F61),2)</f>
        <v>16.18</v>
      </c>
      <c r="G49" t="s">
        <v>3</v>
      </c>
      <c r="H49" s="28">
        <f>ROUND(((+H82+H83+H84+H85+H86-H87+H88+H92)/H61),2)</f>
        <v>11.93</v>
      </c>
      <c r="I49" t="s">
        <v>3</v>
      </c>
      <c r="J49" s="28">
        <f>ROUND(((+J82+J83+J84+J85+J86-J87+J88+J92)/J61),2)</f>
        <v>10.220000000000001</v>
      </c>
      <c r="K49" t="s">
        <v>3</v>
      </c>
      <c r="L49" s="28">
        <f>ROUND(((+L82+L83+L84+L85+L86-L87+L88+L92)/L61),2)</f>
        <v>9.02</v>
      </c>
      <c r="M49" t="s">
        <v>3</v>
      </c>
      <c r="N49" s="29">
        <f t="shared" si="0"/>
        <v>13.065999999999999</v>
      </c>
      <c r="O49" t="s">
        <v>3</v>
      </c>
    </row>
    <row r="50" spans="1:15" ht="17.25" x14ac:dyDescent="0.4">
      <c r="B50" s="36" t="s">
        <v>98</v>
      </c>
      <c r="D50" s="28">
        <f>ROUND(((+D82+D83+D84+D85+D86-D87+D88-D91)/+D90),2)</f>
        <v>4</v>
      </c>
      <c r="E50" t="s">
        <v>3</v>
      </c>
      <c r="F50" s="28">
        <f>ROUND(((+F82+F83+F84+F85+F86-F87+F88-F91)/+F90),2)</f>
        <v>4.1500000000000004</v>
      </c>
      <c r="G50" t="s">
        <v>3</v>
      </c>
      <c r="H50" s="28">
        <f>ROUND(((+H82+H83+H84+H85+H86-H87+H88-H91)/+H90),2)</f>
        <v>4.25</v>
      </c>
      <c r="I50" t="s">
        <v>3</v>
      </c>
      <c r="J50" s="28">
        <f>ROUND(((+J82+J83+J84+J85+J86-J87+J88-J91)/+J90),2)</f>
        <v>4.6100000000000003</v>
      </c>
      <c r="K50" t="s">
        <v>3</v>
      </c>
      <c r="L50" s="28">
        <f>ROUND(((+L82+L83+L84+L85+L86-L87+L88-L91)/+L90),2)</f>
        <v>4.95</v>
      </c>
      <c r="M50" t="s">
        <v>3</v>
      </c>
      <c r="N50" s="29">
        <f t="shared" si="0"/>
        <v>4.3920000000000003</v>
      </c>
      <c r="O50" t="s">
        <v>3</v>
      </c>
    </row>
    <row r="52" spans="1:15" x14ac:dyDescent="0.4">
      <c r="A52" t="s">
        <v>4</v>
      </c>
    </row>
    <row r="53" spans="1:15" x14ac:dyDescent="0.4">
      <c r="D53" s="38"/>
      <c r="F53" s="38"/>
    </row>
    <row r="54" spans="1:15" x14ac:dyDescent="0.4">
      <c r="A54" s="19" t="s">
        <v>74</v>
      </c>
      <c r="B54" s="19"/>
      <c r="C54" s="19"/>
      <c r="D54" s="38"/>
      <c r="E54" s="20"/>
      <c r="F54" s="38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3407.49</v>
      </c>
      <c r="E56" s="22"/>
      <c r="F56" s="22">
        <v>2821.1370000000002</v>
      </c>
      <c r="G56" s="22"/>
      <c r="H56" s="22">
        <v>2901.848</v>
      </c>
      <c r="I56" s="22"/>
      <c r="J56" s="22">
        <v>3115.5459999999998</v>
      </c>
      <c r="K56" s="22"/>
      <c r="L56" s="22">
        <v>2759.7350000000001</v>
      </c>
      <c r="M56" s="22"/>
      <c r="N56" s="22">
        <v>3349.9490000000001</v>
      </c>
    </row>
    <row r="57" spans="1:15" x14ac:dyDescent="0.4">
      <c r="A57" s="20" t="s">
        <v>23</v>
      </c>
      <c r="B57" s="20"/>
      <c r="C57" s="20"/>
      <c r="D57" s="22">
        <v>153.73599999999999</v>
      </c>
      <c r="E57" s="22"/>
      <c r="F57" s="22">
        <v>145.35300000000001</v>
      </c>
      <c r="G57" s="22"/>
      <c r="H57" s="22">
        <v>138.90299999999999</v>
      </c>
      <c r="I57" s="22"/>
      <c r="J57" s="22">
        <v>8.08</v>
      </c>
      <c r="K57" s="22"/>
      <c r="L57" s="22">
        <v>221.38300000000001</v>
      </c>
      <c r="M57" s="22"/>
      <c r="N57" s="22">
        <v>200.37299999999999</v>
      </c>
    </row>
    <row r="58" spans="1:15" x14ac:dyDescent="0.4">
      <c r="A58" s="20" t="s">
        <v>24</v>
      </c>
      <c r="B58" s="20"/>
      <c r="C58" s="20"/>
      <c r="D58" s="22">
        <f>1032.717+679.019+477.977+312.779+D57</f>
        <v>2656.2280000000001</v>
      </c>
      <c r="E58" s="22"/>
      <c r="F58" s="22">
        <f>658.854+629.601+429.828+278.755+F57</f>
        <v>2142.3910000000001</v>
      </c>
      <c r="G58" s="22"/>
      <c r="H58" s="22">
        <f>858.837+630.308+391.456+275.189+H57</f>
        <v>2294.6929999999998</v>
      </c>
      <c r="I58" s="22"/>
      <c r="J58" s="22">
        <v>2400.4920000000002</v>
      </c>
      <c r="K58" s="22"/>
      <c r="L58" s="22">
        <v>2253.5720000000001</v>
      </c>
      <c r="M58" s="22"/>
      <c r="N58" s="22">
        <v>2882.3040000000001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904.998-D57-2.145</f>
        <v>749.11700000000008</v>
      </c>
      <c r="E60" s="22"/>
      <c r="F60" s="22">
        <f>824.099-F57+7.171</f>
        <v>685.91700000000014</v>
      </c>
      <c r="G60" s="22"/>
      <c r="H60" s="22">
        <f>746.058-H57+7.404</f>
        <v>614.55899999999997</v>
      </c>
      <c r="I60" s="22"/>
      <c r="J60" s="22">
        <v>709.71</v>
      </c>
      <c r="K60" s="22"/>
      <c r="L60" s="22">
        <v>502.89299999999997</v>
      </c>
      <c r="M60" s="22"/>
      <c r="N60" s="22">
        <v>466.05200000000002</v>
      </c>
    </row>
    <row r="61" spans="1:15" x14ac:dyDescent="0.4">
      <c r="A61" s="20" t="s">
        <v>27</v>
      </c>
      <c r="B61" s="20"/>
      <c r="C61" s="20"/>
      <c r="D61" s="22">
        <v>83.554000000000002</v>
      </c>
      <c r="E61" s="22"/>
      <c r="F61" s="22">
        <v>84.474000000000004</v>
      </c>
      <c r="G61" s="22"/>
      <c r="H61" s="22">
        <v>103.15300000000001</v>
      </c>
      <c r="I61" s="22"/>
      <c r="J61" s="22">
        <v>113.446</v>
      </c>
      <c r="K61" s="22"/>
      <c r="L61" s="22">
        <v>122.682</v>
      </c>
      <c r="M61" s="22"/>
      <c r="N61" s="22">
        <v>118.748</v>
      </c>
    </row>
    <row r="62" spans="1:15" x14ac:dyDescent="0.4">
      <c r="A62" s="20" t="s">
        <v>28</v>
      </c>
      <c r="B62" s="20"/>
      <c r="C62" s="20"/>
      <c r="D62" s="22">
        <v>44.162999999999997</v>
      </c>
      <c r="E62" s="22"/>
      <c r="F62" s="22">
        <v>31.928999999999998</v>
      </c>
      <c r="G62" s="22"/>
      <c r="H62" s="22">
        <v>18.808</v>
      </c>
      <c r="I62" s="22"/>
      <c r="J62" s="22">
        <v>6.8</v>
      </c>
      <c r="K62" s="22"/>
      <c r="L62" s="22">
        <v>2.5</v>
      </c>
      <c r="M62" s="22"/>
      <c r="N62" s="22">
        <v>2.8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665.56299999999999</v>
      </c>
      <c r="E66" s="22"/>
      <c r="F66" s="22">
        <v>601.44299999999998</v>
      </c>
      <c r="G66" s="22"/>
      <c r="H66" s="22">
        <v>511.40600000000001</v>
      </c>
      <c r="I66" s="22"/>
      <c r="J66" s="22">
        <v>602.48400000000004</v>
      </c>
      <c r="K66" s="22"/>
      <c r="L66" s="22">
        <v>382.23599999999999</v>
      </c>
      <c r="M66" s="22"/>
      <c r="N66" s="22">
        <v>349.55799999999999</v>
      </c>
    </row>
    <row r="67" spans="1:14" x14ac:dyDescent="0.4">
      <c r="A67" s="20" t="s">
        <v>33</v>
      </c>
      <c r="B67" s="20"/>
      <c r="C67" s="20"/>
      <c r="D67" s="22">
        <v>5.12</v>
      </c>
      <c r="E67" s="22"/>
      <c r="F67" s="22">
        <v>4.8899999999999997</v>
      </c>
      <c r="G67" s="22"/>
      <c r="H67" s="22">
        <v>4.3600000000000003</v>
      </c>
      <c r="I67" s="22"/>
      <c r="J67" s="22">
        <v>5.43</v>
      </c>
      <c r="K67" s="22"/>
      <c r="L67" s="22">
        <v>3.6</v>
      </c>
      <c r="M67" s="22"/>
      <c r="N67" s="22">
        <v>3.38</v>
      </c>
    </row>
    <row r="68" spans="1:14" x14ac:dyDescent="0.4">
      <c r="A68" s="20" t="s">
        <v>34</v>
      </c>
      <c r="B68" s="20"/>
      <c r="C68" s="20"/>
      <c r="D68" s="22">
        <v>7906.8890000000001</v>
      </c>
      <c r="E68" s="22"/>
      <c r="F68" s="22">
        <v>6791.2030000000004</v>
      </c>
      <c r="G68" s="22"/>
      <c r="H68" s="22">
        <v>5750.223</v>
      </c>
      <c r="I68" s="22"/>
      <c r="J68" s="22">
        <v>4769.951</v>
      </c>
      <c r="K68" s="22"/>
      <c r="L68" s="22">
        <v>3898.6660000000002</v>
      </c>
      <c r="M68" s="22"/>
      <c r="N68" s="22">
        <v>3463.0590000000002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4930.2049999999999</v>
      </c>
      <c r="E76" s="22"/>
      <c r="F76" s="22">
        <v>4531.7790000000005</v>
      </c>
      <c r="G76" s="22"/>
      <c r="H76" s="22">
        <v>3529.4520000000002</v>
      </c>
      <c r="I76" s="22"/>
      <c r="J76" s="22">
        <v>2493.665</v>
      </c>
      <c r="K76" s="22"/>
      <c r="L76" s="22">
        <v>3067.0450000000001</v>
      </c>
      <c r="M76" s="22"/>
      <c r="N76" s="22">
        <v>2188.779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12837.094000000001</v>
      </c>
      <c r="E78" s="22"/>
      <c r="F78" s="22">
        <f>SUM(F68:F77)</f>
        <v>11322.982</v>
      </c>
      <c r="G78" s="22"/>
      <c r="H78" s="22">
        <f>SUM(H68:H77)</f>
        <v>9279.6749999999993</v>
      </c>
      <c r="I78" s="22"/>
      <c r="J78" s="22">
        <v>7263.616</v>
      </c>
      <c r="K78" s="22"/>
      <c r="L78" s="22">
        <v>6965.7110000000002</v>
      </c>
      <c r="M78" s="22"/>
      <c r="N78" s="22">
        <v>5651.8379999999997</v>
      </c>
    </row>
    <row r="79" spans="1:14" x14ac:dyDescent="0.4">
      <c r="A79" s="20" t="s">
        <v>45</v>
      </c>
      <c r="B79" s="20"/>
      <c r="C79" s="20"/>
      <c r="D79" s="22">
        <v>2400.4520000000002</v>
      </c>
      <c r="E79" s="22"/>
      <c r="F79" s="22">
        <v>0.16500000000000001</v>
      </c>
      <c r="G79" s="22"/>
      <c r="H79" s="22">
        <v>0</v>
      </c>
      <c r="I79" s="22"/>
      <c r="J79" s="22">
        <v>575</v>
      </c>
      <c r="K79" s="22"/>
      <c r="L79" s="22">
        <v>0</v>
      </c>
      <c r="M79" s="22"/>
      <c r="N79" s="22">
        <v>250</v>
      </c>
    </row>
    <row r="80" spans="1:14" x14ac:dyDescent="0.4">
      <c r="A80" s="20" t="s">
        <v>46</v>
      </c>
      <c r="B80" s="20"/>
      <c r="C80" s="20"/>
      <c r="D80" s="22">
        <v>0</v>
      </c>
      <c r="E80" s="22"/>
      <c r="F80" s="22">
        <v>0</v>
      </c>
      <c r="G80" s="22"/>
      <c r="H80" s="22">
        <v>464.91500000000002</v>
      </c>
      <c r="I80" s="22"/>
      <c r="J80" s="22">
        <v>575.78</v>
      </c>
      <c r="K80" s="22"/>
      <c r="L80" s="22">
        <v>447.745</v>
      </c>
      <c r="M80" s="22"/>
      <c r="N80" s="22">
        <v>829.81100000000004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665.56299999999999</v>
      </c>
      <c r="E82" s="22"/>
      <c r="F82" s="22">
        <v>601.44299999999998</v>
      </c>
      <c r="G82" s="22"/>
      <c r="H82" s="22">
        <v>511.40600000000001</v>
      </c>
      <c r="I82" s="22"/>
      <c r="J82" s="22">
        <v>603.06399999999996</v>
      </c>
      <c r="K82" s="22"/>
      <c r="L82" s="22">
        <v>382.71100000000001</v>
      </c>
      <c r="M82" s="22"/>
      <c r="N82" s="22">
        <v>350.10399999999998</v>
      </c>
    </row>
    <row r="83" spans="1:14" x14ac:dyDescent="0.4">
      <c r="A83" s="20" t="s">
        <v>49</v>
      </c>
      <c r="B83" s="20"/>
      <c r="C83" s="20"/>
      <c r="D83" s="22">
        <v>477.97699999999998</v>
      </c>
      <c r="E83" s="22"/>
      <c r="F83" s="22">
        <v>429.82799999999997</v>
      </c>
      <c r="G83" s="22"/>
      <c r="H83" s="22">
        <v>391.45600000000002</v>
      </c>
      <c r="I83" s="22"/>
      <c r="J83" s="22">
        <v>361.08300000000003</v>
      </c>
      <c r="K83" s="22"/>
      <c r="L83" s="22">
        <v>319.63299999999998</v>
      </c>
      <c r="M83" s="22"/>
      <c r="N83" s="22">
        <v>293.096</v>
      </c>
    </row>
    <row r="84" spans="1:14" x14ac:dyDescent="0.4">
      <c r="A84" s="20" t="s">
        <v>50</v>
      </c>
      <c r="B84" s="20"/>
      <c r="C84" s="20"/>
      <c r="D84" s="22">
        <v>14.03</v>
      </c>
      <c r="E84" s="22"/>
      <c r="F84" s="22">
        <v>11.542999999999999</v>
      </c>
      <c r="G84" s="22"/>
      <c r="H84" s="22">
        <v>9.4640000000000004</v>
      </c>
      <c r="I84" s="22"/>
      <c r="J84" s="22"/>
      <c r="K84" s="22"/>
      <c r="L84" s="22"/>
      <c r="M84" s="22"/>
      <c r="N84" s="22"/>
    </row>
    <row r="85" spans="1:14" x14ac:dyDescent="0.4">
      <c r="A85" s="20" t="s">
        <v>51</v>
      </c>
      <c r="B85" s="20"/>
      <c r="C85" s="20"/>
      <c r="D85" s="22">
        <v>155.35499999999999</v>
      </c>
      <c r="E85" s="22"/>
      <c r="F85" s="22">
        <v>155.322</v>
      </c>
      <c r="G85" s="22"/>
      <c r="H85" s="22">
        <v>132.00399999999999</v>
      </c>
      <c r="I85" s="22"/>
      <c r="J85" s="22">
        <v>158.27099999999999</v>
      </c>
      <c r="K85" s="22"/>
      <c r="L85" s="22">
        <v>227.18299999999999</v>
      </c>
      <c r="M85" s="22"/>
      <c r="N85" s="22">
        <v>193.55600000000001</v>
      </c>
    </row>
    <row r="86" spans="1:14" x14ac:dyDescent="0.4">
      <c r="A86" s="20" t="s">
        <v>52</v>
      </c>
      <c r="B86" s="20"/>
      <c r="C86" s="20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 x14ac:dyDescent="0.4">
      <c r="A87" s="20" t="s">
        <v>53</v>
      </c>
      <c r="B87" s="20"/>
      <c r="C87" s="20"/>
      <c r="D87" s="22">
        <v>32.749000000000002</v>
      </c>
      <c r="E87" s="22"/>
      <c r="F87" s="22">
        <v>23.492999999999999</v>
      </c>
      <c r="G87" s="22"/>
      <c r="H87" s="22">
        <v>11.164999999999999</v>
      </c>
      <c r="I87" s="22"/>
      <c r="J87" s="22"/>
      <c r="K87" s="22"/>
      <c r="L87" s="22"/>
      <c r="M87" s="22"/>
      <c r="N87" s="22"/>
    </row>
    <row r="88" spans="1:14" x14ac:dyDescent="0.4">
      <c r="A88" s="20" t="s">
        <v>69</v>
      </c>
      <c r="B88" s="20"/>
      <c r="C88" s="20"/>
      <c r="D88" s="22">
        <f>11.255+3.731</f>
        <v>14.986000000000001</v>
      </c>
      <c r="E88" s="22"/>
      <c r="F88" s="22">
        <f>-20.962+9.583+8.411</f>
        <v>-2.968</v>
      </c>
      <c r="G88" s="22"/>
      <c r="H88" s="22">
        <f>11.121+1.169</f>
        <v>12.290000000000001</v>
      </c>
      <c r="I88" s="22"/>
      <c r="J88" s="22">
        <v>-132.61699999999999</v>
      </c>
      <c r="K88" s="22"/>
      <c r="L88" s="22">
        <v>20.63</v>
      </c>
      <c r="M88" s="22"/>
      <c r="N88" s="22">
        <v>21.446000000000002</v>
      </c>
    </row>
    <row r="89" spans="1:14" x14ac:dyDescent="0.4">
      <c r="A89" s="20" t="s">
        <v>54</v>
      </c>
      <c r="B89" s="20"/>
      <c r="C89" s="20"/>
      <c r="D89" s="22">
        <v>1969.54</v>
      </c>
      <c r="E89" s="22"/>
      <c r="F89" s="22">
        <v>1935.6759999999999</v>
      </c>
      <c r="G89" s="22"/>
      <c r="H89" s="22">
        <v>1693.4770000000001</v>
      </c>
      <c r="I89" s="22"/>
      <c r="J89" s="22">
        <v>1467.5909999999999</v>
      </c>
      <c r="K89" s="22"/>
      <c r="L89" s="22">
        <v>1137.0889999999999</v>
      </c>
      <c r="M89" s="22"/>
      <c r="N89" s="22">
        <v>1086.95</v>
      </c>
    </row>
    <row r="90" spans="1:14" x14ac:dyDescent="0.4">
      <c r="A90" s="20" t="s">
        <v>55</v>
      </c>
      <c r="B90" s="20"/>
      <c r="C90" s="20"/>
      <c r="D90" s="22">
        <v>323.904</v>
      </c>
      <c r="E90" s="22"/>
      <c r="F90" s="22">
        <v>282.44400000000002</v>
      </c>
      <c r="G90" s="22"/>
      <c r="H90" s="22">
        <v>245.71700000000001</v>
      </c>
      <c r="I90" s="22"/>
      <c r="J90" s="22">
        <v>214.90600000000001</v>
      </c>
      <c r="K90" s="22"/>
      <c r="L90" s="22">
        <v>191.93100000000001</v>
      </c>
      <c r="M90" s="22"/>
      <c r="N90" s="22">
        <v>175.126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207.55500000000001</v>
      </c>
      <c r="E92" s="22"/>
      <c r="F92" s="22">
        <v>194.99299999999999</v>
      </c>
      <c r="G92" s="22"/>
      <c r="H92" s="22">
        <v>184.852</v>
      </c>
      <c r="I92" s="22"/>
      <c r="J92" s="22">
        <v>169.98699999999999</v>
      </c>
      <c r="K92" s="22"/>
      <c r="L92" s="22">
        <v>156.66800000000001</v>
      </c>
      <c r="M92" s="22"/>
      <c r="N92" s="22">
        <v>154.74799999999999</v>
      </c>
    </row>
    <row r="93" spans="1:14" x14ac:dyDescent="0.4">
      <c r="A93" s="20" t="s">
        <v>58</v>
      </c>
      <c r="B93" s="20"/>
      <c r="C93" s="20"/>
      <c r="D93" s="22">
        <v>8.1989999999999998</v>
      </c>
      <c r="E93" s="22"/>
      <c r="F93" s="22">
        <v>-3.0710000000000002</v>
      </c>
      <c r="G93" s="22"/>
      <c r="H93" s="22">
        <v>11.467000000000001</v>
      </c>
      <c r="I93" s="22"/>
      <c r="J93" s="22">
        <v>6.1020000000000003</v>
      </c>
      <c r="K93" s="22"/>
      <c r="L93" s="22">
        <v>5.2640000000000002</v>
      </c>
      <c r="M93" s="22"/>
      <c r="N93" s="22">
        <v>7.7939999999999996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323.904</v>
      </c>
      <c r="E96" s="22"/>
      <c r="F96" s="22">
        <v>282.44400000000002</v>
      </c>
      <c r="G96" s="22"/>
      <c r="H96" s="22">
        <v>245.71700000000001</v>
      </c>
      <c r="I96" s="22"/>
      <c r="J96" s="22">
        <v>214.90600000000001</v>
      </c>
      <c r="K96" s="22"/>
      <c r="L96" s="22">
        <v>191.93100000000001</v>
      </c>
      <c r="M96" s="22"/>
      <c r="N96" s="22">
        <v>175.126</v>
      </c>
    </row>
    <row r="97" spans="1:14" x14ac:dyDescent="0.4">
      <c r="A97" s="20" t="s">
        <v>60</v>
      </c>
      <c r="B97" s="20"/>
      <c r="C97" s="20"/>
      <c r="D97" s="22">
        <v>2.5</v>
      </c>
      <c r="E97" s="22"/>
      <c r="F97" s="22">
        <v>2.2999999999999998</v>
      </c>
      <c r="G97" s="22"/>
      <c r="H97" s="22">
        <v>2.1</v>
      </c>
      <c r="I97" s="22"/>
      <c r="J97" s="22">
        <v>1.94</v>
      </c>
      <c r="K97" s="22"/>
      <c r="L97" s="22">
        <v>1.8</v>
      </c>
      <c r="M97" s="22"/>
      <c r="N97" s="22">
        <v>1.68</v>
      </c>
    </row>
    <row r="98" spans="1:14" x14ac:dyDescent="0.4">
      <c r="A98" s="20" t="s">
        <v>61</v>
      </c>
      <c r="B98" s="20"/>
      <c r="C98" s="20"/>
      <c r="D98" s="22">
        <v>2.5</v>
      </c>
      <c r="E98" s="22"/>
      <c r="F98" s="22">
        <v>2.2999999999999998</v>
      </c>
      <c r="G98" s="22"/>
      <c r="H98" s="22">
        <v>2.1</v>
      </c>
      <c r="I98" s="22"/>
      <c r="J98" s="22">
        <v>1.94</v>
      </c>
      <c r="K98" s="22"/>
      <c r="L98" s="22">
        <v>1.8</v>
      </c>
      <c r="M98" s="22"/>
      <c r="N98" s="22">
        <v>1.68</v>
      </c>
    </row>
    <row r="99" spans="1:14" x14ac:dyDescent="0.4">
      <c r="A99" s="20" t="s">
        <v>62</v>
      </c>
      <c r="B99" s="20"/>
      <c r="C99" s="20"/>
      <c r="D99" s="22">
        <v>105.3</v>
      </c>
      <c r="E99" s="22"/>
      <c r="F99" s="22">
        <v>121.08</v>
      </c>
      <c r="G99" s="22"/>
      <c r="H99" s="22">
        <v>115.19</v>
      </c>
      <c r="I99" s="22"/>
      <c r="J99" s="22">
        <v>100.76</v>
      </c>
      <c r="K99" s="22"/>
      <c r="L99" s="22">
        <v>93.555000000000007</v>
      </c>
      <c r="M99" s="22"/>
      <c r="N99" s="22">
        <v>81.97</v>
      </c>
    </row>
    <row r="100" spans="1:14" x14ac:dyDescent="0.4">
      <c r="A100" s="20" t="s">
        <v>63</v>
      </c>
      <c r="B100" s="20"/>
      <c r="C100" s="20"/>
      <c r="D100" s="22">
        <v>84.59</v>
      </c>
      <c r="E100" s="22"/>
      <c r="F100" s="22">
        <v>77.92</v>
      </c>
      <c r="G100" s="22"/>
      <c r="H100" s="22">
        <v>89.19</v>
      </c>
      <c r="I100" s="22"/>
      <c r="J100" s="22">
        <v>76.459999999999994</v>
      </c>
      <c r="K100" s="22"/>
      <c r="L100" s="22">
        <v>72.540000000000006</v>
      </c>
      <c r="M100" s="22"/>
      <c r="N100" s="22">
        <v>60</v>
      </c>
    </row>
    <row r="101" spans="1:14" x14ac:dyDescent="0.4">
      <c r="A101" s="20" t="s">
        <v>64</v>
      </c>
      <c r="B101" s="20"/>
      <c r="C101" s="20"/>
      <c r="D101" s="22">
        <v>104.77</v>
      </c>
      <c r="E101" s="22"/>
      <c r="F101" s="22">
        <v>95.43</v>
      </c>
      <c r="G101" s="22"/>
      <c r="H101" s="22">
        <v>111.86</v>
      </c>
      <c r="I101" s="22"/>
      <c r="J101" s="22">
        <v>92.72</v>
      </c>
      <c r="K101" s="22"/>
      <c r="L101" s="22">
        <v>85.89</v>
      </c>
      <c r="M101" s="22"/>
      <c r="N101" s="22">
        <v>74.150000000000006</v>
      </c>
    </row>
    <row r="102" spans="1:14" x14ac:dyDescent="0.4">
      <c r="A102" s="20" t="s">
        <v>65</v>
      </c>
      <c r="B102" s="20"/>
      <c r="C102" s="20"/>
      <c r="D102" s="22">
        <v>132.41975400000001</v>
      </c>
      <c r="E102" s="22"/>
      <c r="F102" s="22">
        <v>125.88247699999999</v>
      </c>
      <c r="G102" s="22"/>
      <c r="H102" s="22">
        <v>119.338925</v>
      </c>
      <c r="I102" s="22"/>
      <c r="J102" s="22">
        <v>111.274</v>
      </c>
      <c r="K102" s="22"/>
      <c r="L102" s="22">
        <v>106.105</v>
      </c>
      <c r="M102" s="22"/>
      <c r="N102" s="22">
        <v>103.931</v>
      </c>
    </row>
    <row r="103" spans="1:14" x14ac:dyDescent="0.4">
      <c r="A103" s="20" t="s">
        <v>76</v>
      </c>
      <c r="B103" s="20"/>
      <c r="C103" s="20"/>
      <c r="D103" s="22">
        <v>69.802999999999997</v>
      </c>
      <c r="E103" s="22"/>
      <c r="F103" s="22">
        <v>-57.588999999999999</v>
      </c>
      <c r="G103" s="22"/>
      <c r="H103" s="22">
        <v>-114.583</v>
      </c>
      <c r="I103" s="22"/>
      <c r="J103" s="22">
        <v>-83.647000000000006</v>
      </c>
      <c r="K103" s="22"/>
      <c r="L103" s="22">
        <v>-105.254</v>
      </c>
      <c r="M103" s="22"/>
      <c r="N103" s="22">
        <v>-188.02199999999999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5.12</v>
      </c>
      <c r="F105" s="15">
        <f>F67/F94</f>
        <v>4.8899999999999997</v>
      </c>
      <c r="H105" s="15">
        <f>H67/H94</f>
        <v>4.3600000000000003</v>
      </c>
      <c r="J105" s="15">
        <f>J67/J94</f>
        <v>5.43</v>
      </c>
      <c r="L105" s="15">
        <f>L67/L94</f>
        <v>3.6</v>
      </c>
      <c r="N105" s="15">
        <f>N67/N94</f>
        <v>3.38</v>
      </c>
    </row>
    <row r="106" spans="1:14" x14ac:dyDescent="0.4">
      <c r="B106" t="s">
        <v>60</v>
      </c>
      <c r="D106" s="15">
        <f>D97/D94</f>
        <v>2.5</v>
      </c>
      <c r="F106" s="15">
        <f>F97/F94</f>
        <v>2.2999999999999998</v>
      </c>
      <c r="H106" s="15">
        <f>H97/H94</f>
        <v>2.1</v>
      </c>
      <c r="J106" s="15">
        <f>J97/J94</f>
        <v>1.94</v>
      </c>
      <c r="L106" s="15">
        <f>L97/L94</f>
        <v>1.8</v>
      </c>
      <c r="N106" s="15">
        <f>N97/N94</f>
        <v>1.68</v>
      </c>
    </row>
    <row r="107" spans="1:14" x14ac:dyDescent="0.4">
      <c r="B107" t="s">
        <v>61</v>
      </c>
      <c r="D107" s="15">
        <f>D98/D94</f>
        <v>2.5</v>
      </c>
      <c r="F107" s="15">
        <f>F98/F94</f>
        <v>2.2999999999999998</v>
      </c>
      <c r="H107" s="15">
        <f>H98/H94</f>
        <v>2.1</v>
      </c>
      <c r="J107" s="15">
        <f>J98/J94</f>
        <v>1.94</v>
      </c>
      <c r="L107" s="15">
        <f>L98/L94</f>
        <v>1.8</v>
      </c>
      <c r="N107" s="15">
        <f>N98/N94</f>
        <v>1.68</v>
      </c>
    </row>
    <row r="108" spans="1:14" x14ac:dyDescent="0.4">
      <c r="B108" t="s">
        <v>62</v>
      </c>
      <c r="D108" s="15">
        <f>D99/D94</f>
        <v>105.3</v>
      </c>
      <c r="F108" s="15">
        <f>F99/F94</f>
        <v>121.08</v>
      </c>
      <c r="H108" s="15">
        <f>H99/H94</f>
        <v>115.19</v>
      </c>
      <c r="J108" s="15">
        <f>J99/J94</f>
        <v>100.76</v>
      </c>
      <c r="L108" s="15">
        <f>L99/L94</f>
        <v>93.555000000000007</v>
      </c>
      <c r="N108" s="15">
        <f>N99/N94</f>
        <v>81.97</v>
      </c>
    </row>
    <row r="109" spans="1:14" x14ac:dyDescent="0.4">
      <c r="B109" t="s">
        <v>63</v>
      </c>
      <c r="D109" s="15">
        <f>D100/D94</f>
        <v>84.59</v>
      </c>
      <c r="F109" s="15">
        <f>F100/F94</f>
        <v>77.92</v>
      </c>
      <c r="H109" s="15">
        <f>H100/H94</f>
        <v>89.19</v>
      </c>
      <c r="J109" s="15">
        <f>J100/J94</f>
        <v>76.459999999999994</v>
      </c>
      <c r="L109" s="15">
        <f>L100/L94</f>
        <v>72.540000000000006</v>
      </c>
      <c r="N109" s="15">
        <f>N100/N94</f>
        <v>60</v>
      </c>
    </row>
    <row r="110" spans="1:14" x14ac:dyDescent="0.4">
      <c r="B110" t="s">
        <v>64</v>
      </c>
      <c r="D110" s="15">
        <f>D101/D94</f>
        <v>104.77</v>
      </c>
      <c r="F110" s="15">
        <f>F101/F94</f>
        <v>95.43</v>
      </c>
      <c r="H110" s="15">
        <f>H101/H94</f>
        <v>111.86</v>
      </c>
      <c r="J110" s="15">
        <f>J101/J94</f>
        <v>92.72</v>
      </c>
      <c r="L110" s="15">
        <f>L101/L94</f>
        <v>85.89</v>
      </c>
      <c r="N110" s="15">
        <f>N101/N94</f>
        <v>74.150000000000006</v>
      </c>
    </row>
    <row r="111" spans="1:14" x14ac:dyDescent="0.4">
      <c r="B111" t="s">
        <v>65</v>
      </c>
      <c r="D111" s="16">
        <f>D102*D94</f>
        <v>132.41975400000001</v>
      </c>
      <c r="E111" s="16"/>
      <c r="F111" s="16">
        <f>F102*F94</f>
        <v>125.88247699999999</v>
      </c>
      <c r="G111" s="16"/>
      <c r="H111" s="16">
        <f>H102*H94</f>
        <v>119.338925</v>
      </c>
      <c r="I111" s="16"/>
      <c r="J111" s="16">
        <f>J102*J94</f>
        <v>111.274</v>
      </c>
      <c r="K111" s="16"/>
      <c r="L111" s="16">
        <f>L102*L94</f>
        <v>106.105</v>
      </c>
      <c r="M111" s="16"/>
      <c r="N111" s="16">
        <f>N102*N94</f>
        <v>103.931</v>
      </c>
    </row>
    <row r="112" spans="1:14" x14ac:dyDescent="0.4">
      <c r="B112" t="s">
        <v>66</v>
      </c>
      <c r="D112" s="15">
        <f>ROUND(D68/D111,2)</f>
        <v>59.71</v>
      </c>
      <c r="F112" s="15">
        <f>ROUND(F68/F111,2)</f>
        <v>53.95</v>
      </c>
      <c r="H112" s="15">
        <f>ROUND(H68/H111,2)</f>
        <v>48.18</v>
      </c>
      <c r="J112" s="15">
        <f>ROUND(J68/J111,2)</f>
        <v>42.87</v>
      </c>
      <c r="L112" s="15">
        <f>ROUND(L68/L111,2)</f>
        <v>36.74</v>
      </c>
      <c r="N112" s="15">
        <f>ROUND(N68/N111,2)</f>
        <v>33.32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2" orientation="portrait" r:id="rId1"/>
  <headerFooter alignWithMargins="0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12"/>
  <sheetViews>
    <sheetView zoomScale="85" zoomScaleNormal="8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21875" customWidth="1"/>
    <col min="5" max="5" width="3.71875" customWidth="1"/>
    <col min="6" max="6" width="10.21875" customWidth="1"/>
    <col min="7" max="7" width="3.71875" customWidth="1"/>
    <col min="8" max="8" width="10.21875" customWidth="1"/>
    <col min="9" max="9" width="3.71875" customWidth="1"/>
    <col min="10" max="10" width="10.21875" customWidth="1"/>
    <col min="11" max="11" width="3.71875" customWidth="1"/>
    <col min="12" max="12" width="10.2187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9" t="str">
        <f>A54</f>
        <v>CHESAPEAKE UTILITIES CORP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4">
      <c r="A3" s="45" t="str">
        <f>'Page 1'!A3:N3</f>
        <v>2017-2021, Inclusive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8" t="s">
        <v>18</v>
      </c>
      <c r="E6" s="48"/>
      <c r="F6" s="48"/>
      <c r="G6" s="48"/>
      <c r="H6" s="48"/>
      <c r="I6" s="48"/>
      <c r="J6" s="48"/>
      <c r="K6" s="48"/>
      <c r="L6" s="48"/>
    </row>
    <row r="7" spans="1:15" x14ac:dyDescent="0.4">
      <c r="A7" t="s">
        <v>1</v>
      </c>
    </row>
    <row r="8" spans="1:15" x14ac:dyDescent="0.4">
      <c r="B8" t="s">
        <v>6</v>
      </c>
      <c r="D8" s="37">
        <f>D78+D79+D81-D103</f>
        <v>1340.6919999999998</v>
      </c>
      <c r="F8" s="37">
        <f>F78+F79+F81-F103</f>
        <v>1222.049</v>
      </c>
      <c r="H8" s="37">
        <f>H78+H79+H81-H103</f>
        <v>1053.6120000000001</v>
      </c>
      <c r="J8" s="37">
        <f>J78+J79+J81-J103</f>
        <v>853.10699999999986</v>
      </c>
      <c r="L8" s="37">
        <f>L78+L79+L81-L103</f>
        <v>697.38200000000006</v>
      </c>
    </row>
    <row r="9" spans="1:15" x14ac:dyDescent="0.4">
      <c r="B9" t="s">
        <v>5</v>
      </c>
      <c r="D9" s="11">
        <f>D80</f>
        <v>221.63399999999999</v>
      </c>
      <c r="F9" s="11">
        <f>F80</f>
        <v>175.64400000000001</v>
      </c>
      <c r="H9" s="11">
        <f>H80</f>
        <v>247.37100000000001</v>
      </c>
      <c r="J9" s="11">
        <f>J80</f>
        <v>294.45800000000003</v>
      </c>
      <c r="L9" s="11">
        <f>L80</f>
        <v>250.96899999999999</v>
      </c>
    </row>
    <row r="10" spans="1:15" ht="15.4" thickBot="1" x14ac:dyDescent="0.45">
      <c r="B10" t="s">
        <v>7</v>
      </c>
      <c r="D10" s="12">
        <f>D8+D9</f>
        <v>1562.3259999999998</v>
      </c>
      <c r="F10" s="12">
        <f>F8+F9</f>
        <v>1397.693</v>
      </c>
      <c r="H10" s="12">
        <f>H8+H9</f>
        <v>1300.9830000000002</v>
      </c>
      <c r="J10" s="12">
        <f>J8+J9</f>
        <v>1147.5649999999998</v>
      </c>
      <c r="L10" s="12">
        <f>L8+L9</f>
        <v>948.35100000000011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73</v>
      </c>
      <c r="D13" s="32">
        <f>ROUND(AVERAGE(D108:D109)/D105,0)</f>
        <v>26</v>
      </c>
      <c r="E13" s="7" t="s">
        <v>3</v>
      </c>
      <c r="F13" s="32">
        <f>ROUND(AVERAGE(F108:F109)/F105,0)</f>
        <v>21</v>
      </c>
      <c r="G13" s="7" t="s">
        <v>3</v>
      </c>
      <c r="H13" s="32">
        <f>ROUND(AVERAGE(H108:H109)/H105,0)</f>
        <v>24</v>
      </c>
      <c r="I13" s="7" t="s">
        <v>3</v>
      </c>
      <c r="J13" s="32">
        <f>ROUND(AVERAGE(J108:J109)/J105,0)</f>
        <v>23</v>
      </c>
      <c r="K13" s="7" t="s">
        <v>3</v>
      </c>
      <c r="L13" s="32">
        <f>ROUND(AVERAGE(L108:L109)/L105,0)</f>
        <v>21</v>
      </c>
      <c r="M13" s="7" t="s">
        <v>3</v>
      </c>
      <c r="N13" s="33">
        <f>AVERAGE(D13,F13,H13,J13,L13)</f>
        <v>23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2.9329999999999998</v>
      </c>
      <c r="E14" s="3"/>
      <c r="F14" s="3">
        <f>ROUND(AVERAGE(F108:F109)/AVERAGE(F112,H112),3)</f>
        <v>2.4390000000000001</v>
      </c>
      <c r="G14" s="3"/>
      <c r="H14" s="3">
        <f>ROUND(AVERAGE(H108:H109)/AVERAGE(H112,J112),3)</f>
        <v>2.6739999999999999</v>
      </c>
      <c r="I14" s="3"/>
      <c r="J14" s="3">
        <f>ROUND(AVERAGE(J108:J109)/AVERAGE(J112,L112),3)</f>
        <v>2.6019999999999999</v>
      </c>
      <c r="K14" s="3"/>
      <c r="L14" s="3">
        <f>ROUND(AVERAGE(L108:L109)/AVERAGE(L112,N112),3)</f>
        <v>2.6150000000000002</v>
      </c>
      <c r="M14" s="3"/>
      <c r="N14" s="6">
        <f>AVERAGE(D14,F14,H14,J14,L14)</f>
        <v>2.6526000000000001</v>
      </c>
    </row>
    <row r="15" spans="1:15" x14ac:dyDescent="0.4">
      <c r="B15" t="s">
        <v>9</v>
      </c>
      <c r="D15" s="3">
        <f>ROUND(D106/AVERAGE(D108:D109),3)</f>
        <v>1.4999999999999999E-2</v>
      </c>
      <c r="E15" s="3"/>
      <c r="F15" s="3">
        <f>ROUND(F106/AVERAGE(F108:F109),3)</f>
        <v>1.9E-2</v>
      </c>
      <c r="G15" s="3"/>
      <c r="H15" s="3">
        <f>ROUND(H106/AVERAGE(H108:H109),3)</f>
        <v>1.7999999999999999E-2</v>
      </c>
      <c r="I15" s="3"/>
      <c r="J15" s="3">
        <f>ROUND(J106/AVERAGE(J108:J109),3)</f>
        <v>1.7999999999999999E-2</v>
      </c>
      <c r="K15" s="3"/>
      <c r="L15" s="3">
        <f>ROUND(L106/AVERAGE(L108:L109),3)</f>
        <v>1.7000000000000001E-2</v>
      </c>
      <c r="M15" s="3"/>
      <c r="N15" s="6">
        <f>AVERAGE(D15,F15,H15,J15,L15)</f>
        <v>1.7400000000000002E-2</v>
      </c>
    </row>
    <row r="16" spans="1:15" x14ac:dyDescent="0.4">
      <c r="B16" t="s">
        <v>10</v>
      </c>
      <c r="D16" s="3">
        <f>ROUND(D96/D66,3)</f>
        <v>0.4</v>
      </c>
      <c r="E16" s="3"/>
      <c r="F16" s="3">
        <f>ROUND(F96/F66,3)</f>
        <v>0.41199999999999998</v>
      </c>
      <c r="G16" s="3"/>
      <c r="H16" s="3">
        <f>ROUND(H96/H66,3)</f>
        <v>0.42799999999999999</v>
      </c>
      <c r="I16" s="3"/>
      <c r="J16" s="3">
        <f>ROUND(J96/J66,3)</f>
        <v>0.41699999999999998</v>
      </c>
      <c r="K16" s="3"/>
      <c r="L16" s="3">
        <f>ROUND(L96/L66,3)</f>
        <v>0.36199999999999999</v>
      </c>
      <c r="M16" s="3"/>
      <c r="N16" s="6">
        <f>AVERAGE(D16,F16,H16,J16,L16)</f>
        <v>0.40380000000000005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4" t="s">
        <v>77</v>
      </c>
      <c r="D20" s="3">
        <f>ROUND((+D76+D79)/D8,3)</f>
        <v>0.42399999999999999</v>
      </c>
      <c r="E20" s="3"/>
      <c r="F20" s="3">
        <f>ROUND((+F76+F79)/F8,3)</f>
        <v>0.42699999999999999</v>
      </c>
      <c r="G20" s="3"/>
      <c r="H20" s="3">
        <f>ROUND((+H76+H79)/H8,3)</f>
        <v>0.46100000000000002</v>
      </c>
      <c r="I20" s="3"/>
      <c r="J20" s="3">
        <f>ROUND((+J76+J79)/J8,3)</f>
        <v>0.38400000000000001</v>
      </c>
      <c r="K20" s="3"/>
      <c r="L20" s="3">
        <f>ROUND((+L76+L79)/L8,3)</f>
        <v>0.29699999999999999</v>
      </c>
      <c r="M20" s="3"/>
      <c r="N20" s="6">
        <f>AVERAGE(D20,F20,H20,J20,L20)</f>
        <v>0.39860000000000001</v>
      </c>
    </row>
    <row r="21" spans="1:14" x14ac:dyDescent="0.4">
      <c r="B21" s="34" t="s">
        <v>78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0</v>
      </c>
      <c r="I21" s="3"/>
      <c r="J21" s="3">
        <f>ROUND((SUM(J69:J75)+J81)/J8,3)</f>
        <v>0</v>
      </c>
      <c r="K21" s="3"/>
      <c r="L21" s="3">
        <f>ROUND((SUM(L69:L75)+L81)/L8,3)</f>
        <v>0</v>
      </c>
      <c r="M21" s="3"/>
      <c r="N21" s="6">
        <f>AVERAGE(D21,F21,H21,J21,L21)</f>
        <v>0</v>
      </c>
    </row>
    <row r="22" spans="1:14" ht="17.25" x14ac:dyDescent="0.4">
      <c r="B22" s="35" t="s">
        <v>79</v>
      </c>
      <c r="D22" s="4">
        <f>ROUND((D68-D103)/D8,3)</f>
        <v>0.57599999999999996</v>
      </c>
      <c r="E22" s="3"/>
      <c r="F22" s="4">
        <f>ROUND((F68-F103)/F8,3)</f>
        <v>0.57299999999999995</v>
      </c>
      <c r="G22" s="3"/>
      <c r="H22" s="4">
        <f>ROUND((H68-H103)/H8,3)</f>
        <v>0.53900000000000003</v>
      </c>
      <c r="I22" s="3"/>
      <c r="J22" s="4">
        <f>ROUND((J68-J103)/J8,3)</f>
        <v>0.61599999999999999</v>
      </c>
      <c r="K22" s="3"/>
      <c r="L22" s="4">
        <f>ROUND((L68-L103)/L8,3)</f>
        <v>0.70299999999999996</v>
      </c>
      <c r="M22" s="3"/>
      <c r="N22" s="8">
        <f>AVERAGE(D22,F22,H22,J22,L22)</f>
        <v>0.60140000000000005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9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4" t="s">
        <v>80</v>
      </c>
      <c r="D25" s="3">
        <f>ROUND((+D76+D79+D80)/D10,3)</f>
        <v>0.505</v>
      </c>
      <c r="E25" s="3"/>
      <c r="F25" s="3">
        <f>ROUND((+F76+F79+F80)/F10,3)</f>
        <v>0.499</v>
      </c>
      <c r="G25" s="3"/>
      <c r="H25" s="3">
        <f>ROUND((+H76+H79+H80)/H10,3)</f>
        <v>0.56399999999999995</v>
      </c>
      <c r="I25" s="3"/>
      <c r="J25" s="3">
        <f>ROUND((+J76+J79+J80)/J10,3)</f>
        <v>0.54200000000000004</v>
      </c>
      <c r="K25" s="3"/>
      <c r="L25" s="3">
        <f>ROUND((+L76+L79+L80)/L10,3)</f>
        <v>0.48299999999999998</v>
      </c>
      <c r="M25" s="3"/>
      <c r="N25" s="6">
        <f>AVERAGE(D25,F25,H25,J25,L25)</f>
        <v>0.51860000000000006</v>
      </c>
    </row>
    <row r="26" spans="1:14" x14ac:dyDescent="0.4">
      <c r="B26" s="34" t="s">
        <v>78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0</v>
      </c>
      <c r="I26" s="3"/>
      <c r="J26" s="3">
        <f>ROUND((SUM(J69:J75)+J81)/J10,3)</f>
        <v>0</v>
      </c>
      <c r="K26" s="3"/>
      <c r="L26" s="3">
        <f>ROUND((SUM(L69:L75)+L81)/L10,3)</f>
        <v>0</v>
      </c>
      <c r="M26" s="3"/>
      <c r="N26" s="6">
        <f>AVERAGE(D26,F26,H26,J26,L26)</f>
        <v>0</v>
      </c>
    </row>
    <row r="27" spans="1:14" ht="17.25" x14ac:dyDescent="0.4">
      <c r="B27" s="35" t="s">
        <v>79</v>
      </c>
      <c r="D27" s="4">
        <f>ROUND((D68-D103)/D10,3)</f>
        <v>0.495</v>
      </c>
      <c r="E27" s="3"/>
      <c r="F27" s="4">
        <f>ROUND((F68-F103)/F10,3)</f>
        <v>0.501</v>
      </c>
      <c r="G27" s="3"/>
      <c r="H27" s="4">
        <f>ROUND((H68-H103)/H10,3)</f>
        <v>0.436</v>
      </c>
      <c r="I27" s="3"/>
      <c r="J27" s="4">
        <f>ROUND((J68-J103)/J10,3)</f>
        <v>0.45800000000000002</v>
      </c>
      <c r="K27" s="3"/>
      <c r="L27" s="4">
        <f>ROUND((L68-L103)/L10,3)</f>
        <v>0.51700000000000002</v>
      </c>
      <c r="M27" s="3"/>
      <c r="N27" s="8">
        <f>AVERAGE(D27,F27,H27,J27,L27)</f>
        <v>0.48139999999999999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9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6" t="s">
        <v>81</v>
      </c>
      <c r="D30" s="3">
        <f>ROUND(+D66/(((D68-D103)+(F68-F103))/2),3)</f>
        <v>0.113</v>
      </c>
      <c r="E30" s="3"/>
      <c r="F30" s="3">
        <f>ROUND(+F66/(((F68-F103)+(H68-H103))/2),3)</f>
        <v>0.111</v>
      </c>
      <c r="G30" s="3"/>
      <c r="H30" s="3">
        <f>ROUND(+H66/(((H68-H103)+(J68-J103))/2),3)</f>
        <v>0.112</v>
      </c>
      <c r="I30" s="3"/>
      <c r="J30" s="3">
        <f>ROUND(+J66/(((J68-J103)+(L68-L103))/2),3)</f>
        <v>0.111</v>
      </c>
      <c r="K30" s="3"/>
      <c r="L30" s="3">
        <f>ROUND(+L66/(((L68-L103)+(N68-N103))/2),3)</f>
        <v>0.123</v>
      </c>
      <c r="M30" s="3"/>
      <c r="N30" s="6">
        <f>AVERAGE(D30,F30,H30,J30,L30)</f>
        <v>0.11400000000000002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6" t="s">
        <v>82</v>
      </c>
      <c r="D32" s="3">
        <f>ROUND((+D58-D57)/D56,3)</f>
        <v>0.77</v>
      </c>
      <c r="E32" s="3"/>
      <c r="F32" s="3">
        <f>ROUND((+F58-F57)/F56,3)</f>
        <v>0.76900000000000002</v>
      </c>
      <c r="G32" s="3"/>
      <c r="H32" s="3">
        <f>ROUND((+H58-H57)/H56,3)</f>
        <v>0.77800000000000002</v>
      </c>
      <c r="I32" s="3"/>
      <c r="J32" s="3">
        <f>ROUND((+J58-J57)/J56,3)</f>
        <v>0.86799999999999999</v>
      </c>
      <c r="K32" s="3"/>
      <c r="L32" s="3">
        <f>ROUND((+L58-L57)/L56,3)</f>
        <v>0.86099999999999999</v>
      </c>
      <c r="M32" s="3"/>
      <c r="N32" s="6">
        <f>AVERAGE(D32,F32,H32,J32,L32)</f>
        <v>0.80920000000000003</v>
      </c>
    </row>
    <row r="34" spans="1:15" ht="17.25" x14ac:dyDescent="0.4">
      <c r="A34" s="36" t="s">
        <v>83</v>
      </c>
    </row>
    <row r="35" spans="1:15" x14ac:dyDescent="0.4">
      <c r="B35" t="s">
        <v>13</v>
      </c>
      <c r="D35" s="7">
        <f>ROUND(((+D66+D65+D64+D63+D61+D59+D57)/D61),2)</f>
        <v>6.6</v>
      </c>
      <c r="E35" s="7" t="s">
        <v>3</v>
      </c>
      <c r="F35" s="7">
        <f>ROUND(((+F66+F65+F64+F63+F61+F59+F57)/F61),2)</f>
        <v>5.33</v>
      </c>
      <c r="G35" s="7" t="s">
        <v>3</v>
      </c>
      <c r="H35" s="7">
        <f>ROUND(((+H66+H65+H64+H63+H61+H59+H57)/H61),2)</f>
        <v>4.7</v>
      </c>
      <c r="I35" s="7" t="s">
        <v>3</v>
      </c>
      <c r="J35" s="7">
        <f>ROUND(((+J66+J65+J64+J63+J61+J59+J57)/J61),2)</f>
        <v>5.72</v>
      </c>
      <c r="K35" s="7" t="s">
        <v>3</v>
      </c>
      <c r="L35" s="7">
        <f>ROUND(((+L66+L65+L64+L63+L61+L59+L57)/L61),2)</f>
        <v>6.73</v>
      </c>
      <c r="M35" s="7" t="s">
        <v>3</v>
      </c>
      <c r="N35" s="27">
        <f>AVERAGE(D35,F35,H35,J35,L35)</f>
        <v>5.8159999999999998</v>
      </c>
      <c r="O35" t="s">
        <v>3</v>
      </c>
    </row>
    <row r="36" spans="1:15" x14ac:dyDescent="0.4">
      <c r="B36" t="s">
        <v>21</v>
      </c>
      <c r="D36" s="7">
        <f>ROUND(((+D66+D65+D64+D63+D61)/(D61)),2)</f>
        <v>5.15</v>
      </c>
      <c r="E36" s="7" t="s">
        <v>3</v>
      </c>
      <c r="F36" s="7">
        <f>ROUND(((+F66+F65+F64+F63+F61)/(F61)),2)</f>
        <v>4.25</v>
      </c>
      <c r="G36" s="7" t="s">
        <v>3</v>
      </c>
      <c r="H36" s="7">
        <f>ROUND(((+H66+H65+H64+H63+H61)/(H61)),2)</f>
        <v>3.75</v>
      </c>
      <c r="I36" s="7" t="s">
        <v>3</v>
      </c>
      <c r="J36" s="7">
        <f>ROUND(((+J66+J65+J64+J63+J61)/(J61)),2)</f>
        <v>4.4400000000000004</v>
      </c>
      <c r="K36" s="7" t="s">
        <v>3</v>
      </c>
      <c r="L36" s="7">
        <f>ROUND(((+L66+L65+L64+L63+L61)/(L61)),2)</f>
        <v>5.6</v>
      </c>
      <c r="M36" s="7" t="s">
        <v>3</v>
      </c>
      <c r="N36" s="27">
        <f>AVERAGE(D36,F36,H36,J36,L36)</f>
        <v>4.6379999999999999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5.15</v>
      </c>
      <c r="E37" s="7" t="s">
        <v>3</v>
      </c>
      <c r="F37" s="7">
        <f>ROUND(((+F66+F65+F64+F63+F61)/(F61+F63+F64+F65)),2)</f>
        <v>4.25</v>
      </c>
      <c r="G37" s="7" t="s">
        <v>3</v>
      </c>
      <c r="H37" s="7">
        <f>ROUND(((+H66+H65+H64+H63+H61)/(H61+H63+H64+H65)),2)</f>
        <v>3.75</v>
      </c>
      <c r="I37" s="7" t="s">
        <v>3</v>
      </c>
      <c r="J37" s="7">
        <f>ROUND(((+J66+J65+J64+J63+J61)/(J61+J63+J64+J65)),2)</f>
        <v>4.4400000000000004</v>
      </c>
      <c r="K37" s="7" t="s">
        <v>3</v>
      </c>
      <c r="L37" s="7">
        <f>ROUND(((+L66+L65+L64+L63+L61)/(L61+L63+L64+L65)),2)</f>
        <v>5.6</v>
      </c>
      <c r="M37" s="7" t="s">
        <v>3</v>
      </c>
      <c r="N37" s="27">
        <f>AVERAGE(D37,F37,H37,J37,L37)</f>
        <v>4.6379999999999999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6" t="s">
        <v>84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6.58</v>
      </c>
      <c r="E40" s="7" t="s">
        <v>3</v>
      </c>
      <c r="F40" s="7">
        <f>ROUND(((+F66+F65+F64+F63-F62+F61+F59+F57)/F61),2)</f>
        <v>5.29</v>
      </c>
      <c r="G40" s="7" t="s">
        <v>3</v>
      </c>
      <c r="H40" s="7">
        <f>ROUND(((+H66+H65+H64+H63-H62+H61+H59+H57)/H61),2)</f>
        <v>4.67</v>
      </c>
      <c r="I40" s="7" t="s">
        <v>3</v>
      </c>
      <c r="J40" s="7">
        <f>ROUND(((+J66+J65+J64+J63-J62+J61+J59+J57)/J61),2)</f>
        <v>5.61</v>
      </c>
      <c r="K40" s="7" t="s">
        <v>3</v>
      </c>
      <c r="L40" s="7">
        <f>ROUND(((+L66+L65+L64+L63-L62+L61+L59+L57)/L61),2)</f>
        <v>6.73</v>
      </c>
      <c r="M40" s="7" t="s">
        <v>3</v>
      </c>
      <c r="N40" s="27">
        <f>AVERAGE(D40,F40,H40,J40,L40)</f>
        <v>5.7759999999999998</v>
      </c>
      <c r="O40" t="s">
        <v>3</v>
      </c>
    </row>
    <row r="41" spans="1:15" x14ac:dyDescent="0.4">
      <c r="B41" t="s">
        <v>21</v>
      </c>
      <c r="D41" s="7">
        <f>ROUND(((+D66+D65+D64+D63-D62+D61)/D61),2)</f>
        <v>5.13</v>
      </c>
      <c r="E41" s="7" t="s">
        <v>3</v>
      </c>
      <c r="F41" s="7">
        <f>ROUND(((+F66+F65+F64+F63-F62+F61)/F61),2)</f>
        <v>4.21</v>
      </c>
      <c r="G41" s="7" t="s">
        <v>3</v>
      </c>
      <c r="H41" s="7">
        <f>ROUND(((+H66+H65+H64+H63-H62+H61)/H61),2)</f>
        <v>3.72</v>
      </c>
      <c r="I41" s="7" t="s">
        <v>3</v>
      </c>
      <c r="J41" s="7">
        <f>ROUND(((+J66+J65+J64+J63-J62+J61)/J61),2)</f>
        <v>4.33</v>
      </c>
      <c r="K41" s="7" t="s">
        <v>3</v>
      </c>
      <c r="L41" s="7">
        <f>ROUND(((+L66+L65+L64+L63-L62+L61)/L61),2)</f>
        <v>5.6</v>
      </c>
      <c r="M41" s="7" t="s">
        <v>3</v>
      </c>
      <c r="N41" s="27">
        <f>AVERAGE(D41,F41,H41,J41,L41)</f>
        <v>4.5980000000000008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5.13</v>
      </c>
      <c r="E42" s="7" t="s">
        <v>3</v>
      </c>
      <c r="F42" s="7">
        <f>ROUND(((+F66+F65+F64+F63-F62+F61)/(F61+F63+F64+F65)),2)</f>
        <v>4.21</v>
      </c>
      <c r="G42" s="7" t="s">
        <v>3</v>
      </c>
      <c r="H42" s="7">
        <f>ROUND(((+H66+H65+H64+H63-H62+H61)/(H61+H63+H64+H65)),2)</f>
        <v>3.72</v>
      </c>
      <c r="I42" s="7" t="s">
        <v>3</v>
      </c>
      <c r="J42" s="7">
        <f>ROUND(((+J66+J65+J64+J63-J62+J61)/(J61+J63+J64+J65)),2)</f>
        <v>4.33</v>
      </c>
      <c r="K42" s="7" t="s">
        <v>3</v>
      </c>
      <c r="L42" s="7">
        <f>ROUND(((+L66+L65+L64+L63-L62+L61)/(L61+L63+L64+L65)),2)</f>
        <v>5.6</v>
      </c>
      <c r="M42" s="7" t="s">
        <v>3</v>
      </c>
      <c r="N42" s="27">
        <f>AVERAGE(D42,F42,H42,J42,L42)</f>
        <v>4.5980000000000008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3">
        <f>ROUND(D62/D66,3)</f>
        <v>5.0000000000000001E-3</v>
      </c>
      <c r="E45" s="13"/>
      <c r="F45" s="13">
        <f>ROUND(F62/F66,3)</f>
        <v>0.01</v>
      </c>
      <c r="G45" s="13"/>
      <c r="H45" s="13">
        <f>ROUND(H62/H66,3)</f>
        <v>1.0999999999999999E-2</v>
      </c>
      <c r="I45" s="13"/>
      <c r="J45" s="13">
        <f>ROUND(J62/J66,3)</f>
        <v>3.4000000000000002E-2</v>
      </c>
      <c r="K45" s="13"/>
      <c r="L45" s="13">
        <f>ROUND(L62/L66,3)</f>
        <v>0</v>
      </c>
      <c r="M45" s="3"/>
      <c r="N45" s="6">
        <f t="shared" ref="N45:N50" si="0">AVERAGE(D45,F45,H45,J45,L45)</f>
        <v>1.2E-2</v>
      </c>
    </row>
    <row r="46" spans="1:15" x14ac:dyDescent="0.4">
      <c r="B46" t="s">
        <v>17</v>
      </c>
      <c r="D46" s="17">
        <f>ROUND((D57+D59)/(D57+D59+D66+D63+D64+D65),3)</f>
        <v>0.25900000000000001</v>
      </c>
      <c r="E46" s="18"/>
      <c r="F46" s="17">
        <f>ROUND((F57+F59)/(F57+F59+F66+F63+F64+F65),3)</f>
        <v>0.25</v>
      </c>
      <c r="G46" s="18"/>
      <c r="H46" s="17">
        <f>ROUND((H57+H59)/(H57+H59+H66+H63+H64+H65),3)</f>
        <v>0.25600000000000001</v>
      </c>
      <c r="I46" s="18"/>
      <c r="J46" s="17">
        <f>ROUND((J57+J59)/(J57+J59+J66+J63+J64+J65),3)</f>
        <v>0.27100000000000002</v>
      </c>
      <c r="K46" s="18"/>
      <c r="L46" s="17">
        <f>ROUND((L57+L59)/(L57+L59+L66+L63+L64+L65),3)</f>
        <v>0.19800000000000001</v>
      </c>
      <c r="N46" s="6">
        <f t="shared" si="0"/>
        <v>0.24679999999999999</v>
      </c>
    </row>
    <row r="47" spans="1:15" ht="17.25" x14ac:dyDescent="0.4">
      <c r="B47" s="36" t="s">
        <v>85</v>
      </c>
      <c r="D47" s="13">
        <f>ROUND(((+D82+D83+D84+D85+D86-D87+D88-D90-D91)/(+D89-D87)),3)</f>
        <v>0.78600000000000003</v>
      </c>
      <c r="E47" s="14"/>
      <c r="F47" s="13">
        <f>ROUND(((+F82+F83+F84+F85+F86-F87+F88-F90-F91)/(+F89-F87)),3)</f>
        <v>0.80900000000000005</v>
      </c>
      <c r="G47" s="14"/>
      <c r="H47" s="13">
        <f>ROUND(((+H82+H83+H84+H85+H86-H87+H88-H90-H91)/(+H89-H87)),3)</f>
        <v>0.61099999999999999</v>
      </c>
      <c r="I47" s="14"/>
      <c r="J47" s="13">
        <f>ROUND(((+J82+J83+J84+J85+J86-J87+J88-J90-J91)/(+J89-J87)),3)</f>
        <v>0.42499999999999999</v>
      </c>
      <c r="K47" s="14"/>
      <c r="L47" s="13">
        <f>ROUND(((+L82+L83+L84+L85+L86-L87+L88-L90-L91)/(+L89-L87)),3)</f>
        <v>0.56699999999999995</v>
      </c>
      <c r="N47" s="6">
        <f t="shared" si="0"/>
        <v>0.63960000000000006</v>
      </c>
    </row>
    <row r="48" spans="1:15" ht="17.25" x14ac:dyDescent="0.4">
      <c r="B48" s="36" t="s">
        <v>86</v>
      </c>
      <c r="D48" s="13">
        <f>ROUND(((+D82+D83+D84+D85+D86-D87+D88)/(AVERAGE(D76,F76)+AVERAGE(D79,F79)+AVERAGE(D80,F80))),3)</f>
        <v>0.24</v>
      </c>
      <c r="E48" s="14"/>
      <c r="F48" s="13">
        <f>ROUND(((+F82+F83+F84+F85+F86-F87+F88)/(AVERAGE(F76,H76)+AVERAGE(F79,H79)+AVERAGE(F80,H80))),3)</f>
        <v>0.22500000000000001</v>
      </c>
      <c r="G48" s="14"/>
      <c r="H48" s="13">
        <f>ROUND(((+H82+H83+H84+H85+H86-H87+H88)/(AVERAGE(H76,J76)+AVERAGE(H79,J79)+AVERAGE(H80,J80))),3)</f>
        <v>0.20300000000000001</v>
      </c>
      <c r="I48" s="14"/>
      <c r="J48" s="13">
        <f>ROUND(((+J82+J83+J84+J85+J86-J87+J88)/(AVERAGE(J76,L76)+AVERAGE(J79,L79)+AVERAGE(J80,L80))),3)</f>
        <v>0.253</v>
      </c>
      <c r="K48" s="14"/>
      <c r="L48" s="13">
        <f>ROUND(((+L82+L83+L84+L85+L86-L87+L88)/(AVERAGE(L76,N76)+AVERAGE(L79,N79)+AVERAGE(L80,N80))),3)</f>
        <v>0.29199999999999998</v>
      </c>
      <c r="N48" s="6">
        <f t="shared" si="0"/>
        <v>0.24259999999999998</v>
      </c>
    </row>
    <row r="49" spans="1:15" ht="17.25" x14ac:dyDescent="0.4">
      <c r="B49" s="36" t="s">
        <v>87</v>
      </c>
      <c r="D49" s="28">
        <f>ROUND(((+D82+D83+D84+D85+D86-D87+D88+D92)/D61),2)</f>
        <v>9.89</v>
      </c>
      <c r="E49" t="s">
        <v>3</v>
      </c>
      <c r="F49" s="28">
        <f>ROUND(((+F82+F83+F84+F85+F86-F87+F88+F92)/F61),2)</f>
        <v>8.4499999999999993</v>
      </c>
      <c r="G49" t="s">
        <v>3</v>
      </c>
      <c r="H49" s="28">
        <f>ROUND(((+H82+H83+H84+H85+H86-H87+H88+H92)/H61),2)</f>
        <v>7.26</v>
      </c>
      <c r="I49" t="s">
        <v>3</v>
      </c>
      <c r="J49" s="28">
        <f>ROUND(((+J82+J83+J84+J85+J86-J87+J88+J92)/J61),2)</f>
        <v>9.34</v>
      </c>
      <c r="K49" t="s">
        <v>3</v>
      </c>
      <c r="L49" s="28">
        <f>ROUND(((+L82+L83+L84+L85+L86-L87+L88+L92)/L61),2)</f>
        <v>10.43</v>
      </c>
      <c r="M49" t="s">
        <v>3</v>
      </c>
      <c r="N49" s="29">
        <f t="shared" si="0"/>
        <v>9.0739999999999998</v>
      </c>
      <c r="O49" t="s">
        <v>3</v>
      </c>
    </row>
    <row r="50" spans="1:15" ht="17.25" x14ac:dyDescent="0.4">
      <c r="B50" s="36" t="s">
        <v>88</v>
      </c>
      <c r="D50" s="28">
        <f>ROUND(((+D82+D83+D84+D85+D86-D87+D88-D91)/+D90),2)</f>
        <v>5.66</v>
      </c>
      <c r="E50" t="s">
        <v>3</v>
      </c>
      <c r="F50" s="28">
        <f>ROUND(((+F82+F83+F84+F85+F86-F87+F88-F91)/+F90),2)</f>
        <v>5.93</v>
      </c>
      <c r="G50" t="s">
        <v>3</v>
      </c>
      <c r="H50" s="28">
        <f>ROUND(((+H82+H83+H84+H85+H86-H87+H88-H91)/+H90),2)</f>
        <v>5.57</v>
      </c>
      <c r="I50" t="s">
        <v>3</v>
      </c>
      <c r="J50" s="28">
        <f>ROUND(((+J82+J83+J84+J85+J86-J87+J88-J91)/+J90),2)</f>
        <v>6.2</v>
      </c>
      <c r="K50" t="s">
        <v>3</v>
      </c>
      <c r="L50" s="28">
        <f>ROUND(((+L82+L83+L84+L85+L86-L87+L88-L91)/+L90),2)</f>
        <v>5.99</v>
      </c>
      <c r="M50" t="s">
        <v>3</v>
      </c>
      <c r="N50" s="29">
        <f t="shared" si="0"/>
        <v>5.87</v>
      </c>
      <c r="O50" t="s">
        <v>3</v>
      </c>
    </row>
    <row r="52" spans="1:15" x14ac:dyDescent="0.4">
      <c r="A52" t="s">
        <v>4</v>
      </c>
    </row>
    <row r="53" spans="1:15" x14ac:dyDescent="0.4">
      <c r="D53" s="38"/>
      <c r="F53" s="38"/>
      <c r="H53" s="38"/>
      <c r="J53" s="38"/>
    </row>
    <row r="54" spans="1:15" x14ac:dyDescent="0.4">
      <c r="A54" s="19" t="s">
        <v>100</v>
      </c>
      <c r="B54" s="19"/>
      <c r="C54" s="19"/>
      <c r="D54" s="38"/>
      <c r="E54" s="20"/>
      <c r="F54" s="38"/>
      <c r="G54" s="20"/>
      <c r="H54" s="38"/>
      <c r="I54" s="20"/>
      <c r="J54" s="38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569.96799999999996</v>
      </c>
      <c r="E56" s="22"/>
      <c r="F56" s="22">
        <v>488.19799999999998</v>
      </c>
      <c r="G56" s="22"/>
      <c r="H56" s="40">
        <v>479.60399999999998</v>
      </c>
      <c r="I56" s="22"/>
      <c r="J56" s="40">
        <v>717.48900000000003</v>
      </c>
      <c r="K56" s="22"/>
      <c r="L56" s="22">
        <v>617.58299999999997</v>
      </c>
      <c r="M56" s="22"/>
      <c r="N56" s="22">
        <v>498.86</v>
      </c>
    </row>
    <row r="57" spans="1:15" x14ac:dyDescent="0.4">
      <c r="A57" s="20" t="s">
        <v>23</v>
      </c>
      <c r="B57" s="20"/>
      <c r="C57" s="20"/>
      <c r="D57" s="22">
        <v>29.231000000000002</v>
      </c>
      <c r="E57" s="22"/>
      <c r="F57" s="22">
        <v>23.538</v>
      </c>
      <c r="G57" s="22"/>
      <c r="H57" s="40">
        <v>21.091000000000001</v>
      </c>
      <c r="I57" s="22"/>
      <c r="J57" s="40">
        <v>20.994</v>
      </c>
      <c r="K57" s="22"/>
      <c r="L57" s="22">
        <v>14.308999999999999</v>
      </c>
      <c r="M57" s="22"/>
      <c r="N57" s="22">
        <v>28.341000000000001</v>
      </c>
    </row>
    <row r="58" spans="1:15" x14ac:dyDescent="0.4">
      <c r="A58" s="20" t="s">
        <v>24</v>
      </c>
      <c r="B58" s="20"/>
      <c r="C58" s="20"/>
      <c r="D58" s="22">
        <f>438.856+D57</f>
        <v>468.08699999999999</v>
      </c>
      <c r="E58" s="22"/>
      <c r="F58" s="22">
        <f>375.475+F57</f>
        <v>399.01300000000003</v>
      </c>
      <c r="G58" s="22"/>
      <c r="H58" s="40">
        <f>373.317+H57</f>
        <v>394.40800000000002</v>
      </c>
      <c r="I58" s="22"/>
      <c r="J58" s="40">
        <f>622.869+J57</f>
        <v>643.86300000000006</v>
      </c>
      <c r="K58" s="22"/>
      <c r="L58" s="22">
        <v>546.17899999999997</v>
      </c>
      <c r="M58" s="22"/>
      <c r="N58" s="22">
        <v>443.23500000000001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40">
        <v>0</v>
      </c>
      <c r="I59" s="22"/>
      <c r="J59" s="40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131.112-D57+1.721</f>
        <v>103.602</v>
      </c>
      <c r="E60" s="22"/>
      <c r="F60" s="22">
        <f>112.723-F57+3.222</f>
        <v>92.406999999999996</v>
      </c>
      <c r="G60" s="22"/>
      <c r="H60" s="40">
        <f>106.287-H57-1.83</f>
        <v>83.366</v>
      </c>
      <c r="I60" s="22"/>
      <c r="J60" s="40">
        <f>94.62-J57-0.615</f>
        <v>73.01100000000001</v>
      </c>
      <c r="K60" s="22"/>
      <c r="L60" s="22">
        <v>70.769000000000005</v>
      </c>
      <c r="M60" s="22"/>
      <c r="N60" s="22">
        <v>55.314</v>
      </c>
    </row>
    <row r="61" spans="1:15" x14ac:dyDescent="0.4">
      <c r="A61" s="20" t="s">
        <v>27</v>
      </c>
      <c r="B61" s="20"/>
      <c r="C61" s="20"/>
      <c r="D61" s="22">
        <v>20.135000000000002</v>
      </c>
      <c r="E61" s="22"/>
      <c r="F61" s="22">
        <v>21.765000000000001</v>
      </c>
      <c r="G61" s="22"/>
      <c r="H61" s="40">
        <v>22.224</v>
      </c>
      <c r="I61" s="22"/>
      <c r="J61" s="40">
        <v>16.431000000000001</v>
      </c>
      <c r="K61" s="22"/>
      <c r="L61" s="22">
        <v>12.645</v>
      </c>
      <c r="M61" s="22"/>
      <c r="N61" s="22">
        <v>10.638999999999999</v>
      </c>
    </row>
    <row r="62" spans="1:15" x14ac:dyDescent="0.4">
      <c r="A62" s="20" t="s">
        <v>28</v>
      </c>
      <c r="B62" s="20"/>
      <c r="C62" s="20"/>
      <c r="D62" s="22">
        <v>0.4</v>
      </c>
      <c r="E62" s="22"/>
      <c r="F62" s="22">
        <v>0.7</v>
      </c>
      <c r="G62" s="22"/>
      <c r="H62" s="40">
        <v>0.7</v>
      </c>
      <c r="I62" s="22"/>
      <c r="J62" s="40">
        <v>1.9</v>
      </c>
      <c r="K62" s="22"/>
      <c r="L62" s="22"/>
      <c r="M62" s="22"/>
      <c r="N62" s="22"/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40">
        <v>0</v>
      </c>
      <c r="I63" s="22"/>
      <c r="J63" s="40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40">
        <v>0</v>
      </c>
      <c r="I64" s="22"/>
      <c r="J64" s="40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40">
        <v>0</v>
      </c>
      <c r="I65" s="22"/>
      <c r="J65" s="40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83.466999999999999</v>
      </c>
      <c r="E66" s="22"/>
      <c r="F66" s="22">
        <v>70.641999999999996</v>
      </c>
      <c r="G66" s="22"/>
      <c r="H66" s="40">
        <v>61.142000000000003</v>
      </c>
      <c r="I66" s="22"/>
      <c r="J66" s="40">
        <v>56.58</v>
      </c>
      <c r="K66" s="22"/>
      <c r="L66" s="22">
        <v>58.124000000000002</v>
      </c>
      <c r="M66" s="22"/>
      <c r="N66" s="22">
        <v>44.674999999999997</v>
      </c>
    </row>
    <row r="67" spans="1:14" x14ac:dyDescent="0.4">
      <c r="A67" s="20" t="s">
        <v>33</v>
      </c>
      <c r="B67" s="20"/>
      <c r="C67" s="20"/>
      <c r="D67" s="22">
        <v>4.75</v>
      </c>
      <c r="E67" s="22"/>
      <c r="F67" s="22">
        <v>4.2300000000000004</v>
      </c>
      <c r="G67" s="22"/>
      <c r="H67" s="22">
        <v>3.73</v>
      </c>
      <c r="I67" s="22"/>
      <c r="J67" s="40">
        <v>3.46</v>
      </c>
      <c r="K67" s="22"/>
      <c r="L67" s="22">
        <v>3.56</v>
      </c>
      <c r="M67" s="22"/>
      <c r="N67" s="22">
        <v>2.87</v>
      </c>
    </row>
    <row r="68" spans="1:14" x14ac:dyDescent="0.4">
      <c r="A68" s="20" t="s">
        <v>34</v>
      </c>
      <c r="B68" s="20"/>
      <c r="C68" s="20"/>
      <c r="D68" s="22">
        <v>774.13</v>
      </c>
      <c r="E68" s="22"/>
      <c r="F68" s="22">
        <v>697.08500000000004</v>
      </c>
      <c r="G68" s="22"/>
      <c r="H68" s="22">
        <v>561.577</v>
      </c>
      <c r="I68" s="22"/>
      <c r="J68" s="40">
        <v>518.43899999999996</v>
      </c>
      <c r="K68" s="22"/>
      <c r="L68" s="22">
        <v>486.29399999999998</v>
      </c>
      <c r="M68" s="22"/>
      <c r="N68" s="22">
        <v>446.08600000000001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40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40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40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40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40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40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40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549.90300000000002</v>
      </c>
      <c r="E76" s="22"/>
      <c r="F76" s="22">
        <v>508.49900000000002</v>
      </c>
      <c r="G76" s="22"/>
      <c r="H76" s="22">
        <v>440.16800000000001</v>
      </c>
      <c r="I76" s="22"/>
      <c r="J76" s="40">
        <v>316.02</v>
      </c>
      <c r="K76" s="22"/>
      <c r="L76" s="22">
        <v>197.39500000000001</v>
      </c>
      <c r="M76" s="22"/>
      <c r="N76" s="22">
        <v>136.95400000000001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40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1324.0329999999999</v>
      </c>
      <c r="E78" s="22"/>
      <c r="F78" s="22">
        <f>SUM(F68:F77)</f>
        <v>1205.5840000000001</v>
      </c>
      <c r="G78" s="22"/>
      <c r="H78" s="22">
        <f>SUM(H68:H77)</f>
        <v>1001.745</v>
      </c>
      <c r="I78" s="22"/>
      <c r="J78" s="40">
        <v>834.45899999999995</v>
      </c>
      <c r="K78" s="22"/>
      <c r="L78" s="22">
        <v>683.68899999999996</v>
      </c>
      <c r="M78" s="22"/>
      <c r="N78" s="22">
        <v>583.04</v>
      </c>
    </row>
    <row r="79" spans="1:14" x14ac:dyDescent="0.4">
      <c r="A79" s="20" t="s">
        <v>45</v>
      </c>
      <c r="B79" s="20"/>
      <c r="C79" s="20"/>
      <c r="D79" s="22">
        <v>17.962</v>
      </c>
      <c r="E79" s="22"/>
      <c r="F79" s="22">
        <v>13.6</v>
      </c>
      <c r="G79" s="22"/>
      <c r="H79" s="22">
        <v>45.6</v>
      </c>
      <c r="I79" s="22"/>
      <c r="J79" s="40">
        <v>11.935</v>
      </c>
      <c r="K79" s="22"/>
      <c r="L79" s="22">
        <v>9.4209999999999994</v>
      </c>
      <c r="M79" s="22"/>
      <c r="N79" s="22">
        <v>12.099</v>
      </c>
    </row>
    <row r="80" spans="1:14" x14ac:dyDescent="0.4">
      <c r="A80" s="20" t="s">
        <v>46</v>
      </c>
      <c r="B80" s="20"/>
      <c r="C80" s="20"/>
      <c r="D80" s="22">
        <v>221.63399999999999</v>
      </c>
      <c r="E80" s="22"/>
      <c r="F80" s="22">
        <v>175.64400000000001</v>
      </c>
      <c r="G80" s="22"/>
      <c r="H80" s="22">
        <v>247.37100000000001</v>
      </c>
      <c r="I80" s="22"/>
      <c r="J80" s="40">
        <v>294.45800000000003</v>
      </c>
      <c r="K80" s="22"/>
      <c r="L80" s="22">
        <v>250.96899999999999</v>
      </c>
      <c r="M80" s="22"/>
      <c r="N80" s="22">
        <v>209.87100000000001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40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83.465999999999994</v>
      </c>
      <c r="E82" s="22"/>
      <c r="F82" s="22">
        <v>71.498000000000005</v>
      </c>
      <c r="G82" s="22"/>
      <c r="H82" s="22">
        <v>65.153000000000006</v>
      </c>
      <c r="I82" s="22"/>
      <c r="J82" s="40">
        <v>56.58</v>
      </c>
      <c r="K82" s="22"/>
      <c r="L82" s="22">
        <v>58.124000000000002</v>
      </c>
      <c r="M82" s="22"/>
      <c r="N82" s="22">
        <v>44.674999999999997</v>
      </c>
    </row>
    <row r="83" spans="1:14" x14ac:dyDescent="0.4">
      <c r="A83" s="20" t="s">
        <v>49</v>
      </c>
      <c r="B83" s="20"/>
      <c r="C83" s="20"/>
      <c r="D83" s="22">
        <f>62.661+10.228</f>
        <v>72.888999999999996</v>
      </c>
      <c r="E83" s="22"/>
      <c r="F83" s="22">
        <f>58.117+9.599</f>
        <v>67.715999999999994</v>
      </c>
      <c r="G83" s="22"/>
      <c r="H83" s="22">
        <f>45.9+8.752</f>
        <v>54.652000000000001</v>
      </c>
      <c r="I83" s="22"/>
      <c r="J83" s="40">
        <v>49.337000000000003</v>
      </c>
      <c r="K83" s="22"/>
      <c r="L83" s="22">
        <v>44.720999999999997</v>
      </c>
      <c r="M83" s="22"/>
      <c r="N83" s="22">
        <v>39.493000000000002</v>
      </c>
    </row>
    <row r="84" spans="1:14" x14ac:dyDescent="0.4">
      <c r="A84" s="20" t="s">
        <v>50</v>
      </c>
      <c r="B84" s="20"/>
      <c r="C84" s="20"/>
      <c r="D84" s="22"/>
      <c r="E84" s="22"/>
      <c r="F84" s="22"/>
      <c r="G84" s="22"/>
      <c r="H84" s="22"/>
      <c r="I84" s="22"/>
      <c r="J84" s="40"/>
      <c r="K84" s="22"/>
      <c r="L84" s="22"/>
      <c r="M84" s="22"/>
      <c r="N84" s="22"/>
    </row>
    <row r="85" spans="1:14" x14ac:dyDescent="0.4">
      <c r="A85" s="20" t="s">
        <v>51</v>
      </c>
      <c r="B85" s="20"/>
      <c r="C85" s="20"/>
      <c r="D85" s="22">
        <v>26.658000000000001</v>
      </c>
      <c r="E85" s="22"/>
      <c r="F85" s="22">
        <v>24.709</v>
      </c>
      <c r="G85" s="22"/>
      <c r="H85" s="22">
        <v>24.475999999999999</v>
      </c>
      <c r="I85" s="22"/>
      <c r="J85" s="40">
        <v>21.225999999999999</v>
      </c>
      <c r="K85" s="22"/>
      <c r="L85" s="22">
        <v>11.085000000000001</v>
      </c>
      <c r="M85" s="22"/>
      <c r="N85" s="22">
        <v>31.257000000000001</v>
      </c>
    </row>
    <row r="86" spans="1:14" x14ac:dyDescent="0.4">
      <c r="A86" s="20" t="s">
        <v>52</v>
      </c>
      <c r="B86" s="20"/>
      <c r="C86" s="20"/>
      <c r="D86" s="22"/>
      <c r="E86" s="22"/>
      <c r="F86" s="22"/>
      <c r="G86" s="22"/>
      <c r="H86" s="22"/>
      <c r="I86" s="22"/>
      <c r="J86" s="40"/>
      <c r="K86" s="22"/>
      <c r="L86" s="22"/>
      <c r="M86" s="22"/>
      <c r="N86" s="22"/>
    </row>
    <row r="87" spans="1:14" x14ac:dyDescent="0.4">
      <c r="A87" s="20" t="s">
        <v>53</v>
      </c>
      <c r="B87" s="20"/>
      <c r="C87" s="20"/>
      <c r="D87" s="22"/>
      <c r="E87" s="22"/>
      <c r="F87" s="22"/>
      <c r="G87" s="22"/>
      <c r="H87" s="22"/>
      <c r="I87" s="22"/>
      <c r="J87" s="40"/>
      <c r="K87" s="22"/>
      <c r="L87" s="22"/>
      <c r="M87" s="22"/>
      <c r="N87" s="22"/>
    </row>
    <row r="88" spans="1:14" x14ac:dyDescent="0.4">
      <c r="A88" s="20" t="s">
        <v>69</v>
      </c>
      <c r="B88" s="20"/>
      <c r="C88" s="20"/>
      <c r="D88" s="22">
        <f>-9.026-1.464-0.053+5.945</f>
        <v>-4.5980000000000008</v>
      </c>
      <c r="E88" s="22"/>
      <c r="F88" s="22">
        <f>-0.2-6.243-1.482+0.207+4.829</f>
        <v>-2.8890000000000011</v>
      </c>
      <c r="G88" s="22"/>
      <c r="H88" s="22">
        <f>-7.344-4.135-1.595+1.985+4.279</f>
        <v>-6.8100000000000005</v>
      </c>
      <c r="I88" s="22"/>
      <c r="J88" s="40">
        <f>5.497+0.429+0.856+2.813</f>
        <v>9.5950000000000006</v>
      </c>
      <c r="K88" s="22"/>
      <c r="L88" s="40">
        <f>3.179-1.001+1.577+2.49-0.75</f>
        <v>5.4950000000000001</v>
      </c>
      <c r="M88" s="40"/>
      <c r="N88" s="40">
        <f>0.695-0.385+1.887+2.367-0.079</f>
        <v>4.4850000000000003</v>
      </c>
    </row>
    <row r="89" spans="1:14" x14ac:dyDescent="0.4">
      <c r="A89" s="20" t="s">
        <v>54</v>
      </c>
      <c r="B89" s="20"/>
      <c r="C89" s="20"/>
      <c r="D89" s="22">
        <v>186.92400000000001</v>
      </c>
      <c r="E89" s="22"/>
      <c r="F89" s="22">
        <v>165.511</v>
      </c>
      <c r="G89" s="22"/>
      <c r="H89" s="22">
        <v>184.727</v>
      </c>
      <c r="I89" s="22"/>
      <c r="J89" s="40">
        <v>269.767</v>
      </c>
      <c r="K89" s="22"/>
      <c r="L89" s="22">
        <v>175.32900000000001</v>
      </c>
      <c r="M89" s="22"/>
      <c r="N89" s="22">
        <v>169.86099999999999</v>
      </c>
    </row>
    <row r="90" spans="1:14" x14ac:dyDescent="0.4">
      <c r="A90" s="20" t="s">
        <v>55</v>
      </c>
      <c r="B90" s="20"/>
      <c r="C90" s="20"/>
      <c r="D90" s="22">
        <v>31.536999999999999</v>
      </c>
      <c r="E90" s="22"/>
      <c r="F90" s="22">
        <v>27.161000000000001</v>
      </c>
      <c r="G90" s="22"/>
      <c r="H90" s="22">
        <v>24.693000000000001</v>
      </c>
      <c r="I90" s="22"/>
      <c r="J90" s="40">
        <v>22.042999999999999</v>
      </c>
      <c r="K90" s="22"/>
      <c r="L90" s="22">
        <v>19.928000000000001</v>
      </c>
      <c r="M90" s="22"/>
      <c r="N90" s="22">
        <v>17.481999999999999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40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20.809000000000001</v>
      </c>
      <c r="E92" s="22"/>
      <c r="F92" s="22">
        <v>22.884</v>
      </c>
      <c r="G92" s="22"/>
      <c r="H92" s="22">
        <v>23.856000000000002</v>
      </c>
      <c r="I92" s="22"/>
      <c r="J92" s="40">
        <v>16.741</v>
      </c>
      <c r="K92" s="22"/>
      <c r="L92" s="22">
        <v>12.42</v>
      </c>
      <c r="M92" s="22"/>
      <c r="N92" s="22">
        <v>10.315</v>
      </c>
    </row>
    <row r="93" spans="1:14" x14ac:dyDescent="0.4">
      <c r="A93" s="20" t="s">
        <v>58</v>
      </c>
      <c r="B93" s="20"/>
      <c r="C93" s="20"/>
      <c r="D93" s="22">
        <v>8.3949999999999996</v>
      </c>
      <c r="E93" s="22"/>
      <c r="F93" s="22">
        <v>-8.1349999999999998</v>
      </c>
      <c r="G93" s="22"/>
      <c r="H93" s="22">
        <v>3.2210000000000001</v>
      </c>
      <c r="I93" s="22"/>
      <c r="J93" s="40">
        <v>0.47699999999999998</v>
      </c>
      <c r="K93" s="22"/>
      <c r="L93" s="22">
        <v>-4.1139999999999999</v>
      </c>
      <c r="M93" s="22"/>
      <c r="N93" s="22">
        <v>-5.3079999999999998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40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40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33.363</v>
      </c>
      <c r="E96" s="22"/>
      <c r="F96" s="22">
        <v>29.106000000000002</v>
      </c>
      <c r="G96" s="22"/>
      <c r="H96" s="22">
        <v>26.190999999999999</v>
      </c>
      <c r="I96" s="22"/>
      <c r="J96" s="40">
        <v>23.6</v>
      </c>
      <c r="K96" s="22"/>
      <c r="L96" s="22">
        <v>21.045000000000002</v>
      </c>
      <c r="M96" s="22"/>
      <c r="N96" s="22">
        <v>18.847999999999999</v>
      </c>
    </row>
    <row r="97" spans="1:14" x14ac:dyDescent="0.4">
      <c r="A97" s="20" t="s">
        <v>60</v>
      </c>
      <c r="B97" s="20"/>
      <c r="C97" s="20"/>
      <c r="D97" s="22">
        <v>1.88</v>
      </c>
      <c r="E97" s="22"/>
      <c r="F97" s="22">
        <v>1.7250000000000001</v>
      </c>
      <c r="G97" s="22"/>
      <c r="H97" s="22">
        <v>1.585</v>
      </c>
      <c r="I97" s="22"/>
      <c r="J97" s="40">
        <v>1.4350000000000001</v>
      </c>
      <c r="K97" s="22"/>
      <c r="L97" s="22">
        <v>1.28</v>
      </c>
      <c r="M97" s="22"/>
      <c r="N97" s="22">
        <v>1.2030000000000001</v>
      </c>
    </row>
    <row r="98" spans="1:14" x14ac:dyDescent="0.4">
      <c r="A98" s="20" t="s">
        <v>61</v>
      </c>
      <c r="B98" s="20"/>
      <c r="C98" s="20"/>
      <c r="D98" s="22">
        <v>1.88</v>
      </c>
      <c r="E98" s="22"/>
      <c r="F98" s="22">
        <v>1.7250000000000001</v>
      </c>
      <c r="G98" s="22"/>
      <c r="H98" s="22">
        <v>1.585</v>
      </c>
      <c r="I98" s="22"/>
      <c r="J98" s="40">
        <v>1.39</v>
      </c>
      <c r="K98" s="22"/>
      <c r="L98" s="22">
        <v>1.26</v>
      </c>
      <c r="M98" s="22"/>
      <c r="N98" s="22">
        <v>1.1850000000000001</v>
      </c>
    </row>
    <row r="99" spans="1:14" x14ac:dyDescent="0.4">
      <c r="A99" s="20" t="s">
        <v>62</v>
      </c>
      <c r="B99" s="20"/>
      <c r="C99" s="20"/>
      <c r="D99" s="40">
        <v>146.07</v>
      </c>
      <c r="E99" s="22"/>
      <c r="F99" s="22">
        <v>111.4</v>
      </c>
      <c r="G99" s="22"/>
      <c r="H99" s="22">
        <v>98.55</v>
      </c>
      <c r="I99" s="22"/>
      <c r="J99" s="40">
        <v>93.4</v>
      </c>
      <c r="K99" s="22"/>
      <c r="L99" s="22">
        <v>86.35</v>
      </c>
      <c r="M99" s="22"/>
      <c r="N99" s="22">
        <v>70</v>
      </c>
    </row>
    <row r="100" spans="1:14" x14ac:dyDescent="0.4">
      <c r="A100" s="20" t="s">
        <v>63</v>
      </c>
      <c r="B100" s="20"/>
      <c r="C100" s="20"/>
      <c r="D100" s="40">
        <v>99.64</v>
      </c>
      <c r="E100" s="22"/>
      <c r="F100" s="22">
        <v>69.47</v>
      </c>
      <c r="G100" s="22"/>
      <c r="H100" s="22">
        <v>77.59</v>
      </c>
      <c r="I100" s="22"/>
      <c r="J100" s="40">
        <v>66.349999999999994</v>
      </c>
      <c r="K100" s="22"/>
      <c r="L100" s="22">
        <v>63</v>
      </c>
      <c r="M100" s="22"/>
      <c r="N100" s="22">
        <v>52.25</v>
      </c>
    </row>
    <row r="101" spans="1:14" x14ac:dyDescent="0.4">
      <c r="A101" s="20" t="s">
        <v>64</v>
      </c>
      <c r="B101" s="20"/>
      <c r="C101" s="20"/>
      <c r="D101" s="41">
        <v>145.81</v>
      </c>
      <c r="E101" s="22"/>
      <c r="F101">
        <v>108.21</v>
      </c>
      <c r="G101" s="22"/>
      <c r="H101" s="22">
        <v>95.83</v>
      </c>
      <c r="I101" s="22"/>
      <c r="J101" s="40">
        <v>81.3</v>
      </c>
      <c r="K101" s="22"/>
      <c r="L101" s="22">
        <v>78.55</v>
      </c>
      <c r="M101" s="22"/>
      <c r="N101" s="22">
        <v>66.95</v>
      </c>
    </row>
    <row r="102" spans="1:14" x14ac:dyDescent="0.4">
      <c r="A102" s="20" t="s">
        <v>65</v>
      </c>
      <c r="B102" s="20"/>
      <c r="C102" s="20"/>
      <c r="D102" s="22">
        <v>17.65541</v>
      </c>
      <c r="E102" s="22"/>
      <c r="F102" s="22">
        <v>17.461841</v>
      </c>
      <c r="G102" s="22"/>
      <c r="H102" s="22">
        <v>16.403776000000001</v>
      </c>
      <c r="I102" s="22"/>
      <c r="J102" s="40">
        <v>16.378</v>
      </c>
      <c r="K102" s="22"/>
      <c r="L102" s="22">
        <v>16.344000000000001</v>
      </c>
      <c r="M102" s="22"/>
      <c r="N102" s="22">
        <v>16.303999999999998</v>
      </c>
    </row>
    <row r="103" spans="1:14" x14ac:dyDescent="0.4">
      <c r="A103" s="20" t="s">
        <v>76</v>
      </c>
      <c r="B103" s="20"/>
      <c r="C103" s="20"/>
      <c r="D103" s="22">
        <v>1.3029999999999999</v>
      </c>
      <c r="E103" s="22"/>
      <c r="F103" s="22">
        <v>-2.8650000000000002</v>
      </c>
      <c r="G103" s="22"/>
      <c r="H103" s="22">
        <v>-6.2670000000000003</v>
      </c>
      <c r="I103" s="22"/>
      <c r="J103" s="40">
        <v>-6.7130000000000001</v>
      </c>
      <c r="K103" s="22"/>
      <c r="L103" s="22">
        <v>-4.2720000000000002</v>
      </c>
      <c r="M103" s="22"/>
      <c r="N103" s="22">
        <v>-4.8780000000000001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4.75</v>
      </c>
      <c r="F105" s="15">
        <f>F67/F94</f>
        <v>4.2300000000000004</v>
      </c>
      <c r="H105" s="15">
        <f>H67/H94</f>
        <v>3.73</v>
      </c>
      <c r="J105" s="15">
        <f>J67/J94</f>
        <v>3.46</v>
      </c>
      <c r="L105" s="15">
        <f>L67/L94</f>
        <v>3.56</v>
      </c>
      <c r="N105" s="15">
        <f>N67/N94</f>
        <v>2.87</v>
      </c>
    </row>
    <row r="106" spans="1:14" x14ac:dyDescent="0.4">
      <c r="B106" t="s">
        <v>60</v>
      </c>
      <c r="D106" s="15">
        <f>D97/D94</f>
        <v>1.88</v>
      </c>
      <c r="F106" s="15">
        <f>F97/F94</f>
        <v>1.7250000000000001</v>
      </c>
      <c r="H106" s="15">
        <f>H97/H94</f>
        <v>1.585</v>
      </c>
      <c r="J106" s="15">
        <f>J97/J94</f>
        <v>1.4350000000000001</v>
      </c>
      <c r="L106" s="15">
        <f>L97/L94</f>
        <v>1.28</v>
      </c>
      <c r="N106" s="15">
        <f>N97/N94</f>
        <v>1.2030000000000001</v>
      </c>
    </row>
    <row r="107" spans="1:14" x14ac:dyDescent="0.4">
      <c r="B107" t="s">
        <v>61</v>
      </c>
      <c r="D107" s="15">
        <f>D98/D94</f>
        <v>1.88</v>
      </c>
      <c r="F107" s="15">
        <f>F98/F94</f>
        <v>1.7250000000000001</v>
      </c>
      <c r="H107" s="15">
        <f>H98/H94</f>
        <v>1.585</v>
      </c>
      <c r="J107" s="15">
        <f>J98/J94</f>
        <v>1.39</v>
      </c>
      <c r="L107" s="15">
        <f>L98/L94</f>
        <v>1.26</v>
      </c>
      <c r="N107" s="15">
        <f>N98/N94</f>
        <v>1.1850000000000001</v>
      </c>
    </row>
    <row r="108" spans="1:14" x14ac:dyDescent="0.4">
      <c r="B108" t="s">
        <v>62</v>
      </c>
      <c r="D108" s="15">
        <v>146.07</v>
      </c>
      <c r="F108" s="15">
        <f>F99/F94</f>
        <v>111.4</v>
      </c>
      <c r="H108" s="15">
        <f>H99/H94</f>
        <v>98.55</v>
      </c>
      <c r="J108" s="15">
        <f>J99/J94</f>
        <v>93.4</v>
      </c>
      <c r="L108" s="15">
        <f>L99/L94</f>
        <v>86.35</v>
      </c>
      <c r="N108" s="15">
        <f>N99/N94</f>
        <v>70</v>
      </c>
    </row>
    <row r="109" spans="1:14" x14ac:dyDescent="0.4">
      <c r="B109" t="s">
        <v>63</v>
      </c>
      <c r="D109" s="15">
        <v>99.639999000000003</v>
      </c>
      <c r="F109" s="15">
        <f>F100/F94</f>
        <v>69.47</v>
      </c>
      <c r="H109" s="15">
        <f>H100/H94</f>
        <v>77.59</v>
      </c>
      <c r="J109" s="15">
        <f>J100/J94</f>
        <v>66.349999999999994</v>
      </c>
      <c r="L109" s="15">
        <f>L100/L94</f>
        <v>63</v>
      </c>
      <c r="N109" s="15">
        <f>N100/N94</f>
        <v>52.25</v>
      </c>
    </row>
    <row r="110" spans="1:14" x14ac:dyDescent="0.4">
      <c r="B110" t="s">
        <v>64</v>
      </c>
      <c r="D110" s="15">
        <f>D101/D94</f>
        <v>145.81</v>
      </c>
      <c r="F110" s="15">
        <f>F101/F94</f>
        <v>108.21</v>
      </c>
      <c r="H110" s="15">
        <f>H101/H94</f>
        <v>95.83</v>
      </c>
      <c r="J110" s="15">
        <f>J101/J94</f>
        <v>81.3</v>
      </c>
      <c r="L110" s="15">
        <f>L101/L94</f>
        <v>78.55</v>
      </c>
      <c r="N110" s="15">
        <f>N101/N94</f>
        <v>66.95</v>
      </c>
    </row>
    <row r="111" spans="1:14" x14ac:dyDescent="0.4">
      <c r="B111" t="s">
        <v>65</v>
      </c>
      <c r="D111" s="16">
        <f>D102*D94</f>
        <v>17.65541</v>
      </c>
      <c r="E111" s="16"/>
      <c r="F111" s="16">
        <f>F102*F94</f>
        <v>17.461841</v>
      </c>
      <c r="G111" s="16"/>
      <c r="H111" s="16">
        <f>H102*H94</f>
        <v>16.403776000000001</v>
      </c>
      <c r="I111" s="16"/>
      <c r="J111" s="16">
        <f>J102*J94</f>
        <v>16.378</v>
      </c>
      <c r="K111" s="16"/>
      <c r="L111" s="16">
        <f>L102*L94</f>
        <v>16.344000000000001</v>
      </c>
      <c r="M111" s="16"/>
      <c r="N111" s="16">
        <f>N102*N94</f>
        <v>16.303999999999998</v>
      </c>
    </row>
    <row r="112" spans="1:14" x14ac:dyDescent="0.4">
      <c r="B112" t="s">
        <v>66</v>
      </c>
      <c r="D112" s="15">
        <f>ROUND(D68/D111,2)</f>
        <v>43.85</v>
      </c>
      <c r="F112" s="15">
        <f>ROUND(F68/F111,2)</f>
        <v>39.92</v>
      </c>
      <c r="H112" s="15">
        <f>ROUND(H68/H111,2)</f>
        <v>34.229999999999997</v>
      </c>
      <c r="J112" s="15">
        <f>ROUND(J68/J111,2)</f>
        <v>31.65</v>
      </c>
      <c r="L112" s="15">
        <f>ROUND(L68/L111,2)</f>
        <v>29.75</v>
      </c>
      <c r="N112" s="15">
        <f>ROUND(N68/N111,2)</f>
        <v>27.36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3" orientation="portrait" r:id="rId1"/>
  <headerFooter alignWithMargins="0"/>
  <rowBreaks count="1" manualBreakCount="1">
    <brk id="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O112"/>
  <sheetViews>
    <sheetView zoomScale="85" zoomScaleNormal="8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21875" customWidth="1"/>
    <col min="5" max="5" width="3.71875" customWidth="1"/>
    <col min="6" max="6" width="10.21875" customWidth="1"/>
    <col min="7" max="7" width="3.71875" customWidth="1"/>
    <col min="8" max="8" width="10.21875" customWidth="1"/>
    <col min="9" max="9" width="3.71875" customWidth="1"/>
    <col min="10" max="10" width="10.21875" customWidth="1"/>
    <col min="11" max="11" width="3.71875" customWidth="1"/>
    <col min="12" max="12" width="10.2187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9" t="str">
        <f>A54</f>
        <v>NEW JERSEY RESOURCES CORP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4">
      <c r="A3" s="45" t="str">
        <f>'Page 1'!A3:N3</f>
        <v>2017-2021, Inclusive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8" t="s">
        <v>18</v>
      </c>
      <c r="E6" s="48"/>
      <c r="F6" s="48"/>
      <c r="G6" s="48"/>
      <c r="H6" s="48"/>
      <c r="I6" s="48"/>
      <c r="J6" s="48"/>
      <c r="K6" s="48"/>
      <c r="L6" s="48"/>
    </row>
    <row r="7" spans="1:15" x14ac:dyDescent="0.4">
      <c r="A7" t="s">
        <v>1</v>
      </c>
    </row>
    <row r="8" spans="1:15" x14ac:dyDescent="0.4">
      <c r="B8" t="s">
        <v>6</v>
      </c>
      <c r="D8" s="37">
        <f>D78+D79+D81-D103</f>
        <v>3900.3940000000002</v>
      </c>
      <c r="F8" s="37">
        <f>F78+F79+F81-F103</f>
        <v>4175.7089999999989</v>
      </c>
      <c r="H8" s="37">
        <f>H78+H79+H81-H103</f>
        <v>3142.1</v>
      </c>
      <c r="J8" s="37">
        <f>J78+J79+J81-J103</f>
        <v>2735.7520000000004</v>
      </c>
      <c r="L8" s="37">
        <f>L78+L79+L81-L103</f>
        <v>2402.3539999999998</v>
      </c>
    </row>
    <row r="9" spans="1:15" x14ac:dyDescent="0.4">
      <c r="B9" t="s">
        <v>5</v>
      </c>
      <c r="D9" s="11">
        <f>D80</f>
        <v>377.3</v>
      </c>
      <c r="F9" s="11">
        <f>F80</f>
        <v>125.35</v>
      </c>
      <c r="H9" s="11">
        <f>H80</f>
        <v>25.45</v>
      </c>
      <c r="J9" s="11">
        <f>J80</f>
        <v>151.94999999999999</v>
      </c>
      <c r="L9" s="11">
        <f>L80</f>
        <v>266</v>
      </c>
    </row>
    <row r="10" spans="1:15" ht="15.4" thickBot="1" x14ac:dyDescent="0.45">
      <c r="B10" t="s">
        <v>7</v>
      </c>
      <c r="D10" s="12">
        <f>D8+D9</f>
        <v>4277.6940000000004</v>
      </c>
      <c r="F10" s="12">
        <f>F8+F9</f>
        <v>4301.0589999999993</v>
      </c>
      <c r="H10" s="12">
        <f>H8+H9</f>
        <v>3167.5499999999997</v>
      </c>
      <c r="J10" s="12">
        <f>J8+J9</f>
        <v>2887.7020000000002</v>
      </c>
      <c r="L10" s="12">
        <f>L8+L9</f>
        <v>2668.3539999999998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73</v>
      </c>
      <c r="D13" s="32">
        <f>ROUND(AVERAGE(D108:D109)/D105,0)</f>
        <v>32</v>
      </c>
      <c r="E13" s="7" t="s">
        <v>3</v>
      </c>
      <c r="F13" s="32">
        <f>ROUND(AVERAGE(F108:F109)/F105,0)</f>
        <v>16</v>
      </c>
      <c r="G13" s="7" t="s">
        <v>3</v>
      </c>
      <c r="H13" s="32">
        <f>ROUND(AVERAGE(H108:H109)/H105,0)</f>
        <v>24</v>
      </c>
      <c r="I13" s="7" t="s">
        <v>3</v>
      </c>
      <c r="J13" s="32">
        <f>ROUND(AVERAGE(J108:J109)/J105,0)</f>
        <v>16</v>
      </c>
      <c r="K13" s="7" t="s">
        <v>3</v>
      </c>
      <c r="L13" s="32">
        <f>ROUND(AVERAGE(L108:L109)/L105,0)</f>
        <v>26</v>
      </c>
      <c r="M13" s="7" t="s">
        <v>3</v>
      </c>
      <c r="N13" s="33">
        <f>AVERAGE(D13,F13,H13,J13,L13)</f>
        <v>22.8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2.133</v>
      </c>
      <c r="E14" s="3"/>
      <c r="F14" s="3">
        <f>ROUND(AVERAGE(F108:F109)/AVERAGE(F112,H112),3)</f>
        <v>1.8029999999999999</v>
      </c>
      <c r="G14" s="3"/>
      <c r="H14" s="3">
        <f>ROUND(AVERAGE(H108:H109)/AVERAGE(H112,J112),3)</f>
        <v>2.7480000000000002</v>
      </c>
      <c r="I14" s="3"/>
      <c r="J14" s="3">
        <f>ROUND(AVERAGE(J108:J109)/AVERAGE(J112,L112),3)</f>
        <v>2.8780000000000001</v>
      </c>
      <c r="K14" s="3"/>
      <c r="L14" s="3">
        <f>ROUND(AVERAGE(L108:L109)/AVERAGE(L112,N112),3)</f>
        <v>2.843</v>
      </c>
      <c r="M14" s="3"/>
      <c r="N14" s="6">
        <f>AVERAGE(D14,F14,H14,J14,L14)</f>
        <v>2.4810000000000003</v>
      </c>
    </row>
    <row r="15" spans="1:15" x14ac:dyDescent="0.4">
      <c r="B15" t="s">
        <v>9</v>
      </c>
      <c r="D15" s="3">
        <f>ROUND(D106/AVERAGE(D108:D109),3)</f>
        <v>3.5000000000000003E-2</v>
      </c>
      <c r="E15" s="3"/>
      <c r="F15" s="3">
        <f>ROUND(F106/AVERAGE(F108:F109),3)</f>
        <v>3.9E-2</v>
      </c>
      <c r="G15" s="3"/>
      <c r="H15" s="3">
        <f>ROUND(H106/AVERAGE(H108:H109),3)</f>
        <v>2.5999999999999999E-2</v>
      </c>
      <c r="I15" s="3"/>
      <c r="J15" s="3">
        <f>ROUND(J106/AVERAGE(J108:J109),3)</f>
        <v>2.5000000000000001E-2</v>
      </c>
      <c r="K15" s="3"/>
      <c r="L15" s="3">
        <f>ROUND(L106/AVERAGE(L108:L109),3)</f>
        <v>2.5999999999999999E-2</v>
      </c>
      <c r="M15" s="3"/>
      <c r="N15" s="6">
        <f>AVERAGE(D15,F15,H15,J15,L15)</f>
        <v>3.0199999999999998E-2</v>
      </c>
    </row>
    <row r="16" spans="1:15" x14ac:dyDescent="0.4">
      <c r="B16" t="s">
        <v>10</v>
      </c>
      <c r="D16" s="3">
        <f>ROUND(D96/D66,3)</f>
        <v>1.109</v>
      </c>
      <c r="E16" s="3"/>
      <c r="F16" s="3">
        <f>ROUND(F96/F66,3)</f>
        <v>0.627</v>
      </c>
      <c r="G16" s="3"/>
      <c r="H16" s="3">
        <f>ROUND(H96/H66,3)</f>
        <v>0.627</v>
      </c>
      <c r="I16" s="3"/>
      <c r="J16" s="3">
        <f>ROUND(J96/J66,3)</f>
        <v>0.41799999999999998</v>
      </c>
      <c r="K16" s="3"/>
      <c r="L16" s="3">
        <f>ROUND(L96/L66,3)</f>
        <v>0.67900000000000005</v>
      </c>
      <c r="M16" s="3"/>
      <c r="N16" s="6">
        <f>AVERAGE(D16,F16,H16,J16,L16)</f>
        <v>0.69199999999999995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4" t="s">
        <v>77</v>
      </c>
      <c r="D20" s="3">
        <f>ROUND((+D76+D79)/D8,3)</f>
        <v>0.57299999999999995</v>
      </c>
      <c r="E20" s="3"/>
      <c r="F20" s="3">
        <f>ROUND((+F76+F79)/F8,3)</f>
        <v>0.54800000000000004</v>
      </c>
      <c r="G20" s="3"/>
      <c r="H20" s="3">
        <f>ROUND((+H76+H79)/H8,3)</f>
        <v>0.496</v>
      </c>
      <c r="I20" s="3"/>
      <c r="J20" s="3">
        <f>ROUND((+J76+J79)/J8,3)</f>
        <v>0.47699999999999998</v>
      </c>
      <c r="K20" s="3"/>
      <c r="L20" s="3">
        <f>ROUND((+L76+L79)/L8,3)</f>
        <v>0.48399999999999999</v>
      </c>
      <c r="M20" s="3"/>
      <c r="N20" s="6">
        <f>AVERAGE(D20,F20,H20,J20,L20)</f>
        <v>0.51559999999999995</v>
      </c>
    </row>
    <row r="21" spans="1:14" x14ac:dyDescent="0.4">
      <c r="B21" s="34" t="s">
        <v>78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0</v>
      </c>
      <c r="I21" s="3"/>
      <c r="J21" s="3">
        <f>ROUND((SUM(J69:J75)+J81)/J8,3)</f>
        <v>0</v>
      </c>
      <c r="K21" s="3"/>
      <c r="L21" s="3">
        <f>ROUND((SUM(L69:L75)+L81)/L8,3)</f>
        <v>0</v>
      </c>
      <c r="M21" s="3"/>
      <c r="N21" s="6">
        <f>AVERAGE(D21,F21,H21,J21,L21)</f>
        <v>0</v>
      </c>
    </row>
    <row r="22" spans="1:14" ht="17.25" x14ac:dyDescent="0.4">
      <c r="B22" s="35" t="s">
        <v>79</v>
      </c>
      <c r="D22" s="4">
        <f>ROUND((D68-D103)/D8,3)</f>
        <v>0.42699999999999999</v>
      </c>
      <c r="E22" s="3"/>
      <c r="F22" s="4">
        <f>ROUND((F68-F103)/F8,3)</f>
        <v>0.45200000000000001</v>
      </c>
      <c r="G22" s="3"/>
      <c r="H22" s="4">
        <f>ROUND((H68-H103)/H8,3)</f>
        <v>0.504</v>
      </c>
      <c r="I22" s="3"/>
      <c r="J22" s="4">
        <f>ROUND((J68-J103)/J8,3)</f>
        <v>0.52300000000000002</v>
      </c>
      <c r="K22" s="3"/>
      <c r="L22" s="4">
        <f>ROUND((L68-L103)/L8,3)</f>
        <v>0.51600000000000001</v>
      </c>
      <c r="M22" s="3"/>
      <c r="N22" s="8">
        <f>AVERAGE(D22,F22,H22,J22,L22)</f>
        <v>0.48440000000000005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9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4" t="s">
        <v>80</v>
      </c>
      <c r="D25" s="3">
        <f>ROUND((+D76+D79+D80)/D10,3)</f>
        <v>0.61099999999999999</v>
      </c>
      <c r="E25" s="3"/>
      <c r="F25" s="3">
        <f>ROUND((+F76+F79+F80)/F10,3)</f>
        <v>0.56100000000000005</v>
      </c>
      <c r="G25" s="3"/>
      <c r="H25" s="3">
        <f>ROUND((+H76+H79+H80)/H10,3)</f>
        <v>0.5</v>
      </c>
      <c r="I25" s="3"/>
      <c r="J25" s="3">
        <f>ROUND((+J76+J79+J80)/J10,3)</f>
        <v>0.504</v>
      </c>
      <c r="K25" s="3"/>
      <c r="L25" s="3">
        <f>ROUND((+L76+L79+L80)/L10,3)</f>
        <v>0.53500000000000003</v>
      </c>
      <c r="M25" s="3"/>
      <c r="N25" s="6">
        <f>AVERAGE(D25,F25,H25,J25,L25)</f>
        <v>0.54220000000000002</v>
      </c>
    </row>
    <row r="26" spans="1:14" x14ac:dyDescent="0.4">
      <c r="B26" s="34" t="s">
        <v>78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0</v>
      </c>
      <c r="I26" s="3"/>
      <c r="J26" s="3">
        <f>ROUND((SUM(J69:J75)+J81)/J10,3)</f>
        <v>0</v>
      </c>
      <c r="K26" s="3"/>
      <c r="L26" s="3">
        <f>ROUND((SUM(L69:L75)+L81)/L10,3)</f>
        <v>0</v>
      </c>
      <c r="M26" s="3"/>
      <c r="N26" s="6">
        <f>AVERAGE(D26,F26,H26,J26,L26)</f>
        <v>0</v>
      </c>
    </row>
    <row r="27" spans="1:14" ht="17.25" x14ac:dyDescent="0.4">
      <c r="B27" s="35" t="s">
        <v>79</v>
      </c>
      <c r="D27" s="4">
        <f>ROUND((D68-D103)/D10,3)</f>
        <v>0.38900000000000001</v>
      </c>
      <c r="E27" s="3"/>
      <c r="F27" s="4">
        <f>ROUND((F68-F103)/F10,3)</f>
        <v>0.439</v>
      </c>
      <c r="G27" s="3"/>
      <c r="H27" s="4">
        <f>ROUND((H68-H103)/H10,3)</f>
        <v>0.5</v>
      </c>
      <c r="I27" s="3"/>
      <c r="J27" s="4">
        <f>ROUND((J68-J103)/J10,3)</f>
        <v>0.496</v>
      </c>
      <c r="K27" s="3"/>
      <c r="L27" s="4">
        <f>ROUND((L68-L103)/L10,3)</f>
        <v>0.46500000000000002</v>
      </c>
      <c r="M27" s="3"/>
      <c r="N27" s="8">
        <f>AVERAGE(D27,F27,H27,J27,L27)</f>
        <v>0.45780000000000004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9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6" t="s">
        <v>81</v>
      </c>
      <c r="D30" s="3">
        <f>ROUND(+D66/(((D68-D103)+(F68-F103))/2),3)</f>
        <v>6.6000000000000003E-2</v>
      </c>
      <c r="E30" s="3"/>
      <c r="F30" s="3">
        <f>ROUND(+F66/(((F68-F103)+(H68-H103))/2),3)</f>
        <v>0.112</v>
      </c>
      <c r="G30" s="3"/>
      <c r="H30" s="3">
        <f>ROUND(+H66/(((H68-H103)+(J68-J103))/2),3)</f>
        <v>0.112</v>
      </c>
      <c r="I30" s="3"/>
      <c r="J30" s="3">
        <f>ROUND(+J66/(((J68-J103)+(L68-L103))/2),3)</f>
        <v>0.17499999999999999</v>
      </c>
      <c r="K30" s="3"/>
      <c r="L30" s="3">
        <f>ROUND(+L66/(((L68-L103)+(N68-N103))/2),3)</f>
        <v>0.109</v>
      </c>
      <c r="M30" s="3"/>
      <c r="N30" s="6">
        <f>AVERAGE(D30,F30,H30,J30,L30)</f>
        <v>0.11479999999999999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6" t="s">
        <v>82</v>
      </c>
      <c r="D32" s="3">
        <f>ROUND((+D58-D57)/D56,3)</f>
        <v>0.86599999999999999</v>
      </c>
      <c r="E32" s="3"/>
      <c r="F32" s="3">
        <f>ROUND((+F58-F57)/F56,3)</f>
        <v>0.88900000000000001</v>
      </c>
      <c r="G32" s="3"/>
      <c r="H32" s="3">
        <f>ROUND((+H58-H57)/H56,3)</f>
        <v>0.94099999999999995</v>
      </c>
      <c r="I32" s="3"/>
      <c r="J32" s="3">
        <f>ROUND((+J58-J57)/J56,3)</f>
        <v>0.93300000000000005</v>
      </c>
      <c r="K32" s="3"/>
      <c r="L32" s="3">
        <f>ROUND((+L58-L57)/L56,3)</f>
        <v>0.92600000000000005</v>
      </c>
      <c r="M32" s="3"/>
      <c r="N32" s="6">
        <f>AVERAGE(D32,F32,H32,J32,L32)</f>
        <v>0.91099999999999992</v>
      </c>
    </row>
    <row r="34" spans="1:15" ht="17.25" x14ac:dyDescent="0.4">
      <c r="A34" s="36" t="s">
        <v>83</v>
      </c>
    </row>
    <row r="35" spans="1:15" x14ac:dyDescent="0.4">
      <c r="B35" t="s">
        <v>13</v>
      </c>
      <c r="D35" s="7">
        <f>ROUND(((+D66+D65+D64+D63+D61+D59+D57)/D61),2)</f>
        <v>2.92</v>
      </c>
      <c r="E35" s="7" t="s">
        <v>3</v>
      </c>
      <c r="F35" s="7">
        <f>ROUND(((+F66+F65+F64+F63+F61+F59+F57)/F61),2)</f>
        <v>3.77</v>
      </c>
      <c r="G35" s="7" t="s">
        <v>3</v>
      </c>
      <c r="H35" s="7">
        <f>ROUND(((+H66+H65+H64+H63+H61+H59+H57)/H61),2)</f>
        <v>3.8</v>
      </c>
      <c r="I35" s="7" t="s">
        <v>3</v>
      </c>
      <c r="J35" s="7">
        <f>ROUND(((+J66+J65+J64+J63+J61+J59+J57)/J61),2)</f>
        <v>4.72</v>
      </c>
      <c r="K35" s="7" t="s">
        <v>3</v>
      </c>
      <c r="L35" s="7">
        <f>ROUND(((+L66+L65+L64+L63+L61+L59+L57)/L61),2)</f>
        <v>4.26</v>
      </c>
      <c r="M35" s="7" t="s">
        <v>3</v>
      </c>
      <c r="N35" s="27">
        <f>AVERAGE(D35,F35,H35,J35,L35)</f>
        <v>3.8939999999999997</v>
      </c>
      <c r="O35" t="s">
        <v>3</v>
      </c>
    </row>
    <row r="36" spans="1:15" x14ac:dyDescent="0.4">
      <c r="B36" t="s">
        <v>21</v>
      </c>
      <c r="D36" s="7">
        <f>ROUND(((+D66+D65+D64+D63+D61)/(D61)),2)</f>
        <v>2.5</v>
      </c>
      <c r="E36" s="7" t="s">
        <v>3</v>
      </c>
      <c r="F36" s="7">
        <f>ROUND(((+F66+F65+F64+F63+F61)/(F61)),2)</f>
        <v>3.87</v>
      </c>
      <c r="G36" s="7" t="s">
        <v>3</v>
      </c>
      <c r="H36" s="7">
        <f>ROUND(((+H66+H65+H64+H63+H61)/(H61)),2)</f>
        <v>4.5999999999999996</v>
      </c>
      <c r="I36" s="7" t="s">
        <v>3</v>
      </c>
      <c r="J36" s="7">
        <f>ROUND(((+J66+J65+J64+J63+J61)/(J61)),2)</f>
        <v>5.84</v>
      </c>
      <c r="K36" s="7" t="s">
        <v>3</v>
      </c>
      <c r="L36" s="7">
        <f>ROUND(((+L66+L65+L64+L63+L61)/(L61)),2)</f>
        <v>3.86</v>
      </c>
      <c r="M36" s="7" t="s">
        <v>3</v>
      </c>
      <c r="N36" s="27">
        <f>AVERAGE(D36,F36,H36,J36,L36)</f>
        <v>4.1339999999999995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2.5</v>
      </c>
      <c r="E37" s="7" t="s">
        <v>3</v>
      </c>
      <c r="F37" s="7">
        <f>ROUND(((+F66+F65+F64+F63+F61)/(F61+F63+F64+F65)),2)</f>
        <v>3.87</v>
      </c>
      <c r="G37" s="7" t="s">
        <v>3</v>
      </c>
      <c r="H37" s="7">
        <f>ROUND(((+H66+H65+H64+H63+H61)/(H61+H63+H64+H65)),2)</f>
        <v>4.5999999999999996</v>
      </c>
      <c r="I37" s="7" t="s">
        <v>3</v>
      </c>
      <c r="J37" s="7">
        <f>ROUND(((+J66+J65+J64+J63+J61)/(J61+J63+J64+J65)),2)</f>
        <v>5.84</v>
      </c>
      <c r="K37" s="7" t="s">
        <v>3</v>
      </c>
      <c r="L37" s="7">
        <f>ROUND(((+L66+L65+L64+L63+L61)/(L61+L63+L64+L65)),2)</f>
        <v>3.86</v>
      </c>
      <c r="M37" s="7" t="s">
        <v>3</v>
      </c>
      <c r="N37" s="27">
        <f>AVERAGE(D37,F37,H37,J37,L37)</f>
        <v>4.1339999999999995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6" t="s">
        <v>84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2.57</v>
      </c>
      <c r="E40" s="7" t="s">
        <v>3</v>
      </c>
      <c r="F40" s="7">
        <f>ROUND(((+F66+F65+F64+F63-F62+F61+F59+F57)/F61),2)</f>
        <v>3.42</v>
      </c>
      <c r="G40" s="7" t="s">
        <v>3</v>
      </c>
      <c r="H40" s="7">
        <f>ROUND(((+H66+H65+H64+H63-H62+H61+H59+H57)/H61),2)</f>
        <v>3.58</v>
      </c>
      <c r="I40" s="7" t="s">
        <v>3</v>
      </c>
      <c r="J40" s="7">
        <f>ROUND(((+J66+J65+J64+J63-J62+J61+J59+J57)/J61),2)</f>
        <v>4.57</v>
      </c>
      <c r="K40" s="7" t="s">
        <v>3</v>
      </c>
      <c r="L40" s="7">
        <f>ROUND(((+L66+L65+L64+L63-L62+L61+L59+L57)/L61),2)</f>
        <v>4.1399999999999997</v>
      </c>
      <c r="M40" s="7" t="s">
        <v>3</v>
      </c>
      <c r="N40" s="27">
        <f>AVERAGE(D40,F40,H40,J40,L40)</f>
        <v>3.6560000000000001</v>
      </c>
      <c r="O40" t="s">
        <v>3</v>
      </c>
    </row>
    <row r="41" spans="1:15" x14ac:dyDescent="0.4">
      <c r="B41" t="s">
        <v>21</v>
      </c>
      <c r="D41" s="7">
        <f>ROUND(((+D66+D65+D64+D63-D62+D61)/D61),2)</f>
        <v>2.14</v>
      </c>
      <c r="E41" s="7" t="s">
        <v>3</v>
      </c>
      <c r="F41" s="7">
        <f>ROUND(((+F66+F65+F64+F63-F62+F61)/F61),2)</f>
        <v>3.52</v>
      </c>
      <c r="G41" s="7" t="s">
        <v>3</v>
      </c>
      <c r="H41" s="7">
        <f>ROUND(((+H66+H65+H64+H63-H62+H61)/H61),2)</f>
        <v>4.38</v>
      </c>
      <c r="I41" s="7" t="s">
        <v>3</v>
      </c>
      <c r="J41" s="7">
        <f>ROUND(((+J66+J65+J64+J63-J62+J61)/J61),2)</f>
        <v>5.68</v>
      </c>
      <c r="K41" s="7" t="s">
        <v>3</v>
      </c>
      <c r="L41" s="7">
        <f>ROUND(((+L66+L65+L64+L63-L62+L61)/L61),2)</f>
        <v>3.75</v>
      </c>
      <c r="M41" s="7" t="s">
        <v>3</v>
      </c>
      <c r="N41" s="27">
        <f>AVERAGE(D41,F41,H41,J41,L41)</f>
        <v>3.8939999999999997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2.14</v>
      </c>
      <c r="E42" s="7" t="s">
        <v>3</v>
      </c>
      <c r="F42" s="7">
        <f>ROUND(((+F66+F65+F64+F63-F62+F61)/(F61+F63+F64+F65)),2)</f>
        <v>3.52</v>
      </c>
      <c r="G42" s="7" t="s">
        <v>3</v>
      </c>
      <c r="H42" s="7">
        <f>ROUND(((+H66+H65+H64+H63-H62+H61)/(H61+H63+H64+H65)),2)</f>
        <v>4.38</v>
      </c>
      <c r="I42" s="7" t="s">
        <v>3</v>
      </c>
      <c r="J42" s="7">
        <f>ROUND(((+J66+J65+J64+J63-J62+J61)/(J61+J63+J64+J65)),2)</f>
        <v>5.68</v>
      </c>
      <c r="K42" s="7" t="s">
        <v>3</v>
      </c>
      <c r="L42" s="7">
        <f>ROUND(((+L66+L65+L64+L63-L62+L61)/(L61+L63+L64+L65)),2)</f>
        <v>3.75</v>
      </c>
      <c r="M42" s="7" t="s">
        <v>3</v>
      </c>
      <c r="N42" s="27">
        <f>AVERAGE(D42,F42,H42,J42,L42)</f>
        <v>3.8939999999999997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3">
        <f>ROUND(D62/D66,3)</f>
        <v>0.23799999999999999</v>
      </c>
      <c r="E45" s="13"/>
      <c r="F45" s="13">
        <f>ROUND(F62/F66,3)</f>
        <v>0.122</v>
      </c>
      <c r="G45" s="13"/>
      <c r="H45" s="13">
        <f>ROUND(H62/H66,3)</f>
        <v>0.06</v>
      </c>
      <c r="I45" s="13"/>
      <c r="J45" s="13">
        <f>ROUND(J62/J66,3)</f>
        <v>3.2000000000000001E-2</v>
      </c>
      <c r="K45" s="13"/>
      <c r="L45" s="13">
        <f>ROUND(L62/L66,3)</f>
        <v>3.9E-2</v>
      </c>
      <c r="M45" s="3"/>
      <c r="N45" s="6">
        <f t="shared" ref="N45:N50" si="0">AVERAGE(D45,F45,H45,J45,L45)</f>
        <v>9.8199999999999982E-2</v>
      </c>
    </row>
    <row r="46" spans="1:15" x14ac:dyDescent="0.4">
      <c r="B46" t="s">
        <v>17</v>
      </c>
      <c r="D46" s="17">
        <f>ROUND((D57+D59)/(D57+D59+D66+D63+D64+D65),3)</f>
        <v>0.22</v>
      </c>
      <c r="E46" s="18"/>
      <c r="F46" s="17">
        <f>ROUND((F57+F59)/(F57+F59+F66+F63+F64+F65),3)</f>
        <v>-3.6999999999999998E-2</v>
      </c>
      <c r="G46" s="18"/>
      <c r="H46" s="17">
        <f>ROUND((H57+H59)/(H57+H59+H66+H63+H64+H65),3)</f>
        <v>-0.28699999999999998</v>
      </c>
      <c r="I46" s="18"/>
      <c r="J46" s="17">
        <f>ROUND((J57+J59)/(J57+J59+J66+J63+J64+J65),3)</f>
        <v>-0.29899999999999999</v>
      </c>
      <c r="K46" s="18"/>
      <c r="L46" s="17">
        <f>ROUND((L57+L59)/(L57+L59+L66+L63+L64+L65),3)</f>
        <v>0.122</v>
      </c>
      <c r="N46" s="6">
        <f t="shared" si="0"/>
        <v>-5.6199999999999993E-2</v>
      </c>
    </row>
    <row r="47" spans="1:15" ht="17.25" x14ac:dyDescent="0.4">
      <c r="B47" s="36" t="s">
        <v>85</v>
      </c>
      <c r="D47" s="13">
        <f>ROUND(((+D82+D83+D84+D85+D86-D87+D88-D90-D91)/(+D89-D87)),3)</f>
        <v>0.45800000000000002</v>
      </c>
      <c r="E47" s="14"/>
      <c r="F47" s="13">
        <f>ROUND(((+F82+F83+F84+F85+F86-F87+F88-F90-F91)/(+F89-F87)),3)</f>
        <v>0.33100000000000002</v>
      </c>
      <c r="G47" s="14"/>
      <c r="H47" s="13">
        <f>ROUND(((+H82+H83+H84+H85+H86-H87+H88-H90-H91)/(+H89-H87)),3)</f>
        <v>0.151</v>
      </c>
      <c r="I47" s="14"/>
      <c r="J47" s="13">
        <f>ROUND(((+J82+J83+J84+J85+J86-J87+J88-J90-J91)/(+J89-J87)),3)</f>
        <v>0.55000000000000004</v>
      </c>
      <c r="K47" s="14"/>
      <c r="L47" s="13">
        <f>ROUND(((+L82+L83+L84+L85+L86-L87+L88-L90-L91)/(+L89-L87)),3)</f>
        <v>0.46700000000000003</v>
      </c>
      <c r="N47" s="6">
        <f t="shared" si="0"/>
        <v>0.39140000000000008</v>
      </c>
    </row>
    <row r="48" spans="1:15" ht="17.25" x14ac:dyDescent="0.4">
      <c r="B48" s="36" t="s">
        <v>86</v>
      </c>
      <c r="D48" s="13">
        <f>ROUND(((+D82+D83+D84+D85+D86-D87+D88)/(AVERAGE(D76,F76)+AVERAGE(D79,F79)+AVERAGE(D80,F80))),3)</f>
        <v>0.14699999999999999</v>
      </c>
      <c r="E48" s="14"/>
      <c r="F48" s="13">
        <f>ROUND(((+F82+F83+F84+F85+F86-F87+F88)/(AVERAGE(F76,H76)+AVERAGE(F79,H79)+AVERAGE(F80,H80))),3)</f>
        <v>0.13</v>
      </c>
      <c r="G48" s="14"/>
      <c r="H48" s="13">
        <f>ROUND(((+H82+H83+H84+H85+H86-H87+H88)/(AVERAGE(H76,J76)+AVERAGE(H79,J79)+AVERAGE(H80,J80))),3)</f>
        <v>0.115</v>
      </c>
      <c r="I48" s="14"/>
      <c r="J48" s="13">
        <f>ROUND(((+J82+J83+J84+J85+J86-J87+J88)/(AVERAGE(J76,L76)+AVERAGE(J79,L79)+AVERAGE(J80,L80))),3)</f>
        <v>0.19500000000000001</v>
      </c>
      <c r="K48" s="14"/>
      <c r="L48" s="13">
        <f>ROUND(((+L82+L83+L84+L85+L86-L87+L88)/(AVERAGE(L76,N76)+AVERAGE(L79,N79)+AVERAGE(L80,N80))),3)</f>
        <v>0.16900000000000001</v>
      </c>
      <c r="N48" s="6">
        <f t="shared" si="0"/>
        <v>0.1512</v>
      </c>
    </row>
    <row r="49" spans="1:15" ht="17.25" x14ac:dyDescent="0.4">
      <c r="B49" s="36" t="s">
        <v>87</v>
      </c>
      <c r="D49" s="28">
        <f>ROUND(((+D82+D83+D84+D85+D86-D87+D88+D92)/D61),2)</f>
        <v>5.72</v>
      </c>
      <c r="E49" t="s">
        <v>3</v>
      </c>
      <c r="F49" s="28">
        <f>ROUND(((+F82+F83+F84+F85+F86-F87+F88+F92)/F61),2)</f>
        <v>4.83</v>
      </c>
      <c r="G49" t="s">
        <v>3</v>
      </c>
      <c r="H49" s="28">
        <f>ROUND(((+H82+H83+H84+H85+H86-H87+H88+H92)/H61),2)</f>
        <v>4.8</v>
      </c>
      <c r="I49" t="s">
        <v>3</v>
      </c>
      <c r="J49" s="28">
        <f>ROUND(((+J82+J83+J84+J85+J86-J87+J88+J92)/J61),2)</f>
        <v>6.75</v>
      </c>
      <c r="K49" t="s">
        <v>3</v>
      </c>
      <c r="L49" s="28">
        <f>ROUND(((+L82+L83+L84+L85+L86-L87+L88+L92)/L61),2)</f>
        <v>5.85</v>
      </c>
      <c r="M49" t="s">
        <v>3</v>
      </c>
      <c r="N49" s="29">
        <f t="shared" si="0"/>
        <v>5.5900000000000007</v>
      </c>
      <c r="O49" t="s">
        <v>3</v>
      </c>
    </row>
    <row r="50" spans="1:15" ht="17.25" x14ac:dyDescent="0.4">
      <c r="B50" s="36" t="s">
        <v>88</v>
      </c>
      <c r="D50" s="28">
        <f>ROUND(((+D82+D83+D84+D85+D86-D87+D88-D91)/+D90),2)</f>
        <v>3.17</v>
      </c>
      <c r="E50" t="s">
        <v>3</v>
      </c>
      <c r="F50" s="28">
        <f>ROUND(((+F82+F83+F84+F85+F86-F87+F88-F91)/+F90),2)</f>
        <v>2.21</v>
      </c>
      <c r="G50" t="s">
        <v>3</v>
      </c>
      <c r="H50" s="28">
        <f>ROUND(((+H82+H83+H84+H85+H86-H87+H88-H91)/+H90),2)</f>
        <v>1.69</v>
      </c>
      <c r="I50" t="s">
        <v>3</v>
      </c>
      <c r="J50" s="28">
        <f>ROUND(((+J82+J83+J84+J85+J86-J87+J88-J91)/+J90),2)</f>
        <v>2.93</v>
      </c>
      <c r="K50" t="s">
        <v>3</v>
      </c>
      <c r="L50" s="28">
        <f>ROUND(((+L82+L83+L84+L85+L86-L87+L88-L91)/+L90),2)</f>
        <v>2.57</v>
      </c>
      <c r="M50" t="s">
        <v>3</v>
      </c>
      <c r="N50" s="29">
        <f t="shared" si="0"/>
        <v>2.5140000000000002</v>
      </c>
      <c r="O50" t="s">
        <v>3</v>
      </c>
    </row>
    <row r="52" spans="1:15" x14ac:dyDescent="0.4">
      <c r="A52" t="s">
        <v>4</v>
      </c>
    </row>
    <row r="53" spans="1:15" x14ac:dyDescent="0.4">
      <c r="D53" s="38"/>
      <c r="F53" s="38"/>
    </row>
    <row r="54" spans="1:15" x14ac:dyDescent="0.4">
      <c r="A54" s="19" t="s">
        <v>75</v>
      </c>
      <c r="B54" s="19"/>
      <c r="C54" s="19"/>
      <c r="D54" s="38"/>
      <c r="E54" s="20"/>
      <c r="F54" s="38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2156.6129999999998</v>
      </c>
      <c r="E56" s="22"/>
      <c r="F56" s="22">
        <v>1953.6679999999999</v>
      </c>
      <c r="G56" s="22"/>
      <c r="H56" s="22">
        <v>2592.0450000000001</v>
      </c>
      <c r="I56" s="22"/>
      <c r="J56" s="22">
        <v>2915.1089999999999</v>
      </c>
      <c r="K56" s="22"/>
      <c r="L56" s="22">
        <v>2268.6170000000002</v>
      </c>
      <c r="M56" s="22"/>
      <c r="N56" s="22">
        <v>1880.905</v>
      </c>
    </row>
    <row r="57" spans="1:15" x14ac:dyDescent="0.4">
      <c r="A57" s="20" t="s">
        <v>23</v>
      </c>
      <c r="B57" s="20"/>
      <c r="C57" s="20"/>
      <c r="D57" s="22">
        <v>33.286000000000001</v>
      </c>
      <c r="E57" s="22"/>
      <c r="F57" s="22">
        <v>-6.944</v>
      </c>
      <c r="G57" s="22"/>
      <c r="H57" s="22">
        <v>-37.750999999999998</v>
      </c>
      <c r="I57" s="22"/>
      <c r="J57" s="22">
        <v>-53.784999999999997</v>
      </c>
      <c r="K57" s="22"/>
      <c r="L57" s="22">
        <v>18.343</v>
      </c>
      <c r="M57" s="22"/>
      <c r="N57" s="22">
        <v>23.53</v>
      </c>
    </row>
    <row r="58" spans="1:15" x14ac:dyDescent="0.4">
      <c r="A58" s="20" t="s">
        <v>24</v>
      </c>
      <c r="B58" s="20"/>
      <c r="C58" s="20"/>
      <c r="D58" s="22">
        <f>1868.263+D57</f>
        <v>1901.549</v>
      </c>
      <c r="E58" s="22"/>
      <c r="F58" s="22">
        <f>1737.285+F57</f>
        <v>1730.3410000000001</v>
      </c>
      <c r="G58" s="22"/>
      <c r="H58" s="22">
        <f>2438.11+H57</f>
        <v>2400.3589999999999</v>
      </c>
      <c r="I58" s="22"/>
      <c r="J58" s="22">
        <v>2665.248</v>
      </c>
      <c r="K58" s="22"/>
      <c r="L58" s="22">
        <v>2119.9160000000002</v>
      </c>
      <c r="M58" s="22"/>
      <c r="N58" s="22">
        <v>1736.9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288.35-D57+24.597-83.212</f>
        <v>196.44900000000001</v>
      </c>
      <c r="E60" s="22"/>
      <c r="F60" s="22">
        <f>216.383-F57+23.878+14.311</f>
        <v>261.51599999999996</v>
      </c>
      <c r="G60" s="22"/>
      <c r="H60" s="22">
        <f>153.935-H57+11.273+13.628</f>
        <v>216.58699999999999</v>
      </c>
      <c r="I60" s="22"/>
      <c r="J60" s="22">
        <v>279.72199999999998</v>
      </c>
      <c r="K60" s="22"/>
      <c r="L60" s="22">
        <v>176.95099999999999</v>
      </c>
      <c r="M60" s="22"/>
      <c r="N60" s="22">
        <v>162.71600000000001</v>
      </c>
    </row>
    <row r="61" spans="1:15" x14ac:dyDescent="0.4">
      <c r="A61" s="20" t="s">
        <v>27</v>
      </c>
      <c r="B61" s="20"/>
      <c r="C61" s="20"/>
      <c r="D61" s="22">
        <v>78.558999999999997</v>
      </c>
      <c r="E61" s="22"/>
      <c r="F61" s="22">
        <v>67.596999999999994</v>
      </c>
      <c r="G61" s="22"/>
      <c r="H61" s="22">
        <v>47.082000000000001</v>
      </c>
      <c r="I61" s="22"/>
      <c r="J61" s="22">
        <v>48.265000000000001</v>
      </c>
      <c r="K61" s="22"/>
      <c r="L61" s="22">
        <v>46.197000000000003</v>
      </c>
      <c r="M61" s="22"/>
      <c r="N61" s="22">
        <v>36.052999999999997</v>
      </c>
    </row>
    <row r="62" spans="1:15" x14ac:dyDescent="0.4">
      <c r="A62" s="20" t="s">
        <v>28</v>
      </c>
      <c r="B62" s="20"/>
      <c r="C62" s="20"/>
      <c r="D62" s="22">
        <f>22.253+5.799</f>
        <v>28.052</v>
      </c>
      <c r="E62" s="22"/>
      <c r="F62" s="22">
        <f>19.733+3.848</f>
        <v>23.581</v>
      </c>
      <c r="G62" s="22"/>
      <c r="H62" s="22">
        <v>10.202</v>
      </c>
      <c r="I62" s="22"/>
      <c r="J62" s="22">
        <v>7.51</v>
      </c>
      <c r="K62" s="22"/>
      <c r="L62" s="22">
        <v>5.1779999999999999</v>
      </c>
      <c r="M62" s="22"/>
      <c r="N62" s="22">
        <v>9.3840000000000003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117.89</v>
      </c>
      <c r="E66" s="22"/>
      <c r="F66" s="22">
        <v>193.91900000000001</v>
      </c>
      <c r="G66" s="22"/>
      <c r="H66" s="22">
        <v>169.505</v>
      </c>
      <c r="I66" s="22"/>
      <c r="J66" s="22">
        <v>233.43600000000001</v>
      </c>
      <c r="K66" s="22"/>
      <c r="L66" s="22">
        <v>132.065</v>
      </c>
      <c r="M66" s="22"/>
      <c r="N66" s="22">
        <v>131.672</v>
      </c>
    </row>
    <row r="67" spans="1:14" x14ac:dyDescent="0.4">
      <c r="A67" s="20" t="s">
        <v>33</v>
      </c>
      <c r="B67" s="20"/>
      <c r="C67" s="20"/>
      <c r="D67" s="22">
        <v>1.23</v>
      </c>
      <c r="E67" s="22"/>
      <c r="F67" s="22">
        <v>2.0499999999999998</v>
      </c>
      <c r="G67" s="22"/>
      <c r="H67" s="22">
        <v>1.9</v>
      </c>
      <c r="I67" s="22"/>
      <c r="J67" s="22">
        <v>2.66</v>
      </c>
      <c r="K67" s="22"/>
      <c r="L67" s="22">
        <v>1.53</v>
      </c>
      <c r="M67" s="22"/>
      <c r="N67" s="22">
        <v>1.53</v>
      </c>
    </row>
    <row r="68" spans="1:14" x14ac:dyDescent="0.4">
      <c r="A68" s="20" t="s">
        <v>34</v>
      </c>
      <c r="B68" s="20"/>
      <c r="C68" s="20"/>
      <c r="D68" s="22">
        <v>1630.8620000000001</v>
      </c>
      <c r="E68" s="22"/>
      <c r="F68" s="22">
        <v>1844.692</v>
      </c>
      <c r="G68" s="22"/>
      <c r="H68" s="22">
        <v>1551.7170000000001</v>
      </c>
      <c r="I68" s="22"/>
      <c r="J68" s="22">
        <v>1418.9780000000001</v>
      </c>
      <c r="K68" s="22"/>
      <c r="L68" s="22">
        <v>1236.643</v>
      </c>
      <c r="M68" s="22"/>
      <c r="N68" s="22">
        <v>1166.5909999999999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2162.1640000000002</v>
      </c>
      <c r="E76" s="22"/>
      <c r="F76" s="22">
        <v>2259.4659999999999</v>
      </c>
      <c r="G76" s="22"/>
      <c r="H76" s="22">
        <v>1537.1769999999999</v>
      </c>
      <c r="I76" s="22"/>
      <c r="J76" s="22">
        <v>1180.6189999999999</v>
      </c>
      <c r="K76" s="22"/>
      <c r="L76" s="22">
        <v>997.08</v>
      </c>
      <c r="M76" s="22"/>
      <c r="N76" s="22">
        <v>1063.55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3793.0260000000003</v>
      </c>
      <c r="E78" s="22"/>
      <c r="F78" s="22">
        <f>SUM(F68:F77)</f>
        <v>4104.1579999999994</v>
      </c>
      <c r="G78" s="22"/>
      <c r="H78" s="22">
        <f>SUM(H68:H77)</f>
        <v>3088.8940000000002</v>
      </c>
      <c r="I78" s="22"/>
      <c r="J78" s="22">
        <v>2599.5970000000002</v>
      </c>
      <c r="K78" s="22"/>
      <c r="L78" s="22">
        <v>2233.723</v>
      </c>
      <c r="M78" s="22"/>
      <c r="N78" s="22">
        <v>2230.1410000000001</v>
      </c>
    </row>
    <row r="79" spans="1:14" x14ac:dyDescent="0.4">
      <c r="A79" s="20" t="s">
        <v>45</v>
      </c>
      <c r="B79" s="20"/>
      <c r="C79" s="20"/>
      <c r="D79" s="22">
        <v>72.84</v>
      </c>
      <c r="E79" s="22"/>
      <c r="F79" s="22">
        <v>27.236000000000001</v>
      </c>
      <c r="G79" s="22"/>
      <c r="H79" s="22">
        <v>21.419</v>
      </c>
      <c r="I79" s="22"/>
      <c r="J79" s="22">
        <v>123.545</v>
      </c>
      <c r="K79" s="22"/>
      <c r="L79" s="22">
        <v>165.375</v>
      </c>
      <c r="M79" s="22"/>
      <c r="N79" s="22">
        <v>61.451999999999998</v>
      </c>
    </row>
    <row r="80" spans="1:14" x14ac:dyDescent="0.4">
      <c r="A80" s="20" t="s">
        <v>46</v>
      </c>
      <c r="B80" s="20"/>
      <c r="C80" s="20"/>
      <c r="D80" s="22">
        <v>377.3</v>
      </c>
      <c r="E80" s="22"/>
      <c r="F80" s="22">
        <v>125.35</v>
      </c>
      <c r="G80" s="22"/>
      <c r="H80" s="22">
        <v>25.45</v>
      </c>
      <c r="I80" s="22"/>
      <c r="J80" s="22">
        <v>151.94999999999999</v>
      </c>
      <c r="K80" s="22"/>
      <c r="L80" s="22">
        <v>266</v>
      </c>
      <c r="M80" s="22"/>
      <c r="N80" s="22">
        <v>121.7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117.89</v>
      </c>
      <c r="E82" s="22"/>
      <c r="F82" s="22">
        <v>193.91900000000001</v>
      </c>
      <c r="G82" s="22"/>
      <c r="H82" s="22">
        <v>169.505</v>
      </c>
      <c r="I82" s="22"/>
      <c r="J82" s="22">
        <v>233.43600000000001</v>
      </c>
      <c r="K82" s="22"/>
      <c r="L82" s="22">
        <v>132.065</v>
      </c>
      <c r="M82" s="22"/>
      <c r="N82" s="22">
        <v>131.672</v>
      </c>
    </row>
    <row r="83" spans="1:14" x14ac:dyDescent="0.4">
      <c r="A83" s="20" t="s">
        <v>49</v>
      </c>
      <c r="B83" s="20"/>
      <c r="C83" s="20"/>
      <c r="D83" s="22">
        <v>111.387</v>
      </c>
      <c r="E83" s="22"/>
      <c r="F83" s="22">
        <v>119.89400000000001</v>
      </c>
      <c r="G83" s="22"/>
      <c r="H83" s="22">
        <v>91.73</v>
      </c>
      <c r="I83" s="22"/>
      <c r="J83" s="22">
        <v>85.700999999999993</v>
      </c>
      <c r="K83" s="22"/>
      <c r="L83" s="22">
        <v>81.840999999999994</v>
      </c>
      <c r="M83" s="22"/>
      <c r="N83" s="22">
        <v>72.748000000000005</v>
      </c>
    </row>
    <row r="84" spans="1:14" x14ac:dyDescent="0.4">
      <c r="A84" s="20" t="s">
        <v>50</v>
      </c>
      <c r="B84" s="20"/>
      <c r="C84" s="20"/>
      <c r="D84" s="22">
        <v>4.6040000000000001</v>
      </c>
      <c r="E84" s="22"/>
      <c r="F84" s="22">
        <v>4.9240000000000004</v>
      </c>
      <c r="G84" s="22"/>
      <c r="H84" s="22">
        <v>8.4239999999999995</v>
      </c>
      <c r="I84" s="22"/>
      <c r="J84" s="22">
        <v>18.222000000000001</v>
      </c>
      <c r="K84" s="22"/>
      <c r="L84" s="22"/>
      <c r="M84" s="22"/>
      <c r="N84" s="22"/>
    </row>
    <row r="85" spans="1:14" x14ac:dyDescent="0.4">
      <c r="A85" s="20" t="s">
        <v>51</v>
      </c>
      <c r="B85" s="20"/>
      <c r="C85" s="20"/>
      <c r="D85" s="22">
        <v>23.795999999999999</v>
      </c>
      <c r="E85" s="22"/>
      <c r="F85" s="22">
        <v>-9.0920000000000005</v>
      </c>
      <c r="G85" s="22"/>
      <c r="H85" s="22">
        <v>-59.012999999999998</v>
      </c>
      <c r="I85" s="22"/>
      <c r="J85" s="22">
        <v>15.59</v>
      </c>
      <c r="K85" s="22"/>
      <c r="L85" s="22">
        <v>41.442</v>
      </c>
      <c r="M85" s="22"/>
      <c r="N85" s="22">
        <v>27.721</v>
      </c>
    </row>
    <row r="86" spans="1:14" x14ac:dyDescent="0.4">
      <c r="A86" s="20" t="s">
        <v>52</v>
      </c>
      <c r="B86" s="20"/>
      <c r="C86" s="20"/>
      <c r="D86" s="22">
        <v>-6.4820000000000002</v>
      </c>
      <c r="E86" s="22"/>
      <c r="F86" s="22">
        <v>-6.4820000000000002</v>
      </c>
      <c r="G86" s="22"/>
      <c r="H86" s="22">
        <v>-6.4820000000000002</v>
      </c>
      <c r="I86" s="22"/>
      <c r="J86" s="22"/>
      <c r="K86" s="22"/>
      <c r="L86" s="22"/>
      <c r="M86" s="22"/>
      <c r="N86" s="22"/>
    </row>
    <row r="87" spans="1:14" x14ac:dyDescent="0.4">
      <c r="A87" s="20" t="s">
        <v>53</v>
      </c>
      <c r="B87" s="20"/>
      <c r="C87" s="20"/>
      <c r="D87" s="22">
        <v>20.303000000000001</v>
      </c>
      <c r="E87" s="22"/>
      <c r="F87" s="22">
        <v>17.053000000000001</v>
      </c>
      <c r="G87" s="22"/>
      <c r="H87" s="22">
        <v>6.492</v>
      </c>
      <c r="I87" s="22"/>
      <c r="J87" s="22">
        <v>5.5309999999999997</v>
      </c>
      <c r="K87" s="22"/>
      <c r="L87" s="22">
        <v>3.867</v>
      </c>
      <c r="M87" s="22"/>
      <c r="N87" s="22">
        <v>4.375</v>
      </c>
    </row>
    <row r="88" spans="1:14" x14ac:dyDescent="0.4">
      <c r="A88" s="20" t="s">
        <v>69</v>
      </c>
      <c r="B88" s="20"/>
      <c r="C88" s="20"/>
      <c r="D88" s="22">
        <f>54.203+92+18.986+3.92-17.532-3.046-1.129-7.669-0.159</f>
        <v>139.57399999999998</v>
      </c>
      <c r="E88" s="22"/>
      <c r="F88" s="22">
        <f>-9.644+3.851+2.238-7.651-5.848-0.245-9.032+0.647</f>
        <v>-25.684000000000001</v>
      </c>
      <c r="G88" s="22"/>
      <c r="H88" s="22">
        <f>2.881-1.567-0.645+2.387-13.878-4.156-0.258-8.157+1.29</f>
        <v>-22.102999999999998</v>
      </c>
      <c r="I88" s="22"/>
      <c r="J88" s="22">
        <v>-66.265000000000001</v>
      </c>
      <c r="K88" s="22"/>
      <c r="L88" s="22">
        <v>-25.428000000000001</v>
      </c>
      <c r="M88" s="22"/>
      <c r="N88" s="22">
        <v>8.3859999999999992</v>
      </c>
    </row>
    <row r="89" spans="1:14" x14ac:dyDescent="0.4">
      <c r="A89" s="20" t="s">
        <v>54</v>
      </c>
      <c r="B89" s="20"/>
      <c r="C89" s="20"/>
      <c r="D89" s="22">
        <f>376.312+87.852+110.13</f>
        <v>574.29399999999998</v>
      </c>
      <c r="E89" s="22"/>
      <c r="F89" s="22">
        <f>290.04+133.841+24.228</f>
        <v>448.10900000000004</v>
      </c>
      <c r="G89" s="22"/>
      <c r="H89" s="22">
        <f>300.031+157.828+23.1</f>
        <v>480.95900000000006</v>
      </c>
      <c r="I89" s="22"/>
      <c r="J89" s="22">
        <v>342.476</v>
      </c>
      <c r="K89" s="22"/>
      <c r="L89" s="22">
        <v>299.80700000000002</v>
      </c>
      <c r="M89" s="22"/>
      <c r="N89" s="22">
        <v>331.40100000000001</v>
      </c>
    </row>
    <row r="90" spans="1:14" x14ac:dyDescent="0.4">
      <c r="A90" s="20" t="s">
        <v>55</v>
      </c>
      <c r="B90" s="20"/>
      <c r="C90" s="20"/>
      <c r="D90" s="22">
        <v>116.96</v>
      </c>
      <c r="E90" s="22"/>
      <c r="F90" s="22">
        <v>117.804</v>
      </c>
      <c r="G90" s="22"/>
      <c r="H90" s="22">
        <v>104.059</v>
      </c>
      <c r="I90" s="22"/>
      <c r="J90" s="22">
        <v>95.834999999999994</v>
      </c>
      <c r="K90" s="22"/>
      <c r="L90" s="22">
        <v>87.988</v>
      </c>
      <c r="M90" s="22"/>
      <c r="N90" s="22">
        <v>82.444999999999993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78.650000000000006</v>
      </c>
      <c r="E92" s="22"/>
      <c r="F92" s="22">
        <v>66.146000000000001</v>
      </c>
      <c r="G92" s="22"/>
      <c r="H92" s="22">
        <v>50.371000000000002</v>
      </c>
      <c r="I92" s="22"/>
      <c r="J92" s="22">
        <v>44.820999999999998</v>
      </c>
      <c r="K92" s="22"/>
      <c r="L92" s="22">
        <v>44.362000000000002</v>
      </c>
      <c r="M92" s="22"/>
      <c r="N92" s="22">
        <v>31.995999999999999</v>
      </c>
    </row>
    <row r="93" spans="1:14" x14ac:dyDescent="0.4">
      <c r="A93" s="20" t="s">
        <v>58</v>
      </c>
      <c r="B93" s="20"/>
      <c r="C93" s="20"/>
      <c r="D93" s="22">
        <v>6.3810000000000002</v>
      </c>
      <c r="E93" s="22"/>
      <c r="F93" s="22">
        <v>7.5940000000000003</v>
      </c>
      <c r="G93" s="22"/>
      <c r="H93" s="22">
        <v>12.647</v>
      </c>
      <c r="I93" s="22"/>
      <c r="J93" s="22">
        <v>5.577</v>
      </c>
      <c r="K93" s="22"/>
      <c r="L93" s="22">
        <v>-6.8769999999999998</v>
      </c>
      <c r="M93" s="22"/>
      <c r="N93" s="22">
        <v>-3.516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130.78100000000001</v>
      </c>
      <c r="E96" s="22"/>
      <c r="F96" s="22">
        <v>121.58199999999999</v>
      </c>
      <c r="G96" s="22"/>
      <c r="H96" s="22">
        <v>106.342</v>
      </c>
      <c r="I96" s="22"/>
      <c r="J96" s="22">
        <v>97.578999999999994</v>
      </c>
      <c r="K96" s="22"/>
      <c r="L96" s="22">
        <v>89.637</v>
      </c>
      <c r="M96" s="22"/>
      <c r="N96" s="22">
        <v>83.861000000000004</v>
      </c>
    </row>
    <row r="97" spans="1:14" x14ac:dyDescent="0.4">
      <c r="A97" s="20" t="s">
        <v>60</v>
      </c>
      <c r="B97" s="20"/>
      <c r="C97" s="20"/>
      <c r="D97" s="22">
        <v>1.36</v>
      </c>
      <c r="E97" s="22"/>
      <c r="F97" s="22">
        <v>1.27</v>
      </c>
      <c r="G97" s="22"/>
      <c r="H97" s="22">
        <v>1.19</v>
      </c>
      <c r="I97" s="22"/>
      <c r="J97" s="22">
        <v>1.1100000000000001</v>
      </c>
      <c r="K97" s="22"/>
      <c r="L97" s="22">
        <v>1.038</v>
      </c>
      <c r="M97" s="22"/>
      <c r="N97" s="22">
        <v>0.97499999999999998</v>
      </c>
    </row>
    <row r="98" spans="1:14" x14ac:dyDescent="0.4">
      <c r="A98" s="20" t="s">
        <v>61</v>
      </c>
      <c r="B98" s="20"/>
      <c r="C98" s="20"/>
      <c r="D98" s="22">
        <v>1.36</v>
      </c>
      <c r="E98" s="22"/>
      <c r="F98" s="22">
        <v>1.27</v>
      </c>
      <c r="G98" s="22"/>
      <c r="H98" s="22">
        <v>1.19</v>
      </c>
      <c r="I98" s="22"/>
      <c r="J98" s="22">
        <v>1.0900000000000001</v>
      </c>
      <c r="K98" s="22"/>
      <c r="L98" s="22">
        <v>1.02</v>
      </c>
      <c r="M98" s="22"/>
      <c r="N98" s="22">
        <v>0.96</v>
      </c>
    </row>
    <row r="99" spans="1:14" x14ac:dyDescent="0.4">
      <c r="A99" s="20" t="s">
        <v>62</v>
      </c>
      <c r="B99" s="20"/>
      <c r="C99" s="20"/>
      <c r="D99" s="22">
        <v>44.41</v>
      </c>
      <c r="E99" s="22"/>
      <c r="F99" s="22">
        <v>44.67</v>
      </c>
      <c r="G99" s="22"/>
      <c r="H99" s="22">
        <v>51.2</v>
      </c>
      <c r="I99" s="22"/>
      <c r="J99" s="22">
        <v>51.83</v>
      </c>
      <c r="K99" s="22"/>
      <c r="L99" s="22">
        <v>45.45</v>
      </c>
      <c r="M99" s="22"/>
      <c r="N99" s="22">
        <v>38.92</v>
      </c>
    </row>
    <row r="100" spans="1:14" x14ac:dyDescent="0.4">
      <c r="A100" s="20" t="s">
        <v>63</v>
      </c>
      <c r="B100" s="20"/>
      <c r="C100" s="20"/>
      <c r="D100" s="22">
        <v>33.32</v>
      </c>
      <c r="E100" s="22"/>
      <c r="F100" s="22">
        <v>21.14</v>
      </c>
      <c r="G100" s="22"/>
      <c r="H100" s="22">
        <v>40.32</v>
      </c>
      <c r="I100" s="22"/>
      <c r="J100" s="22">
        <v>35.549999999999997</v>
      </c>
      <c r="K100" s="22"/>
      <c r="L100" s="22">
        <v>33.700000000000003</v>
      </c>
      <c r="M100" s="22"/>
      <c r="N100" s="22">
        <v>30.46</v>
      </c>
    </row>
    <row r="101" spans="1:14" x14ac:dyDescent="0.4">
      <c r="A101" s="20" t="s">
        <v>64</v>
      </c>
      <c r="B101" s="20"/>
      <c r="C101" s="20"/>
      <c r="D101">
        <v>41.06</v>
      </c>
      <c r="E101" s="22"/>
      <c r="F101">
        <v>35.549999999999997</v>
      </c>
      <c r="G101" s="22"/>
      <c r="H101" s="22">
        <v>44.57</v>
      </c>
      <c r="I101" s="22"/>
      <c r="J101" s="22">
        <v>45.67</v>
      </c>
      <c r="K101" s="22"/>
      <c r="L101" s="22">
        <v>40.200000000000003</v>
      </c>
      <c r="M101" s="22"/>
      <c r="N101" s="22">
        <v>35.5</v>
      </c>
    </row>
    <row r="102" spans="1:14" x14ac:dyDescent="0.4">
      <c r="A102" s="20" t="s">
        <v>65</v>
      </c>
      <c r="B102" s="20"/>
      <c r="C102" s="20"/>
      <c r="D102" s="22">
        <f>95.709662-0.762313</f>
        <v>94.947348999999988</v>
      </c>
      <c r="E102" s="22"/>
      <c r="F102" s="22">
        <f>95.949183-0.14831</f>
        <v>95.80087300000001</v>
      </c>
      <c r="G102" s="22"/>
      <c r="H102" s="22">
        <v>89.998999999999995</v>
      </c>
      <c r="I102" s="22"/>
      <c r="J102" s="22">
        <v>88.293000000000006</v>
      </c>
      <c r="K102" s="22"/>
      <c r="L102" s="22">
        <v>86.555999999999997</v>
      </c>
      <c r="M102" s="22"/>
      <c r="N102" s="22">
        <v>86.085999999999999</v>
      </c>
    </row>
    <row r="103" spans="1:14" x14ac:dyDescent="0.4">
      <c r="A103" s="20" t="s">
        <v>76</v>
      </c>
      <c r="B103" s="20"/>
      <c r="C103" s="20"/>
      <c r="D103" s="22">
        <v>-34.527999999999999</v>
      </c>
      <c r="E103" s="22"/>
      <c r="F103" s="22">
        <v>-44.314999999999998</v>
      </c>
      <c r="G103" s="22"/>
      <c r="H103" s="22">
        <v>-31.786999999999999</v>
      </c>
      <c r="I103" s="22"/>
      <c r="J103" s="22">
        <v>-12.61</v>
      </c>
      <c r="K103" s="22"/>
      <c r="L103" s="22">
        <v>-3.2559999999999998</v>
      </c>
      <c r="M103" s="22"/>
      <c r="N103" s="22">
        <v>-15.154999999999999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1.23</v>
      </c>
      <c r="F105" s="15">
        <f>F67/F94</f>
        <v>2.0499999999999998</v>
      </c>
      <c r="H105" s="15">
        <f>H67/H94</f>
        <v>1.9</v>
      </c>
      <c r="J105" s="15">
        <f>J67/J94</f>
        <v>2.66</v>
      </c>
      <c r="L105" s="15">
        <f>L67/L94</f>
        <v>1.53</v>
      </c>
      <c r="N105" s="15">
        <f>N67/N94</f>
        <v>1.53</v>
      </c>
    </row>
    <row r="106" spans="1:14" x14ac:dyDescent="0.4">
      <c r="B106" t="s">
        <v>60</v>
      </c>
      <c r="D106" s="15">
        <f>D97/D94</f>
        <v>1.36</v>
      </c>
      <c r="F106" s="15">
        <f>F97/F94</f>
        <v>1.27</v>
      </c>
      <c r="H106" s="15">
        <f>H97/H94</f>
        <v>1.19</v>
      </c>
      <c r="J106" s="15">
        <f>J97/J94</f>
        <v>1.1100000000000001</v>
      </c>
      <c r="L106" s="15">
        <f>L97/L94</f>
        <v>1.038</v>
      </c>
      <c r="N106" s="15">
        <f>N97/N94</f>
        <v>0.97499999999999998</v>
      </c>
    </row>
    <row r="107" spans="1:14" x14ac:dyDescent="0.4">
      <c r="B107" t="s">
        <v>61</v>
      </c>
      <c r="D107" s="15">
        <f>D98/D94</f>
        <v>1.36</v>
      </c>
      <c r="F107" s="15">
        <f>F98/F94</f>
        <v>1.27</v>
      </c>
      <c r="H107" s="15">
        <f>H98/H94</f>
        <v>1.19</v>
      </c>
      <c r="J107" s="15">
        <f>J98/J94</f>
        <v>1.0900000000000001</v>
      </c>
      <c r="L107" s="15">
        <f>L98/L94</f>
        <v>1.02</v>
      </c>
      <c r="N107" s="15">
        <f>N98/N94</f>
        <v>0.96</v>
      </c>
    </row>
    <row r="108" spans="1:14" x14ac:dyDescent="0.4">
      <c r="B108" t="s">
        <v>62</v>
      </c>
      <c r="D108" s="15">
        <f>D99/D94</f>
        <v>44.41</v>
      </c>
      <c r="F108" s="15">
        <f>F99/F94</f>
        <v>44.67</v>
      </c>
      <c r="H108" s="15">
        <f>H99/H94</f>
        <v>51.2</v>
      </c>
      <c r="J108" s="15">
        <f>J99/J94</f>
        <v>51.83</v>
      </c>
      <c r="L108" s="15">
        <f>L99/L94</f>
        <v>45.45</v>
      </c>
      <c r="N108" s="15">
        <f>N99/N94</f>
        <v>38.92</v>
      </c>
    </row>
    <row r="109" spans="1:14" x14ac:dyDescent="0.4">
      <c r="B109" t="s">
        <v>63</v>
      </c>
      <c r="D109" s="15">
        <f>D100/D94</f>
        <v>33.32</v>
      </c>
      <c r="F109" s="15">
        <f>F100/F94</f>
        <v>21.14</v>
      </c>
      <c r="H109" s="15">
        <f>H100/H94</f>
        <v>40.32</v>
      </c>
      <c r="J109" s="15">
        <f>J100/J94</f>
        <v>35.549999999999997</v>
      </c>
      <c r="L109" s="15">
        <f>L100/L94</f>
        <v>33.700000000000003</v>
      </c>
      <c r="N109" s="15">
        <f>N100/N94</f>
        <v>30.46</v>
      </c>
    </row>
    <row r="110" spans="1:14" x14ac:dyDescent="0.4">
      <c r="B110" t="s">
        <v>64</v>
      </c>
      <c r="D110" s="15">
        <f>D101/D94</f>
        <v>41.06</v>
      </c>
      <c r="F110" s="15">
        <f>F101/F94</f>
        <v>35.549999999999997</v>
      </c>
      <c r="H110" s="15">
        <f>H101/H94</f>
        <v>44.57</v>
      </c>
      <c r="J110" s="15">
        <f>J101/J94</f>
        <v>45.67</v>
      </c>
      <c r="L110" s="15">
        <f>L101/L94</f>
        <v>40.200000000000003</v>
      </c>
      <c r="N110" s="15">
        <f>N101/N94</f>
        <v>35.5</v>
      </c>
    </row>
    <row r="111" spans="1:14" x14ac:dyDescent="0.4">
      <c r="B111" t="s">
        <v>65</v>
      </c>
      <c r="D111" s="16">
        <f>D102*D94</f>
        <v>94.947348999999988</v>
      </c>
      <c r="E111" s="16"/>
      <c r="F111" s="16">
        <f>F102*F94</f>
        <v>95.80087300000001</v>
      </c>
      <c r="G111" s="16"/>
      <c r="H111" s="16">
        <f>H102*H94</f>
        <v>89.998999999999995</v>
      </c>
      <c r="I111" s="16"/>
      <c r="J111" s="16">
        <f>J102*J94</f>
        <v>88.293000000000006</v>
      </c>
      <c r="K111" s="16"/>
      <c r="L111" s="16">
        <f>L102*L94</f>
        <v>86.555999999999997</v>
      </c>
      <c r="M111" s="16"/>
      <c r="N111" s="16">
        <f>N102*N94</f>
        <v>86.085999999999999</v>
      </c>
    </row>
    <row r="112" spans="1:14" x14ac:dyDescent="0.4">
      <c r="B112" t="s">
        <v>66</v>
      </c>
      <c r="D112" s="15">
        <f>ROUND(D68/D111,2)</f>
        <v>17.18</v>
      </c>
      <c r="F112" s="15">
        <f>ROUND(F68/F111,2)</f>
        <v>19.260000000000002</v>
      </c>
      <c r="H112" s="15">
        <f>ROUND(H68/H111,2)</f>
        <v>17.239999999999998</v>
      </c>
      <c r="J112" s="15">
        <f>ROUND(J68/J111,2)</f>
        <v>16.07</v>
      </c>
      <c r="L112" s="15">
        <f>ROUND(L68/L111,2)</f>
        <v>14.29</v>
      </c>
      <c r="N112" s="15">
        <f>ROUND(N68/N111,2)</f>
        <v>13.55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0" orientation="portrait" r:id="rId1"/>
  <headerFooter alignWithMargins="0"/>
  <rowBreaks count="1" manualBreakCount="1">
    <brk id="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2"/>
  <sheetViews>
    <sheetView zoomScale="85" zoomScaleNormal="8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5546875" bestFit="1" customWidth="1"/>
    <col min="5" max="5" width="3.71875" customWidth="1"/>
    <col min="6" max="6" width="10.5546875" bestFit="1" customWidth="1"/>
    <col min="7" max="7" width="3.71875" customWidth="1"/>
    <col min="8" max="8" width="10.5546875" bestFit="1" customWidth="1"/>
    <col min="9" max="9" width="3.71875" customWidth="1"/>
    <col min="10" max="10" width="10.5546875" bestFit="1" customWidth="1"/>
    <col min="11" max="11" width="3.71875" customWidth="1"/>
    <col min="12" max="12" width="10.5546875" bestFit="1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9" t="str">
        <f>A54</f>
        <v>NISOURCE INC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4">
      <c r="A3" s="45" t="str">
        <f>'Page 1'!A3:N3</f>
        <v>2017-2021, Inclusive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8" t="s">
        <v>18</v>
      </c>
      <c r="E6" s="48"/>
      <c r="F6" s="48"/>
      <c r="G6" s="48"/>
      <c r="H6" s="48"/>
      <c r="I6" s="48"/>
      <c r="J6" s="48"/>
      <c r="K6" s="48"/>
      <c r="L6" s="48"/>
    </row>
    <row r="7" spans="1:15" x14ac:dyDescent="0.4">
      <c r="A7" t="s">
        <v>1</v>
      </c>
    </row>
    <row r="8" spans="1:15" x14ac:dyDescent="0.4">
      <c r="B8" t="s">
        <v>6</v>
      </c>
      <c r="D8" s="37">
        <f>D78+D79+D81-D103</f>
        <v>16641.199999999997</v>
      </c>
      <c r="F8" s="37">
        <f>F78+F79+F81-F103</f>
        <v>15237.599999999999</v>
      </c>
      <c r="H8" s="37">
        <f>H78+H79+H81-H103</f>
        <v>13948.9</v>
      </c>
      <c r="J8" s="37">
        <f>J78+J79+J81-J103</f>
        <v>12943.5</v>
      </c>
      <c r="L8" s="37">
        <f>L78+L79+L81-L103</f>
        <v>12159.999999999998</v>
      </c>
    </row>
    <row r="9" spans="1:15" x14ac:dyDescent="0.4">
      <c r="B9" t="s">
        <v>5</v>
      </c>
      <c r="D9" s="11">
        <f>D80</f>
        <v>560</v>
      </c>
      <c r="F9" s="11">
        <f>F80</f>
        <v>503</v>
      </c>
      <c r="H9" s="11">
        <f>H80</f>
        <v>1773.2</v>
      </c>
      <c r="J9" s="11">
        <f>J80</f>
        <v>1977.2</v>
      </c>
      <c r="L9" s="11">
        <f>L80</f>
        <v>1205.7</v>
      </c>
    </row>
    <row r="10" spans="1:15" ht="15.4" thickBot="1" x14ac:dyDescent="0.45">
      <c r="B10" t="s">
        <v>7</v>
      </c>
      <c r="D10" s="12">
        <f>D8+D9</f>
        <v>17201.199999999997</v>
      </c>
      <c r="F10" s="12">
        <f>F8+F9</f>
        <v>15740.599999999999</v>
      </c>
      <c r="H10" s="12">
        <f>H8+H9</f>
        <v>15722.1</v>
      </c>
      <c r="J10" s="12">
        <f>J8+J9</f>
        <v>14920.7</v>
      </c>
      <c r="L10" s="12">
        <f>L8+L9</f>
        <v>13365.699999999999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73</v>
      </c>
      <c r="D13" s="32">
        <f>ROUND(AVERAGE(D108:D109)/D105,0)</f>
        <v>18</v>
      </c>
      <c r="E13" s="7" t="s">
        <v>3</v>
      </c>
      <c r="F13" s="32"/>
      <c r="G13" s="7" t="s">
        <v>3</v>
      </c>
      <c r="H13" s="32">
        <f>ROUND(AVERAGE(H108:H109)/H105,0)</f>
        <v>31</v>
      </c>
      <c r="I13" s="7" t="s">
        <v>3</v>
      </c>
      <c r="J13" s="32"/>
      <c r="K13" s="7" t="s">
        <v>3</v>
      </c>
      <c r="L13" s="32"/>
      <c r="M13" s="7" t="s">
        <v>3</v>
      </c>
      <c r="N13" s="33">
        <f>AVERAGE(D13,F13,H13,J13,L13)</f>
        <v>24.5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1.899</v>
      </c>
      <c r="E14" s="3"/>
      <c r="F14" s="3">
        <f>ROUND(AVERAGE(F108:F109)/AVERAGE(F112,H112),3)</f>
        <v>1.9390000000000001</v>
      </c>
      <c r="G14" s="3"/>
      <c r="H14" s="3">
        <f>ROUND(AVERAGE(H108:H109)/AVERAGE(H112,J112),3)</f>
        <v>2.0939999999999999</v>
      </c>
      <c r="I14" s="3"/>
      <c r="J14" s="3">
        <f>ROUND(AVERAGE(J108:J109)/AVERAGE(J112,L112),3)</f>
        <v>1.952</v>
      </c>
      <c r="K14" s="3"/>
      <c r="L14" s="3">
        <f>ROUND(AVERAGE(L108:L109)/AVERAGE(L112,N112),3)</f>
        <v>1.944</v>
      </c>
      <c r="M14" s="3"/>
      <c r="N14" s="6">
        <f>AVERAGE(D14,F14,H14,J14,L14)</f>
        <v>1.9655999999999998</v>
      </c>
    </row>
    <row r="15" spans="1:15" x14ac:dyDescent="0.4">
      <c r="B15" t="s">
        <v>9</v>
      </c>
      <c r="D15" s="3">
        <f>ROUND(D106/AVERAGE(D108:D109),3)</f>
        <v>3.5999999999999997E-2</v>
      </c>
      <c r="E15" s="3"/>
      <c r="F15" s="3">
        <f>ROUND(F106/AVERAGE(F108:F109),3)</f>
        <v>3.4000000000000002E-2</v>
      </c>
      <c r="G15" s="3"/>
      <c r="H15" s="3">
        <f>ROUND(H106/AVERAGE(H108:H109),3)</f>
        <v>2.9000000000000001E-2</v>
      </c>
      <c r="I15" s="3"/>
      <c r="J15" s="3">
        <f>ROUND(J106/AVERAGE(J108:J109),3)</f>
        <v>3.1E-2</v>
      </c>
      <c r="K15" s="3"/>
      <c r="L15" s="3">
        <f>ROUND(L106/AVERAGE(L108:L109),3)</f>
        <v>2.8000000000000001E-2</v>
      </c>
      <c r="M15" s="3"/>
      <c r="N15" s="6">
        <f>AVERAGE(D15,F15,H15,J15,L15)</f>
        <v>3.1600000000000003E-2</v>
      </c>
    </row>
    <row r="16" spans="1:15" x14ac:dyDescent="0.4">
      <c r="B16" t="s">
        <v>10</v>
      </c>
      <c r="D16" s="3">
        <f>ROUND(D96/D66,3)</f>
        <v>0.65200000000000002</v>
      </c>
      <c r="E16" s="3"/>
      <c r="F16" s="3"/>
      <c r="G16" s="3"/>
      <c r="H16" s="3">
        <f>ROUND(H96/H66,3)</f>
        <v>0.91</v>
      </c>
      <c r="I16" s="3"/>
      <c r="J16" s="3"/>
      <c r="K16" s="3"/>
      <c r="L16" s="3"/>
      <c r="M16" s="3"/>
      <c r="N16" s="6">
        <f>AVERAGE(D16,F16,H16,J16,L16)</f>
        <v>0.78100000000000003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4" t="s">
        <v>77</v>
      </c>
      <c r="D20" s="3">
        <f>ROUND((+D76+D79)/D8,3)</f>
        <v>0.55500000000000005</v>
      </c>
      <c r="E20" s="3"/>
      <c r="F20" s="3">
        <f>ROUND((+F76+F79)/F8,3)</f>
        <v>0.60699999999999998</v>
      </c>
      <c r="G20" s="3"/>
      <c r="H20" s="3">
        <f>ROUND((+H76+H79)/H8,3)</f>
        <v>0.56399999999999995</v>
      </c>
      <c r="I20" s="3"/>
      <c r="J20" s="3">
        <f>ROUND((+J76+J79)/J8,3)</f>
        <v>0.55300000000000005</v>
      </c>
      <c r="K20" s="3"/>
      <c r="L20" s="3">
        <f>ROUND((+L76+L79)/L8,3)</f>
        <v>0.64100000000000001</v>
      </c>
      <c r="M20" s="3"/>
      <c r="N20" s="6">
        <f>AVERAGE(D20,F20,H20,J20,L20)</f>
        <v>0.58399999999999996</v>
      </c>
    </row>
    <row r="21" spans="1:14" x14ac:dyDescent="0.4">
      <c r="B21" s="34" t="s">
        <v>78</v>
      </c>
      <c r="D21" s="3">
        <f>ROUND((SUM(D69:D75)+D81)/D8,3)</f>
        <v>0.112</v>
      </c>
      <c r="E21" s="3"/>
      <c r="F21" s="3">
        <f>ROUND((SUM(F69:F75)+F81)/F8,3)</f>
        <v>6.3E-2</v>
      </c>
      <c r="G21" s="3"/>
      <c r="H21" s="3">
        <f>ROUND((SUM(H69:H75)+H81)/H8,3)</f>
        <v>6.3E-2</v>
      </c>
      <c r="I21" s="3"/>
      <c r="J21" s="3">
        <f>ROUND((SUM(J69:J75)+J81)/J8,3)</f>
        <v>6.8000000000000005E-2</v>
      </c>
      <c r="K21" s="3"/>
      <c r="L21" s="3">
        <f>ROUND((SUM(L69:L75)+L81)/L8,3)</f>
        <v>0</v>
      </c>
      <c r="M21" s="3"/>
      <c r="N21" s="6">
        <f>AVERAGE(D21,F21,H21,J21,L21)</f>
        <v>6.1199999999999997E-2</v>
      </c>
    </row>
    <row r="22" spans="1:14" ht="17.25" x14ac:dyDescent="0.4">
      <c r="B22" s="35" t="s">
        <v>79</v>
      </c>
      <c r="D22" s="4">
        <f>ROUND((D68-D103)/D8,3)</f>
        <v>0.33200000000000002</v>
      </c>
      <c r="E22" s="3"/>
      <c r="F22" s="4">
        <f>ROUND((F68-F103)/F8,3)</f>
        <v>0.33</v>
      </c>
      <c r="G22" s="3"/>
      <c r="H22" s="4">
        <f>ROUND((H68-H103)/H8,3)</f>
        <v>0.373</v>
      </c>
      <c r="I22" s="3"/>
      <c r="J22" s="4">
        <f>ROUND((J68-J103)/J8,3)</f>
        <v>0.379</v>
      </c>
      <c r="K22" s="3"/>
      <c r="L22" s="4">
        <f>ROUND((L68-L103)/L8,3)</f>
        <v>0.35899999999999999</v>
      </c>
      <c r="M22" s="3"/>
      <c r="N22" s="8">
        <f>AVERAGE(D22,F22,H22,J22,L22)</f>
        <v>0.35460000000000003</v>
      </c>
    </row>
    <row r="23" spans="1:14" ht="15.4" thickBot="1" x14ac:dyDescent="0.45">
      <c r="D23" s="5">
        <f>SUM(D20:D22)</f>
        <v>0.99900000000000011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9">
        <f>AVERAGE(D23,F23,H23,J23,L23)</f>
        <v>0.99980000000000013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4" t="s">
        <v>80</v>
      </c>
      <c r="D25" s="3">
        <f>ROUND((+D76+D79+D80)/D10,3)</f>
        <v>0.56999999999999995</v>
      </c>
      <c r="E25" s="3"/>
      <c r="F25" s="3">
        <f>ROUND((+F76+F79+F80)/F10,3)</f>
        <v>0.61899999999999999</v>
      </c>
      <c r="G25" s="3"/>
      <c r="H25" s="3">
        <f>ROUND((+H76+H79+H80)/H10,3)</f>
        <v>0.61299999999999999</v>
      </c>
      <c r="I25" s="3"/>
      <c r="J25" s="3">
        <f>ROUND((+J76+J79+J80)/J10,3)</f>
        <v>0.61199999999999999</v>
      </c>
      <c r="K25" s="3"/>
      <c r="L25" s="3">
        <f>ROUND((+L76+L79+L80)/L10,3)</f>
        <v>0.67400000000000004</v>
      </c>
      <c r="M25" s="3"/>
      <c r="N25" s="6">
        <f>AVERAGE(D25,F25,H25,J25,L25)</f>
        <v>0.61760000000000004</v>
      </c>
    </row>
    <row r="26" spans="1:14" x14ac:dyDescent="0.4">
      <c r="B26" s="34" t="s">
        <v>78</v>
      </c>
      <c r="D26" s="3">
        <f>ROUND((SUM(D69:D75)+D81)/D10,3)</f>
        <v>0.109</v>
      </c>
      <c r="E26" s="3"/>
      <c r="F26" s="3">
        <f>ROUND((SUM(F69:F75)+F81)/F10,3)</f>
        <v>6.0999999999999999E-2</v>
      </c>
      <c r="G26" s="3"/>
      <c r="H26" s="3">
        <f>ROUND((SUM(H69:H75)+H81)/H10,3)</f>
        <v>5.6000000000000001E-2</v>
      </c>
      <c r="I26" s="3"/>
      <c r="J26" s="3">
        <f>ROUND((SUM(J69:J75)+J81)/J10,3)</f>
        <v>5.8999999999999997E-2</v>
      </c>
      <c r="K26" s="3"/>
      <c r="L26" s="3">
        <f>ROUND((SUM(L69:L75)+L81)/L10,3)</f>
        <v>0</v>
      </c>
      <c r="M26" s="3"/>
      <c r="N26" s="6">
        <f>AVERAGE(D26,F26,H26,J26,L26)</f>
        <v>5.6999999999999995E-2</v>
      </c>
    </row>
    <row r="27" spans="1:14" ht="17.25" x14ac:dyDescent="0.4">
      <c r="B27" s="35" t="s">
        <v>79</v>
      </c>
      <c r="D27" s="4">
        <f>ROUND((D68-D103)/D10,3)</f>
        <v>0.32100000000000001</v>
      </c>
      <c r="E27" s="3"/>
      <c r="F27" s="4">
        <f>ROUND((F68-F103)/F10,3)</f>
        <v>0.31900000000000001</v>
      </c>
      <c r="G27" s="3"/>
      <c r="H27" s="4">
        <f>ROUND((H68-H103)/H10,3)</f>
        <v>0.33100000000000002</v>
      </c>
      <c r="I27" s="3"/>
      <c r="J27" s="4">
        <f>ROUND((J68-J103)/J10,3)</f>
        <v>0.32900000000000001</v>
      </c>
      <c r="K27" s="3"/>
      <c r="L27" s="4">
        <f>ROUND((L68-L103)/L10,3)</f>
        <v>0.32600000000000001</v>
      </c>
      <c r="M27" s="3"/>
      <c r="N27" s="8">
        <f>AVERAGE(D27,F27,H27,J27,L27)</f>
        <v>0.32520000000000004</v>
      </c>
    </row>
    <row r="28" spans="1:14" ht="15.4" thickBot="1" x14ac:dyDescent="0.45">
      <c r="D28" s="5">
        <f>SUM(D25:D27)</f>
        <v>1</v>
      </c>
      <c r="E28" s="3"/>
      <c r="F28" s="5">
        <f>SUM(F25:F27)</f>
        <v>0.99899999999999989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9">
        <f>AVERAGE(D28,F28,H28,J28,L28)</f>
        <v>0.99979999999999991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6" t="s">
        <v>81</v>
      </c>
      <c r="D30" s="3">
        <f>ROUND(+D66/(((D68-D103)+(F68-F103))/2),3)</f>
        <v>0.1</v>
      </c>
      <c r="E30" s="3"/>
      <c r="F30" s="3"/>
      <c r="G30" s="3"/>
      <c r="H30" s="3">
        <f>ROUND(+H66/(((H68-H103)+(J68-J103))/2),3)</f>
        <v>6.5000000000000002E-2</v>
      </c>
      <c r="I30" s="3"/>
      <c r="J30" s="3"/>
      <c r="K30" s="3"/>
      <c r="L30" s="3">
        <f>ROUND(+L66/(((L68-L103)+(N68-N103))/2),3)</f>
        <v>0.03</v>
      </c>
      <c r="M30" s="3"/>
      <c r="N30" s="6">
        <f>AVERAGE(D30,F30,H30,J30,L30)</f>
        <v>6.5000000000000002E-2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6" t="s">
        <v>82</v>
      </c>
      <c r="D32" s="3">
        <f>ROUND((+D58-D57)/D56,3)</f>
        <v>0.79400000000000004</v>
      </c>
      <c r="E32" s="3"/>
      <c r="F32" s="3">
        <f>ROUND((+F58-F57)/F56,3)</f>
        <v>0.88200000000000001</v>
      </c>
      <c r="G32" s="3"/>
      <c r="H32" s="3">
        <f>ROUND((+H58-H57)/H56,3)</f>
        <v>0.82899999999999996</v>
      </c>
      <c r="I32" s="3"/>
      <c r="J32" s="3">
        <f>ROUND((+J58-J57)/J56,3)</f>
        <v>0.81299999999999994</v>
      </c>
      <c r="K32" s="3"/>
      <c r="L32" s="3">
        <f>ROUND((+L58-L57)/L56,3)</f>
        <v>0.80900000000000005</v>
      </c>
      <c r="M32" s="3"/>
      <c r="N32" s="6">
        <f>AVERAGE(D32,F32,H32,J32,L32)</f>
        <v>0.82539999999999991</v>
      </c>
    </row>
    <row r="34" spans="1:15" ht="17.25" x14ac:dyDescent="0.4">
      <c r="A34" s="36" t="s">
        <v>83</v>
      </c>
    </row>
    <row r="35" spans="1:15" x14ac:dyDescent="0.4">
      <c r="B35" t="s">
        <v>13</v>
      </c>
      <c r="D35" s="7">
        <f>ROUND(((+D66+D65+D64+D63+D61+D59+D57)/D61),2)</f>
        <v>3.06</v>
      </c>
      <c r="E35" s="7" t="s">
        <v>3</v>
      </c>
      <c r="F35" s="7">
        <f>ROUND(((+F66+F65+F64+F63+F61+F59+F57)/F61),2)</f>
        <v>0.91</v>
      </c>
      <c r="G35" s="7" t="s">
        <v>3</v>
      </c>
      <c r="H35" s="7">
        <f>ROUND(((+H66+H65+H64+H63+H61+H59+H57)/H61),2)</f>
        <v>2.34</v>
      </c>
      <c r="I35" s="7" t="s">
        <v>3</v>
      </c>
      <c r="J35" s="7">
        <f>ROUND(((+J66+J65+J64+J63+J61+J59+J57)/J61),2)</f>
        <v>0.36</v>
      </c>
      <c r="K35" s="7" t="s">
        <v>3</v>
      </c>
      <c r="L35" s="7">
        <f>ROUND(((+L66+L65+L64+L63+L61+L59+L57)/L61),2)</f>
        <v>2.23</v>
      </c>
      <c r="M35" s="7" t="s">
        <v>3</v>
      </c>
      <c r="N35" s="27">
        <f>AVERAGE(D35,F35,H35,J35,L35)</f>
        <v>1.78</v>
      </c>
      <c r="O35" t="s">
        <v>3</v>
      </c>
    </row>
    <row r="36" spans="1:15" x14ac:dyDescent="0.4">
      <c r="B36" t="s">
        <v>21</v>
      </c>
      <c r="D36" s="7">
        <f>ROUND(((+D66+D65+D64+D63+D61)/(D61)),2)</f>
        <v>2.71</v>
      </c>
      <c r="E36" s="7" t="s">
        <v>3</v>
      </c>
      <c r="F36" s="7">
        <f>ROUND(((+F66+F65+F64+F63+F61)/(F61)),2)</f>
        <v>0.95</v>
      </c>
      <c r="G36" s="7" t="s">
        <v>3</v>
      </c>
      <c r="H36" s="7">
        <f>ROUND(((+H66+H65+H64+H63+H61)/(H61)),2)</f>
        <v>2.0099999999999998</v>
      </c>
      <c r="I36" s="7" t="s">
        <v>3</v>
      </c>
      <c r="J36" s="7">
        <f>ROUND(((+J66+J65+J64+J63+J61)/(J61)),2)</f>
        <v>0.86</v>
      </c>
      <c r="K36" s="7" t="s">
        <v>3</v>
      </c>
      <c r="L36" s="7">
        <f>ROUND(((+L66+L65+L64+L63+L61)/(L61)),2)</f>
        <v>1.36</v>
      </c>
      <c r="M36" s="7" t="s">
        <v>3</v>
      </c>
      <c r="N36" s="27">
        <f>AVERAGE(D36,F36,H36,J36,L36)</f>
        <v>1.5780000000000001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2.34</v>
      </c>
      <c r="E37" s="7" t="s">
        <v>3</v>
      </c>
      <c r="F37" s="7">
        <f>ROUND(((+F66+F65+F64+F63+F61)/(F61+F63+F64+F65)),2)</f>
        <v>0.83</v>
      </c>
      <c r="G37" s="7" t="s">
        <v>3</v>
      </c>
      <c r="H37" s="7">
        <f>ROUND(((+H66+H65+H64+H63+H61)/(H61+H63+H64+H65)),2)</f>
        <v>1.76</v>
      </c>
      <c r="I37" s="7" t="s">
        <v>3</v>
      </c>
      <c r="J37" s="7">
        <f>ROUND(((+J66+J65+J64+J63+J61)/(J61+J63+J64+J65)),2)</f>
        <v>0.83</v>
      </c>
      <c r="K37" s="7" t="s">
        <v>3</v>
      </c>
      <c r="L37" s="7">
        <f>ROUND(((+L66+L65+L64+L63+L61)/(L61+L63+L64+L65)),2)</f>
        <v>1.36</v>
      </c>
      <c r="M37" s="7" t="s">
        <v>3</v>
      </c>
      <c r="N37" s="27">
        <f>AVERAGE(D37,F37,H37,J37,L37)</f>
        <v>1.4239999999999999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6" t="s">
        <v>84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3.01</v>
      </c>
      <c r="E40" s="7" t="s">
        <v>3</v>
      </c>
      <c r="F40" s="7">
        <f>ROUND(((+F66+F65+F64+F63-F62+F61+F59+F57)/F61),2)</f>
        <v>0.86</v>
      </c>
      <c r="G40" s="7" t="s">
        <v>3</v>
      </c>
      <c r="H40" s="7">
        <f>ROUND(((+H66+H65+H64+H63-H62+H61+H59+H57)/H61),2)</f>
        <v>2.2999999999999998</v>
      </c>
      <c r="I40" s="7" t="s">
        <v>3</v>
      </c>
      <c r="J40" s="7">
        <f>ROUND(((+J66+J65+J64+J63-J62+J61+J59+J57)/J61),2)</f>
        <v>0.3</v>
      </c>
      <c r="K40" s="7" t="s">
        <v>3</v>
      </c>
      <c r="L40" s="7">
        <f>ROUND(((+L66+L65+L64+L63-L62+L61+L59+L57)/L61),2)</f>
        <v>2.1800000000000002</v>
      </c>
      <c r="M40" s="7" t="s">
        <v>3</v>
      </c>
      <c r="N40" s="27">
        <f>AVERAGE(D40,F40,H40,J40,L40)</f>
        <v>1.73</v>
      </c>
      <c r="O40" t="s">
        <v>3</v>
      </c>
    </row>
    <row r="41" spans="1:15" x14ac:dyDescent="0.4">
      <c r="B41" t="s">
        <v>21</v>
      </c>
      <c r="D41" s="7">
        <f>ROUND(((+D66+D65+D64+D63-D62+D61)/D61),2)</f>
        <v>2.66</v>
      </c>
      <c r="E41" s="7" t="s">
        <v>3</v>
      </c>
      <c r="F41" s="7">
        <f>ROUND(((+F66+F65+F64+F63-F62+F61)/F61),2)</f>
        <v>0.91</v>
      </c>
      <c r="G41" s="7" t="s">
        <v>3</v>
      </c>
      <c r="H41" s="7">
        <f>ROUND(((+H66+H65+H64+H63-H62+H61)/H61),2)</f>
        <v>1.97</v>
      </c>
      <c r="I41" s="7" t="s">
        <v>3</v>
      </c>
      <c r="J41" s="7">
        <f>ROUND(((+J66+J65+J64+J63-J62+J61)/J61),2)</f>
        <v>0.8</v>
      </c>
      <c r="K41" s="7" t="s">
        <v>3</v>
      </c>
      <c r="L41" s="7">
        <f>ROUND(((+L66+L65+L64+L63-L62+L61)/L61),2)</f>
        <v>1.31</v>
      </c>
      <c r="M41" s="7" t="s">
        <v>3</v>
      </c>
      <c r="N41" s="27">
        <f>AVERAGE(D41,F41,H41,J41,L41)</f>
        <v>1.53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2.29</v>
      </c>
      <c r="E42" s="7" t="s">
        <v>3</v>
      </c>
      <c r="F42" s="7">
        <f>ROUND(((+F66+F65+F64+F63-F62+F61)/(F61+F63+F64+F65)),2)</f>
        <v>0.79</v>
      </c>
      <c r="G42" s="7" t="s">
        <v>3</v>
      </c>
      <c r="H42" s="7">
        <f>ROUND(((+H66+H65+H64+H63-H62+H61)/(H61+H63+H64+H65)),2)</f>
        <v>1.72</v>
      </c>
      <c r="I42" s="7" t="s">
        <v>3</v>
      </c>
      <c r="J42" s="7">
        <f>ROUND(((+J66+J65+J64+J63-J62+J61)/(J61+J63+J64+J65)),2)</f>
        <v>0.76</v>
      </c>
      <c r="K42" s="7" t="s">
        <v>3</v>
      </c>
      <c r="L42" s="7">
        <f>ROUND(((+L66+L65+L64+L63-L62+L61)/(L61+L63+L64+L65)),2)</f>
        <v>1.31</v>
      </c>
      <c r="M42" s="7" t="s">
        <v>3</v>
      </c>
      <c r="N42" s="27">
        <f>AVERAGE(D42,F42,H42,J42,L42)</f>
        <v>1.3739999999999999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3">
        <f>ROUND(D62/D66,3)</f>
        <v>3.3000000000000002E-2</v>
      </c>
      <c r="E45" s="13"/>
      <c r="F45" s="13"/>
      <c r="G45" s="13"/>
      <c r="H45" s="13">
        <f>ROUND(H62/H66,3)</f>
        <v>4.7E-2</v>
      </c>
      <c r="I45" s="13"/>
      <c r="J45" s="13"/>
      <c r="K45" s="13"/>
      <c r="L45" s="13">
        <f>ROUND(L62/L66,3)</f>
        <v>0.14599999999999999</v>
      </c>
      <c r="M45" s="13"/>
      <c r="N45" s="6">
        <f t="shared" ref="N45:N50" si="0">AVERAGE(D45,F45,H45,J45,L45)</f>
        <v>7.5333333333333322E-2</v>
      </c>
    </row>
    <row r="46" spans="1:15" x14ac:dyDescent="0.4">
      <c r="B46" t="s">
        <v>17</v>
      </c>
      <c r="D46" s="17">
        <f>ROUND((D57+D59)/(D57+D59+D66+D63+D64+D65),3)</f>
        <v>0.16800000000000001</v>
      </c>
      <c r="E46" s="18"/>
      <c r="F46" s="17">
        <f>ROUND((F57+F59)/(F57+F59+F66+F63+F64+F65),3)</f>
        <v>0.49299999999999999</v>
      </c>
      <c r="G46" s="18"/>
      <c r="H46" s="17">
        <f>ROUND((H57+H59)/(H57+H59+H66+H63+H64+H65),3)</f>
        <v>0.24399999999999999</v>
      </c>
      <c r="I46" s="18"/>
      <c r="J46" s="17">
        <f>ROUND((J57+J59)/(J57+J59+J66+J63+J64+J65),3)</f>
        <v>0.78100000000000003</v>
      </c>
      <c r="K46" s="18"/>
      <c r="L46" s="17">
        <f>ROUND((L57+L59)/(L57+L59+L66+L63+L64+L65),3)</f>
        <v>0.71</v>
      </c>
      <c r="M46" s="18"/>
      <c r="N46" s="6">
        <f t="shared" si="0"/>
        <v>0.47919999999999996</v>
      </c>
    </row>
    <row r="47" spans="1:15" ht="17.25" x14ac:dyDescent="0.4">
      <c r="B47" s="36" t="s">
        <v>85</v>
      </c>
      <c r="D47" s="13">
        <f>ROUND(((+D82+D83+D84+D85+D86-D87+D88-D90-D91)/(+D89-D87)),3)</f>
        <v>0.58699999999999997</v>
      </c>
      <c r="E47" s="14"/>
      <c r="F47" s="13">
        <f>ROUND(((+F82+F83+F84+F85+F86-F87+F88-F90-F91)/(+F89-F87)),3)</f>
        <v>0.56399999999999995</v>
      </c>
      <c r="G47" s="14"/>
      <c r="H47" s="13">
        <f>ROUND(((+H82+H83+H84+H85+H86-H87+H88-H90-H91)/(+H89-H87)),3)</f>
        <v>0.72699999999999998</v>
      </c>
      <c r="I47" s="14"/>
      <c r="J47" s="13">
        <f>ROUND(((+J82+J83+J84+J85+J86-J87+J88-J90-J91)/(+J89-J87)),3)</f>
        <v>0.08</v>
      </c>
      <c r="K47" s="14"/>
      <c r="L47" s="13">
        <f>ROUND(((+L82+L83+L84+L85+L86-L87+L88-L90-L91)/(+L89-L87)),3)</f>
        <v>0.54800000000000004</v>
      </c>
      <c r="M47" s="14"/>
      <c r="N47" s="6">
        <f t="shared" si="0"/>
        <v>0.50119999999999998</v>
      </c>
    </row>
    <row r="48" spans="1:15" ht="17.25" x14ac:dyDescent="0.4">
      <c r="B48" s="36" t="s">
        <v>86</v>
      </c>
      <c r="D48" s="13">
        <f>ROUND(((+D82+D83+D84+D85+D86-D87+D88)/(AVERAGE(D76,F76)+AVERAGE(D79,F79)+AVERAGE(D80,F80))),3)</f>
        <v>0.151</v>
      </c>
      <c r="E48" s="14"/>
      <c r="F48" s="13">
        <f>ROUND(((+F82+F83+F84+F85+F86-F87+F88)/(AVERAGE(F76,H76)+AVERAGE(F79,H79)+AVERAGE(F80,H80))),3)</f>
        <v>0.14099999999999999</v>
      </c>
      <c r="G48" s="14"/>
      <c r="H48" s="13">
        <f>ROUND(((+H82+H83+H84+H85+H86-H87+H88)/(AVERAGE(H76,J76)+AVERAGE(H79,J79)+AVERAGE(H80,J80))),3)</f>
        <v>0.17699999999999999</v>
      </c>
      <c r="I48" s="14"/>
      <c r="J48" s="13">
        <f>ROUND(((+J82+J83+J84+J85+J86-J87+J88)/(AVERAGE(J76,L76)+AVERAGE(J79,L79)+AVERAGE(J80,L80))),3)</f>
        <v>4.7E-2</v>
      </c>
      <c r="K48" s="14"/>
      <c r="L48" s="13">
        <f>ROUND(((+L82+L83+L84+L85+L86-L87+L88)/(AVERAGE(L76,N76)+AVERAGE(L79,N79)+AVERAGE(L80,N80))),3)</f>
        <v>0.13700000000000001</v>
      </c>
      <c r="M48" s="14"/>
      <c r="N48" s="6">
        <f t="shared" si="0"/>
        <v>0.13059999999999999</v>
      </c>
    </row>
    <row r="49" spans="1:15" ht="17.25" x14ac:dyDescent="0.4">
      <c r="B49" s="36" t="s">
        <v>87</v>
      </c>
      <c r="D49" s="28">
        <f>ROUND(((+D82+D83+D84+D85+D86-D87+D88+D92)/D61),2)</f>
        <v>5.28</v>
      </c>
      <c r="E49" t="s">
        <v>3</v>
      </c>
      <c r="F49" s="28">
        <f>ROUND(((+F82+F83+F84+F85+F86-F87+F88+F92)/F61),2)</f>
        <v>4.62</v>
      </c>
      <c r="G49" t="s">
        <v>3</v>
      </c>
      <c r="H49" s="28">
        <f>ROUND(((+H82+H83+H84+H85+H86-H87+H88+H92)/H61),2)</f>
        <v>5.3</v>
      </c>
      <c r="I49" t="s">
        <v>3</v>
      </c>
      <c r="J49" s="28">
        <f>ROUND(((+J82+J83+J84+J85+J86-J87+J88+J92)/J61),2)</f>
        <v>2.16</v>
      </c>
      <c r="K49" t="s">
        <v>3</v>
      </c>
      <c r="L49" s="28">
        <f>ROUND(((+L82+L83+L84+L85+L86-L87+L88+L92)/L61),2)</f>
        <v>4.17</v>
      </c>
      <c r="M49" t="s">
        <v>3</v>
      </c>
      <c r="N49" s="29">
        <f t="shared" si="0"/>
        <v>4.306</v>
      </c>
      <c r="O49" t="s">
        <v>3</v>
      </c>
    </row>
    <row r="50" spans="1:15" ht="17.25" x14ac:dyDescent="0.4">
      <c r="B50" s="36" t="s">
        <v>88</v>
      </c>
      <c r="D50" s="28">
        <f>ROUND(((+D82+D83+D84+D85+D86-D87+D88-D91)/+D90),2)</f>
        <v>4.12</v>
      </c>
      <c r="E50" t="s">
        <v>3</v>
      </c>
      <c r="F50" s="28">
        <f>ROUND(((+F82+F83+F84+F85+F86-F87+F88-F91)/+F90),2)</f>
        <v>4.07</v>
      </c>
      <c r="G50" t="s">
        <v>3</v>
      </c>
      <c r="H50" s="28">
        <f>ROUND(((+H82+H83+H84+H85+H86-H87+H88-H91)/+H90),2)</f>
        <v>5.37</v>
      </c>
      <c r="I50" t="s">
        <v>3</v>
      </c>
      <c r="J50" s="28">
        <f>ROUND(((+J82+J83+J84+J85+J86-J87+J88-J91)/+J90),2)</f>
        <v>1.53</v>
      </c>
      <c r="K50" t="s">
        <v>3</v>
      </c>
      <c r="L50" s="28">
        <f>ROUND(((+L82+L83+L84+L85+L86-L87+L88-L91)/+L90),2)</f>
        <v>5.0599999999999996</v>
      </c>
      <c r="M50" t="s">
        <v>3</v>
      </c>
      <c r="N50" s="29">
        <f t="shared" si="0"/>
        <v>4.03</v>
      </c>
      <c r="O50" t="s">
        <v>3</v>
      </c>
    </row>
    <row r="52" spans="1:15" x14ac:dyDescent="0.4">
      <c r="A52" t="s">
        <v>4</v>
      </c>
    </row>
    <row r="53" spans="1:15" x14ac:dyDescent="0.4">
      <c r="D53" s="38"/>
      <c r="F53" s="38"/>
    </row>
    <row r="54" spans="1:15" x14ac:dyDescent="0.4">
      <c r="A54" s="19" t="s">
        <v>104</v>
      </c>
      <c r="B54" s="19"/>
      <c r="C54" s="19"/>
      <c r="D54" s="38"/>
      <c r="E54" s="20"/>
      <c r="F54" s="38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4899.6000000000004</v>
      </c>
      <c r="E56" s="22"/>
      <c r="F56" s="22">
        <v>4681.7</v>
      </c>
      <c r="G56" s="22"/>
      <c r="H56" s="22">
        <v>5208.8999999999996</v>
      </c>
      <c r="I56" s="22"/>
      <c r="J56" s="22">
        <v>5114.5</v>
      </c>
      <c r="K56" s="22"/>
      <c r="L56" s="22">
        <v>4874.6000000000004</v>
      </c>
      <c r="M56" s="22"/>
      <c r="N56" s="22">
        <v>4492.5</v>
      </c>
    </row>
    <row r="57" spans="1:15" x14ac:dyDescent="0.4">
      <c r="A57" s="20" t="s">
        <v>23</v>
      </c>
      <c r="B57" s="20"/>
      <c r="C57" s="20"/>
      <c r="D57" s="22">
        <v>117.8</v>
      </c>
      <c r="E57" s="22"/>
      <c r="F57" s="22">
        <v>-17.100000000000001</v>
      </c>
      <c r="G57" s="22"/>
      <c r="H57" s="22">
        <v>123.5</v>
      </c>
      <c r="I57" s="22"/>
      <c r="J57" s="22">
        <v>-180</v>
      </c>
      <c r="K57" s="22"/>
      <c r="L57" s="22">
        <v>314.5</v>
      </c>
      <c r="M57" s="22"/>
      <c r="N57" s="22">
        <v>182.1</v>
      </c>
    </row>
    <row r="58" spans="1:15" x14ac:dyDescent="0.4">
      <c r="A58" s="20" t="s">
        <v>24</v>
      </c>
      <c r="B58" s="20"/>
      <c r="C58" s="20"/>
      <c r="D58" s="22">
        <f>3892.7+D57</f>
        <v>4010.5</v>
      </c>
      <c r="E58" s="22"/>
      <c r="F58" s="22">
        <f>4130.9+F57</f>
        <v>4113.7999999999993</v>
      </c>
      <c r="G58" s="22"/>
      <c r="H58" s="22">
        <f>4318.2+H57</f>
        <v>4441.7</v>
      </c>
      <c r="I58" s="22"/>
      <c r="J58" s="22">
        <v>3979.2</v>
      </c>
      <c r="K58" s="22"/>
      <c r="L58" s="22">
        <v>4256.8999999999996</v>
      </c>
      <c r="M58" s="22"/>
      <c r="N58" s="22">
        <v>3816.4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1006.9-D57+40.8-3.9</f>
        <v>926</v>
      </c>
      <c r="E60" s="22"/>
      <c r="F60" s="22">
        <f>550.8-F57+32.1-243.5-3.4</f>
        <v>353.1</v>
      </c>
      <c r="G60" s="22"/>
      <c r="H60" s="22">
        <f>890.7-H57-5.2</f>
        <v>762</v>
      </c>
      <c r="I60" s="22"/>
      <c r="J60" s="22">
        <v>302.7</v>
      </c>
      <c r="K60" s="22"/>
      <c r="L60" s="22">
        <v>481.8</v>
      </c>
      <c r="M60" s="22"/>
      <c r="N60" s="22">
        <v>677.6</v>
      </c>
    </row>
    <row r="61" spans="1:15" x14ac:dyDescent="0.4">
      <c r="A61" s="20" t="s">
        <v>27</v>
      </c>
      <c r="B61" s="20"/>
      <c r="C61" s="20"/>
      <c r="D61" s="22">
        <v>341.1</v>
      </c>
      <c r="E61" s="22"/>
      <c r="F61" s="22">
        <v>370.7</v>
      </c>
      <c r="G61" s="22"/>
      <c r="H61" s="22">
        <v>378.9</v>
      </c>
      <c r="I61" s="22"/>
      <c r="J61" s="22">
        <v>362.4</v>
      </c>
      <c r="K61" s="22"/>
      <c r="L61" s="22">
        <v>359.4</v>
      </c>
      <c r="M61" s="22"/>
      <c r="N61" s="22">
        <v>355.1</v>
      </c>
    </row>
    <row r="62" spans="1:15" x14ac:dyDescent="0.4">
      <c r="A62" s="20" t="s">
        <v>28</v>
      </c>
      <c r="B62" s="20"/>
      <c r="C62" s="20"/>
      <c r="D62" s="22">
        <f>13.1+4.6</f>
        <v>17.7</v>
      </c>
      <c r="E62" s="22"/>
      <c r="F62" s="22">
        <f>9.9+7</f>
        <v>16.899999999999999</v>
      </c>
      <c r="G62" s="22"/>
      <c r="H62" s="22">
        <f>8+7.5</f>
        <v>15.5</v>
      </c>
      <c r="I62" s="22"/>
      <c r="J62" s="22">
        <v>23.3</v>
      </c>
      <c r="K62" s="22"/>
      <c r="L62" s="22">
        <v>18.8</v>
      </c>
      <c r="M62" s="22"/>
      <c r="N62" s="22">
        <v>17.2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55.1</v>
      </c>
      <c r="E64" s="22"/>
      <c r="F64" s="22">
        <v>55.1</v>
      </c>
      <c r="G64" s="22"/>
      <c r="H64" s="22">
        <v>55.1</v>
      </c>
      <c r="I64" s="22"/>
      <c r="J64" s="22">
        <v>15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529.79999999999995</v>
      </c>
      <c r="E66" s="22"/>
      <c r="F66" s="22">
        <v>-72.7</v>
      </c>
      <c r="G66" s="22"/>
      <c r="H66" s="22">
        <v>328</v>
      </c>
      <c r="I66" s="22"/>
      <c r="J66" s="22">
        <v>-65.599999999999994</v>
      </c>
      <c r="K66" s="22"/>
      <c r="L66" s="22">
        <v>128.6</v>
      </c>
      <c r="M66" s="22"/>
      <c r="N66" s="22">
        <v>328.1</v>
      </c>
    </row>
    <row r="67" spans="1:14" x14ac:dyDescent="0.4">
      <c r="A67" s="20" t="s">
        <v>33</v>
      </c>
      <c r="B67" s="20"/>
      <c r="C67" s="20"/>
      <c r="D67" s="22">
        <v>1.35</v>
      </c>
      <c r="E67" s="22"/>
      <c r="F67" s="22">
        <v>-0.19</v>
      </c>
      <c r="G67" s="22"/>
      <c r="H67" s="22">
        <v>0.88</v>
      </c>
      <c r="I67" s="22"/>
      <c r="J67" s="22">
        <v>-0.18</v>
      </c>
      <c r="K67" s="22"/>
      <c r="L67" s="22">
        <v>0.39</v>
      </c>
      <c r="M67" s="22"/>
      <c r="N67" s="22">
        <v>1.02</v>
      </c>
    </row>
    <row r="68" spans="1:14" x14ac:dyDescent="0.4">
      <c r="A68" s="20" t="s">
        <v>34</v>
      </c>
      <c r="B68" s="20"/>
      <c r="C68" s="20"/>
      <c r="D68" s="22">
        <f>6947.3-D71</f>
        <v>5400.8</v>
      </c>
      <c r="E68" s="22"/>
      <c r="F68" s="22">
        <f>5752.2-F71</f>
        <v>4872.2</v>
      </c>
      <c r="G68" s="22"/>
      <c r="H68" s="22">
        <f>5986.7-H71</f>
        <v>5106.7</v>
      </c>
      <c r="I68" s="22"/>
      <c r="J68" s="22">
        <v>4870.8999999999996</v>
      </c>
      <c r="K68" s="22"/>
      <c r="L68" s="22">
        <v>4320.1000000000004</v>
      </c>
      <c r="M68" s="22"/>
      <c r="N68" s="22">
        <v>4071.2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1546.5</v>
      </c>
      <c r="E71" s="22"/>
      <c r="F71" s="22">
        <v>880</v>
      </c>
      <c r="G71" s="22"/>
      <c r="H71" s="22">
        <v>880</v>
      </c>
      <c r="I71" s="22"/>
      <c r="J71" s="22">
        <v>880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325.60000000000002</v>
      </c>
      <c r="E75" s="22"/>
      <c r="F75" s="22">
        <v>85.6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9183.4</v>
      </c>
      <c r="E76" s="22"/>
      <c r="F76" s="22">
        <v>9219.7999999999993</v>
      </c>
      <c r="G76" s="22"/>
      <c r="H76" s="22">
        <v>7856.2</v>
      </c>
      <c r="I76" s="22"/>
      <c r="J76" s="22">
        <v>7105.4</v>
      </c>
      <c r="K76" s="22"/>
      <c r="L76" s="22">
        <v>7512.2</v>
      </c>
      <c r="M76" s="22"/>
      <c r="N76" s="22">
        <v>6058.2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16456.3</v>
      </c>
      <c r="E78" s="22"/>
      <c r="F78" s="22">
        <f>SUM(F68:F77)</f>
        <v>15057.599999999999</v>
      </c>
      <c r="G78" s="22"/>
      <c r="H78" s="22">
        <f>SUM(H68:H77)</f>
        <v>13842.9</v>
      </c>
      <c r="I78" s="22"/>
      <c r="J78" s="22">
        <v>12856.3</v>
      </c>
      <c r="K78" s="22"/>
      <c r="L78" s="22">
        <v>11832.3</v>
      </c>
      <c r="M78" s="22"/>
      <c r="N78" s="22">
        <v>10129.4</v>
      </c>
    </row>
    <row r="79" spans="1:14" x14ac:dyDescent="0.4">
      <c r="A79" s="20" t="s">
        <v>45</v>
      </c>
      <c r="B79" s="20"/>
      <c r="C79" s="20"/>
      <c r="D79" s="22">
        <v>58.1</v>
      </c>
      <c r="E79" s="22"/>
      <c r="F79" s="22">
        <v>23.3</v>
      </c>
      <c r="G79" s="22"/>
      <c r="H79" s="22">
        <v>13.4</v>
      </c>
      <c r="I79" s="22"/>
      <c r="J79" s="22">
        <v>50</v>
      </c>
      <c r="K79" s="22"/>
      <c r="L79" s="22">
        <v>284.3</v>
      </c>
      <c r="M79" s="22"/>
      <c r="N79" s="22">
        <v>363.1</v>
      </c>
    </row>
    <row r="80" spans="1:14" x14ac:dyDescent="0.4">
      <c r="A80" s="20" t="s">
        <v>46</v>
      </c>
      <c r="B80" s="20"/>
      <c r="C80" s="20"/>
      <c r="D80" s="22">
        <v>560</v>
      </c>
      <c r="E80" s="22"/>
      <c r="F80" s="22">
        <v>503</v>
      </c>
      <c r="G80" s="22"/>
      <c r="H80" s="22">
        <v>1773.2</v>
      </c>
      <c r="I80" s="22"/>
      <c r="J80" s="22">
        <v>1977.2</v>
      </c>
      <c r="K80" s="22"/>
      <c r="L80" s="22">
        <v>1205.7</v>
      </c>
      <c r="M80" s="22"/>
      <c r="N80" s="22">
        <v>1488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588.79999999999995</v>
      </c>
      <c r="E82" s="22"/>
      <c r="F82" s="22">
        <v>-14.2</v>
      </c>
      <c r="G82" s="22"/>
      <c r="H82" s="22">
        <v>383.1</v>
      </c>
      <c r="I82" s="22"/>
      <c r="J82" s="22">
        <v>-50.6</v>
      </c>
      <c r="K82" s="22"/>
      <c r="L82" s="22">
        <v>128.6</v>
      </c>
      <c r="M82" s="22"/>
      <c r="N82" s="22">
        <v>328.1</v>
      </c>
    </row>
    <row r="83" spans="1:14" x14ac:dyDescent="0.4">
      <c r="A83" s="20" t="s">
        <v>49</v>
      </c>
      <c r="B83" s="20"/>
      <c r="C83" s="20"/>
      <c r="D83" s="22">
        <v>748.4</v>
      </c>
      <c r="E83" s="22"/>
      <c r="F83" s="22">
        <v>725.9</v>
      </c>
      <c r="G83" s="22"/>
      <c r="H83" s="22">
        <v>717.4</v>
      </c>
      <c r="I83" s="22"/>
      <c r="J83" s="22">
        <v>607.1</v>
      </c>
      <c r="K83" s="22"/>
      <c r="L83" s="22">
        <v>577.70000000000005</v>
      </c>
      <c r="M83" s="22"/>
      <c r="N83" s="22">
        <v>554.70000000000005</v>
      </c>
    </row>
    <row r="84" spans="1:14" x14ac:dyDescent="0.4">
      <c r="A84" s="20" t="s">
        <v>50</v>
      </c>
      <c r="B84" s="20"/>
      <c r="C84" s="20"/>
      <c r="D84" s="22">
        <v>0</v>
      </c>
      <c r="E84" s="22"/>
      <c r="F84" s="22">
        <v>9.4</v>
      </c>
      <c r="G84" s="22"/>
      <c r="H84" s="22">
        <v>8.1999999999999993</v>
      </c>
      <c r="I84" s="22"/>
      <c r="J84" s="22">
        <v>0</v>
      </c>
      <c r="K84" s="22"/>
      <c r="L84" s="22">
        <v>0</v>
      </c>
      <c r="M84" s="22"/>
      <c r="N84" s="22">
        <v>0</v>
      </c>
    </row>
    <row r="85" spans="1:14" x14ac:dyDescent="0.4">
      <c r="A85" s="20" t="s">
        <v>51</v>
      </c>
      <c r="B85" s="20"/>
      <c r="C85" s="20"/>
      <c r="D85" s="22">
        <v>111.9</v>
      </c>
      <c r="E85" s="22"/>
      <c r="F85" s="22">
        <v>-29</v>
      </c>
      <c r="G85" s="22"/>
      <c r="H85" s="22">
        <v>118.2</v>
      </c>
      <c r="I85" s="22"/>
      <c r="J85" s="22">
        <v>-187.2</v>
      </c>
      <c r="K85" s="22"/>
      <c r="L85" s="22">
        <v>307.7</v>
      </c>
      <c r="M85" s="22"/>
      <c r="N85" s="22">
        <v>182.3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-1</v>
      </c>
      <c r="K86" s="22"/>
      <c r="L86" s="22">
        <v>-1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9.9</v>
      </c>
      <c r="G87" s="22"/>
      <c r="H87" s="22">
        <v>8</v>
      </c>
      <c r="I87" s="22"/>
      <c r="J87" s="22">
        <v>14.2</v>
      </c>
      <c r="K87" s="22"/>
      <c r="L87" s="22">
        <v>12.6</v>
      </c>
      <c r="M87" s="22"/>
      <c r="N87" s="22">
        <v>11.6</v>
      </c>
    </row>
    <row r="88" spans="1:14" x14ac:dyDescent="0.4">
      <c r="A88" s="20" t="s">
        <v>69</v>
      </c>
      <c r="B88" s="20"/>
      <c r="C88" s="20"/>
      <c r="D88" s="22">
        <f>24.3+5.6-0.7</f>
        <v>29.2</v>
      </c>
      <c r="E88" s="22"/>
      <c r="F88" s="22">
        <f>243.5+17.4+409.8+9.4+0.2</f>
        <v>680.30000000000007</v>
      </c>
      <c r="G88" s="22"/>
      <c r="H88" s="22">
        <f>25.9+414.5-0.9</f>
        <v>439.5</v>
      </c>
      <c r="I88" s="22"/>
      <c r="J88" s="22">
        <v>75.8</v>
      </c>
      <c r="K88" s="22"/>
      <c r="L88" s="22">
        <v>158.1</v>
      </c>
      <c r="M88" s="22"/>
      <c r="N88" s="22">
        <v>42.7</v>
      </c>
    </row>
    <row r="89" spans="1:14" x14ac:dyDescent="0.4">
      <c r="A89" s="20" t="s">
        <v>54</v>
      </c>
      <c r="B89" s="20"/>
      <c r="C89" s="20"/>
      <c r="D89" s="22">
        <v>1838</v>
      </c>
      <c r="E89" s="22"/>
      <c r="F89" s="22">
        <v>1758.1</v>
      </c>
      <c r="G89" s="22"/>
      <c r="H89" s="22">
        <v>1802.4</v>
      </c>
      <c r="I89" s="22"/>
      <c r="J89" s="22">
        <v>1832.4</v>
      </c>
      <c r="K89" s="22"/>
      <c r="L89" s="22">
        <v>1708.4</v>
      </c>
      <c r="M89" s="22"/>
      <c r="N89" s="22">
        <v>1486.8</v>
      </c>
    </row>
    <row r="90" spans="1:14" x14ac:dyDescent="0.4">
      <c r="A90" s="20" t="s">
        <v>55</v>
      </c>
      <c r="B90" s="20"/>
      <c r="C90" s="20"/>
      <c r="D90" s="22">
        <v>345.2</v>
      </c>
      <c r="E90" s="22"/>
      <c r="F90" s="22">
        <v>321.60000000000002</v>
      </c>
      <c r="G90" s="22"/>
      <c r="H90" s="22">
        <v>298.5</v>
      </c>
      <c r="I90" s="22"/>
      <c r="J90" s="22">
        <v>273.3</v>
      </c>
      <c r="K90" s="22"/>
      <c r="L90" s="22">
        <v>229.1</v>
      </c>
      <c r="M90" s="22"/>
      <c r="N90" s="22">
        <v>205.5</v>
      </c>
    </row>
    <row r="91" spans="1:14" x14ac:dyDescent="0.4">
      <c r="A91" s="20" t="s">
        <v>56</v>
      </c>
      <c r="B91" s="20"/>
      <c r="C91" s="20"/>
      <c r="D91" s="22">
        <v>55.1</v>
      </c>
      <c r="E91" s="22"/>
      <c r="F91" s="22">
        <v>55.1</v>
      </c>
      <c r="G91" s="22"/>
      <c r="H91" s="22">
        <v>56.1</v>
      </c>
      <c r="I91" s="22"/>
      <c r="J91" s="22">
        <v>11.6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322.39999999999998</v>
      </c>
      <c r="E92" s="22"/>
      <c r="F92" s="22">
        <v>349</v>
      </c>
      <c r="G92" s="22"/>
      <c r="H92" s="22">
        <v>349.7</v>
      </c>
      <c r="I92" s="22"/>
      <c r="J92" s="22">
        <v>354.2</v>
      </c>
      <c r="K92" s="22"/>
      <c r="L92" s="22">
        <v>339.9</v>
      </c>
      <c r="M92" s="22"/>
      <c r="N92" s="22">
        <v>337.8</v>
      </c>
    </row>
    <row r="93" spans="1:14" x14ac:dyDescent="0.4">
      <c r="A93" s="20" t="s">
        <v>58</v>
      </c>
      <c r="B93" s="20"/>
      <c r="C93" s="20"/>
      <c r="D93" s="22">
        <v>5.4</v>
      </c>
      <c r="E93" s="22"/>
      <c r="F93" s="22">
        <v>-1</v>
      </c>
      <c r="G93" s="22"/>
      <c r="H93" s="22">
        <v>10.8</v>
      </c>
      <c r="I93" s="22"/>
      <c r="J93" s="22">
        <v>3.3</v>
      </c>
      <c r="K93" s="22"/>
      <c r="L93" s="22">
        <v>5.5</v>
      </c>
      <c r="M93" s="22"/>
      <c r="N93" s="22">
        <v>8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345.5</v>
      </c>
      <c r="E96" s="22"/>
      <c r="F96" s="22">
        <v>321.7</v>
      </c>
      <c r="G96" s="22"/>
      <c r="H96" s="22">
        <v>298.5</v>
      </c>
      <c r="I96" s="22"/>
      <c r="J96" s="22">
        <v>273.5</v>
      </c>
      <c r="K96" s="22"/>
      <c r="L96" s="22">
        <v>229.4</v>
      </c>
      <c r="M96" s="22"/>
      <c r="N96" s="22">
        <v>205.7</v>
      </c>
    </row>
    <row r="97" spans="1:14" x14ac:dyDescent="0.4">
      <c r="A97" s="20" t="s">
        <v>60</v>
      </c>
      <c r="B97" s="20"/>
      <c r="C97" s="20"/>
      <c r="D97" s="22">
        <v>0.88</v>
      </c>
      <c r="E97" s="22"/>
      <c r="F97" s="22">
        <v>0.84</v>
      </c>
      <c r="G97" s="22"/>
      <c r="H97" s="22">
        <v>0.8</v>
      </c>
      <c r="I97" s="22"/>
      <c r="J97" s="22">
        <v>0.78</v>
      </c>
      <c r="K97" s="22"/>
      <c r="L97" s="22">
        <v>0.7</v>
      </c>
      <c r="M97" s="22"/>
      <c r="N97" s="22">
        <v>0.64</v>
      </c>
    </row>
    <row r="98" spans="1:14" x14ac:dyDescent="0.4">
      <c r="A98" s="20" t="s">
        <v>61</v>
      </c>
      <c r="B98" s="20"/>
      <c r="C98" s="20"/>
      <c r="D98" s="22">
        <v>0.88</v>
      </c>
      <c r="E98" s="22"/>
      <c r="F98" s="22">
        <v>0.84</v>
      </c>
      <c r="G98" s="22"/>
      <c r="H98" s="22">
        <v>0.8</v>
      </c>
      <c r="I98" s="22"/>
      <c r="J98" s="22">
        <v>0.78</v>
      </c>
      <c r="K98" s="22"/>
      <c r="L98" s="22">
        <v>0.7</v>
      </c>
      <c r="M98" s="22"/>
      <c r="N98" s="22">
        <v>0.64</v>
      </c>
    </row>
    <row r="99" spans="1:14" x14ac:dyDescent="0.4">
      <c r="A99" s="20" t="s">
        <v>62</v>
      </c>
      <c r="B99" s="20"/>
      <c r="C99" s="20"/>
      <c r="D99" s="40">
        <v>27.85</v>
      </c>
      <c r="E99" s="40"/>
      <c r="F99" s="40">
        <v>30.46</v>
      </c>
      <c r="G99" s="40"/>
      <c r="H99" s="40">
        <v>30.67</v>
      </c>
      <c r="I99" s="22"/>
      <c r="J99" s="22">
        <v>28.11</v>
      </c>
      <c r="K99" s="22"/>
      <c r="L99" s="22">
        <v>27.76</v>
      </c>
      <c r="M99" s="22"/>
      <c r="N99" s="22">
        <v>26.94</v>
      </c>
    </row>
    <row r="100" spans="1:14" x14ac:dyDescent="0.4">
      <c r="A100" s="20" t="s">
        <v>63</v>
      </c>
      <c r="B100" s="20"/>
      <c r="C100" s="20"/>
      <c r="D100" s="40">
        <v>21.09</v>
      </c>
      <c r="E100" s="40"/>
      <c r="F100" s="40">
        <v>19.559999999999999</v>
      </c>
      <c r="G100" s="40"/>
      <c r="H100" s="40">
        <v>24.69</v>
      </c>
      <c r="I100" s="22"/>
      <c r="J100" s="22">
        <v>22.44</v>
      </c>
      <c r="K100" s="22"/>
      <c r="L100" s="22">
        <v>21.65</v>
      </c>
      <c r="M100" s="22"/>
      <c r="N100" s="22">
        <v>19.05</v>
      </c>
    </row>
    <row r="101" spans="1:14" x14ac:dyDescent="0.4">
      <c r="A101" s="20" t="s">
        <v>64</v>
      </c>
      <c r="B101" s="20"/>
      <c r="C101" s="20"/>
      <c r="D101" s="42">
        <v>27.61</v>
      </c>
      <c r="E101" s="40"/>
      <c r="F101" s="42">
        <v>22.94</v>
      </c>
      <c r="G101" s="40"/>
      <c r="H101" s="40">
        <v>27.84</v>
      </c>
      <c r="I101" s="22"/>
      <c r="J101" s="22">
        <v>25.35</v>
      </c>
      <c r="K101" s="22"/>
      <c r="L101" s="22">
        <v>25.67</v>
      </c>
      <c r="M101" s="22"/>
      <c r="N101" s="22">
        <v>22.14</v>
      </c>
    </row>
    <row r="102" spans="1:14" x14ac:dyDescent="0.4">
      <c r="A102" s="20" t="s">
        <v>65</v>
      </c>
      <c r="B102" s="20"/>
      <c r="C102" s="20"/>
      <c r="D102" s="22">
        <v>405.303023</v>
      </c>
      <c r="E102" s="22"/>
      <c r="F102" s="22">
        <v>391.76005099999998</v>
      </c>
      <c r="G102" s="22"/>
      <c r="H102" s="22">
        <v>382.13600000000002</v>
      </c>
      <c r="I102" s="22"/>
      <c r="J102" s="22">
        <v>372.363</v>
      </c>
      <c r="K102" s="22"/>
      <c r="L102" s="22">
        <v>337.01600000000002</v>
      </c>
      <c r="M102" s="22"/>
      <c r="N102" s="22">
        <v>323.16000000000003</v>
      </c>
    </row>
    <row r="103" spans="1:14" x14ac:dyDescent="0.4">
      <c r="A103" s="20" t="s">
        <v>76</v>
      </c>
      <c r="B103" s="20"/>
      <c r="C103" s="20"/>
      <c r="D103" s="22">
        <v>-126.8</v>
      </c>
      <c r="E103" s="22"/>
      <c r="F103" s="22">
        <v>-156.69999999999999</v>
      </c>
      <c r="G103" s="22"/>
      <c r="H103" s="22">
        <v>-92.6</v>
      </c>
      <c r="I103" s="22"/>
      <c r="J103" s="22">
        <v>-37.200000000000003</v>
      </c>
      <c r="K103" s="22"/>
      <c r="L103" s="22">
        <v>-43.4</v>
      </c>
      <c r="M103" s="22"/>
      <c r="N103" s="22">
        <v>-25.1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1.35</v>
      </c>
      <c r="F105" s="15">
        <f>F67/F94</f>
        <v>-0.19</v>
      </c>
      <c r="H105" s="15">
        <f>H67/H94</f>
        <v>0.88</v>
      </c>
      <c r="J105" s="15">
        <f>J67/J94</f>
        <v>-0.18</v>
      </c>
      <c r="L105" s="15">
        <f>L67/L94</f>
        <v>0.39</v>
      </c>
      <c r="N105" s="15">
        <f>N67/N94</f>
        <v>1.02</v>
      </c>
    </row>
    <row r="106" spans="1:14" x14ac:dyDescent="0.4">
      <c r="B106" t="s">
        <v>60</v>
      </c>
      <c r="D106" s="15">
        <f>D97/D94</f>
        <v>0.88</v>
      </c>
      <c r="F106" s="15">
        <f>F97/F94</f>
        <v>0.84</v>
      </c>
      <c r="H106" s="15">
        <f>H97/H94</f>
        <v>0.8</v>
      </c>
      <c r="J106" s="15">
        <f>J97/J94</f>
        <v>0.78</v>
      </c>
      <c r="L106" s="15">
        <f>L97/L94</f>
        <v>0.7</v>
      </c>
      <c r="N106" s="15">
        <f>N97/N94</f>
        <v>0.64</v>
      </c>
    </row>
    <row r="107" spans="1:14" x14ac:dyDescent="0.4">
      <c r="B107" t="s">
        <v>61</v>
      </c>
      <c r="D107" s="15">
        <f>D98/D94</f>
        <v>0.88</v>
      </c>
      <c r="F107" s="15">
        <f>F98/F94</f>
        <v>0.84</v>
      </c>
      <c r="H107" s="15">
        <f>H98/H94</f>
        <v>0.8</v>
      </c>
      <c r="J107" s="15">
        <f>J98/J94</f>
        <v>0.78</v>
      </c>
      <c r="L107" s="15">
        <f>L98/L94</f>
        <v>0.7</v>
      </c>
      <c r="N107" s="15">
        <f>N98/N94</f>
        <v>0.64</v>
      </c>
    </row>
    <row r="108" spans="1:14" x14ac:dyDescent="0.4">
      <c r="B108" t="s">
        <v>62</v>
      </c>
      <c r="D108" s="15">
        <f>D99/D94</f>
        <v>27.85</v>
      </c>
      <c r="F108" s="15">
        <f>F99/F94</f>
        <v>30.46</v>
      </c>
      <c r="H108" s="15">
        <f>H99/H94</f>
        <v>30.67</v>
      </c>
      <c r="J108" s="15">
        <f>J99/J94</f>
        <v>28.11</v>
      </c>
      <c r="L108" s="15">
        <f>L99/L94</f>
        <v>27.76</v>
      </c>
      <c r="N108" s="15">
        <f>N99/N94</f>
        <v>26.94</v>
      </c>
    </row>
    <row r="109" spans="1:14" x14ac:dyDescent="0.4">
      <c r="B109" t="s">
        <v>63</v>
      </c>
      <c r="D109" s="15">
        <f>D100/D94</f>
        <v>21.09</v>
      </c>
      <c r="F109" s="15">
        <f>F100/F94</f>
        <v>19.559999999999999</v>
      </c>
      <c r="H109" s="15">
        <f>H100/H94</f>
        <v>24.69</v>
      </c>
      <c r="J109" s="15">
        <f>J100/J94</f>
        <v>22.44</v>
      </c>
      <c r="L109" s="15">
        <f>L100/L94</f>
        <v>21.65</v>
      </c>
      <c r="N109" s="15">
        <f>N100/N94</f>
        <v>19.05</v>
      </c>
    </row>
    <row r="110" spans="1:14" x14ac:dyDescent="0.4">
      <c r="B110" t="s">
        <v>64</v>
      </c>
      <c r="D110" s="15">
        <f>D101/D94</f>
        <v>27.61</v>
      </c>
      <c r="F110" s="15">
        <f>F101/F94</f>
        <v>22.94</v>
      </c>
      <c r="H110" s="15">
        <f>H101/H94</f>
        <v>27.84</v>
      </c>
      <c r="J110" s="15">
        <f>J101/J94</f>
        <v>25.35</v>
      </c>
      <c r="L110" s="15">
        <f>L101/L94</f>
        <v>25.67</v>
      </c>
      <c r="N110" s="15">
        <f>N101/N94</f>
        <v>22.14</v>
      </c>
    </row>
    <row r="111" spans="1:14" x14ac:dyDescent="0.4">
      <c r="B111" t="s">
        <v>65</v>
      </c>
      <c r="D111" s="16">
        <f>D102*D94</f>
        <v>405.303023</v>
      </c>
      <c r="E111" s="16"/>
      <c r="F111" s="16">
        <f>F102*F94</f>
        <v>391.76005099999998</v>
      </c>
      <c r="G111" s="16"/>
      <c r="H111" s="16">
        <f>H102*H94</f>
        <v>382.13600000000002</v>
      </c>
      <c r="I111" s="16"/>
      <c r="J111" s="16">
        <f>J102*J94</f>
        <v>372.363</v>
      </c>
      <c r="K111" s="16"/>
      <c r="L111" s="16">
        <f>L102*L94</f>
        <v>337.01600000000002</v>
      </c>
      <c r="M111" s="16"/>
      <c r="N111" s="16">
        <f>N102*N94</f>
        <v>323.16000000000003</v>
      </c>
    </row>
    <row r="112" spans="1:14" x14ac:dyDescent="0.4">
      <c r="B112" t="s">
        <v>66</v>
      </c>
      <c r="D112" s="15">
        <f>ROUND(D68/D111,2)</f>
        <v>13.33</v>
      </c>
      <c r="F112" s="15">
        <f>ROUND(F68/F111,2)</f>
        <v>12.44</v>
      </c>
      <c r="H112" s="15">
        <f>ROUND(H68/H111,2)</f>
        <v>13.36</v>
      </c>
      <c r="J112" s="15">
        <f>ROUND(J68/J111,2)</f>
        <v>13.08</v>
      </c>
      <c r="L112" s="15">
        <f>ROUND(L68/L111,2)</f>
        <v>12.82</v>
      </c>
      <c r="N112" s="15">
        <f>ROUND(N68/N111,2)</f>
        <v>12.6</v>
      </c>
    </row>
  </sheetData>
  <mergeCells count="4">
    <mergeCell ref="A1:O1"/>
    <mergeCell ref="A2:O2"/>
    <mergeCell ref="A3:O3"/>
    <mergeCell ref="D6:L6"/>
  </mergeCells>
  <pageMargins left="1.25" right="0" top="1.5" bottom="1" header="0.5" footer="0.5"/>
  <pageSetup scale="60" orientation="portrait" r:id="rId1"/>
  <headerFooter alignWithMargins="0"/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3"/>
  <dimension ref="A1:O112"/>
  <sheetViews>
    <sheetView zoomScale="85" zoomScaleNormal="8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21875" customWidth="1"/>
    <col min="5" max="5" width="3.71875" customWidth="1"/>
    <col min="6" max="6" width="10.21875" customWidth="1"/>
    <col min="7" max="7" width="3.71875" customWidth="1"/>
    <col min="8" max="8" width="10.21875" customWidth="1"/>
    <col min="9" max="9" width="3.71875" customWidth="1"/>
    <col min="10" max="10" width="10.21875" customWidth="1"/>
    <col min="11" max="11" width="3.71875" customWidth="1"/>
    <col min="12" max="12" width="10.2187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9" t="str">
        <f>A54</f>
        <v>NORTHWEST NATURAL HLDNG CO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4">
      <c r="A3" s="45" t="str">
        <f>'Page 1'!A3:N3</f>
        <v>2017-2021, Inclusive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8" t="s">
        <v>18</v>
      </c>
      <c r="E6" s="48"/>
      <c r="F6" s="48"/>
      <c r="G6" s="48"/>
      <c r="H6" s="48"/>
      <c r="I6" s="48"/>
      <c r="J6" s="48"/>
      <c r="K6" s="48"/>
      <c r="L6" s="48"/>
    </row>
    <row r="7" spans="1:15" x14ac:dyDescent="0.4">
      <c r="A7" t="s">
        <v>1</v>
      </c>
    </row>
    <row r="8" spans="1:15" x14ac:dyDescent="0.4">
      <c r="B8" t="s">
        <v>6</v>
      </c>
      <c r="D8" s="37">
        <f>D78+D79+D81-D103</f>
        <v>1991.482</v>
      </c>
      <c r="F8" s="37">
        <f>F78+F79+F81-F103</f>
        <v>1857.06</v>
      </c>
      <c r="H8" s="37">
        <f>H78+H79+H81-H103</f>
        <v>1757.796</v>
      </c>
      <c r="J8" s="37">
        <f>J78+J79+J81-J103</f>
        <v>1506.0580000000002</v>
      </c>
      <c r="L8" s="37">
        <f>L78+L79+L81-L103</f>
        <v>1531.1010000000001</v>
      </c>
    </row>
    <row r="9" spans="1:15" x14ac:dyDescent="0.4">
      <c r="B9" t="s">
        <v>5</v>
      </c>
      <c r="D9" s="11">
        <f>D80</f>
        <v>389.5</v>
      </c>
      <c r="F9" s="11">
        <f>F80</f>
        <v>304.52499999999998</v>
      </c>
      <c r="H9" s="11">
        <f>H80</f>
        <v>149.1</v>
      </c>
      <c r="J9" s="11">
        <f>J80</f>
        <v>217.62</v>
      </c>
      <c r="L9" s="11">
        <f>L80</f>
        <v>54.2</v>
      </c>
    </row>
    <row r="10" spans="1:15" ht="15.4" thickBot="1" x14ac:dyDescent="0.45">
      <c r="B10" t="s">
        <v>7</v>
      </c>
      <c r="D10" s="12">
        <f>D8+D9</f>
        <v>2380.982</v>
      </c>
      <c r="F10" s="12">
        <f>F8+F9</f>
        <v>2161.585</v>
      </c>
      <c r="H10" s="12">
        <f>H8+H9</f>
        <v>1906.896</v>
      </c>
      <c r="J10" s="12">
        <f>J8+J9</f>
        <v>1723.6780000000003</v>
      </c>
      <c r="L10" s="12">
        <f>L8+L9</f>
        <v>1585.3010000000002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73</v>
      </c>
      <c r="D13" s="32">
        <f>ROUND(AVERAGE(D108:D109)/D105,0)</f>
        <v>19</v>
      </c>
      <c r="E13" s="7" t="s">
        <v>3</v>
      </c>
      <c r="F13" s="32">
        <f>ROUND(AVERAGE(F108:F109)/F105,0)</f>
        <v>26</v>
      </c>
      <c r="G13" s="7" t="s">
        <v>3</v>
      </c>
      <c r="H13" s="32">
        <f>ROUND(AVERAGE(H108:H109)/H105,0)</f>
        <v>30</v>
      </c>
      <c r="I13" s="7" t="s">
        <v>3</v>
      </c>
      <c r="J13" s="32">
        <f>ROUND(AVERAGE(J108:J109)/J105,0)</f>
        <v>26</v>
      </c>
      <c r="K13" s="7" t="s">
        <v>3</v>
      </c>
      <c r="L13" s="32"/>
      <c r="M13" s="7" t="s">
        <v>3</v>
      </c>
      <c r="N13" s="33">
        <f>AVERAGE(D13,F13,H13,J13,L13)</f>
        <v>25.25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1.6659999999999999</v>
      </c>
      <c r="E14" s="3"/>
      <c r="F14" s="3">
        <f>ROUND(AVERAGE(F108:F109)/AVERAGE(F112,H112),3)</f>
        <v>2.081</v>
      </c>
      <c r="G14" s="3"/>
      <c r="H14" s="3">
        <f>ROUND(AVERAGE(H108:H109)/AVERAGE(H112,J112),3)</f>
        <v>2.395</v>
      </c>
      <c r="I14" s="3"/>
      <c r="J14" s="3">
        <f>ROUND(AVERAGE(J108:J109)/AVERAGE(J112,L112),3)</f>
        <v>2.36</v>
      </c>
      <c r="K14" s="3"/>
      <c r="L14" s="3">
        <f>ROUND(AVERAGE(L108:L109)/AVERAGE(L112,N112),3)</f>
        <v>2.2679999999999998</v>
      </c>
      <c r="M14" s="3"/>
      <c r="N14" s="6">
        <f>AVERAGE(D14,F14,H14,J14,L14)</f>
        <v>2.1539999999999999</v>
      </c>
    </row>
    <row r="15" spans="1:15" x14ac:dyDescent="0.4">
      <c r="B15" t="s">
        <v>9</v>
      </c>
      <c r="D15" s="3">
        <f>ROUND(D106/AVERAGE(D108:D109),3)</f>
        <v>3.9E-2</v>
      </c>
      <c r="E15" s="3"/>
      <c r="F15" s="3">
        <f>ROUND(F106/AVERAGE(F108:F109),3)</f>
        <v>3.2000000000000001E-2</v>
      </c>
      <c r="G15" s="3"/>
      <c r="H15" s="3">
        <f>ROUND(H106/AVERAGE(H108:H109),3)</f>
        <v>2.9000000000000001E-2</v>
      </c>
      <c r="I15" s="3"/>
      <c r="J15" s="3">
        <f>ROUND(J106/AVERAGE(J108:J109),3)</f>
        <v>3.1E-2</v>
      </c>
      <c r="K15" s="3"/>
      <c r="L15" s="3">
        <f>ROUND(L106/AVERAGE(L108:L109),3)</f>
        <v>0.03</v>
      </c>
      <c r="M15" s="3"/>
      <c r="N15" s="6">
        <f>AVERAGE(D15,F15,H15,J15,L15)</f>
        <v>3.2199999999999999E-2</v>
      </c>
    </row>
    <row r="16" spans="1:15" x14ac:dyDescent="0.4">
      <c r="B16" t="s">
        <v>10</v>
      </c>
      <c r="D16" s="3">
        <f>ROUND(D96/D66,3)</f>
        <v>0.755</v>
      </c>
      <c r="E16" s="3"/>
      <c r="F16" s="3">
        <f>ROUND(F96/F66,3)</f>
        <v>0.83499999999999996</v>
      </c>
      <c r="G16" s="3"/>
      <c r="H16" s="3">
        <f>ROUND(H96/H66,3)</f>
        <v>0.87</v>
      </c>
      <c r="I16" s="3"/>
      <c r="J16" s="3">
        <f>ROUND(J96/J66,3)</f>
        <v>0.81299999999999994</v>
      </c>
      <c r="K16" s="3"/>
      <c r="L16" s="3"/>
      <c r="M16" s="3"/>
      <c r="N16" s="6">
        <f>AVERAGE(D16,F16,H16,J16,L16)</f>
        <v>0.81824999999999992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4" t="s">
        <v>77</v>
      </c>
      <c r="D20" s="3">
        <f>ROUND((+D76+D79)/D8,3)</f>
        <v>0.52500000000000002</v>
      </c>
      <c r="E20" s="3"/>
      <c r="F20" s="3">
        <f>ROUND((+F76+F79)/F8,3)</f>
        <v>0.51400000000000001</v>
      </c>
      <c r="G20" s="3"/>
      <c r="H20" s="3">
        <f>ROUND((+H76+H79)/H8,3)</f>
        <v>0.501</v>
      </c>
      <c r="I20" s="3"/>
      <c r="J20" s="3">
        <f>ROUND((+J76+J79)/J8,3)</f>
        <v>0.48899999999999999</v>
      </c>
      <c r="K20" s="3"/>
      <c r="L20" s="3">
        <f>ROUND((+L76+L79)/L8,3)</f>
        <v>0.50900000000000001</v>
      </c>
      <c r="M20" s="3"/>
      <c r="N20" s="6">
        <f>AVERAGE(D20,F20,H20,J20,L20)</f>
        <v>0.50759999999999994</v>
      </c>
    </row>
    <row r="21" spans="1:14" x14ac:dyDescent="0.4">
      <c r="B21" s="34" t="s">
        <v>78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0</v>
      </c>
      <c r="I21" s="3"/>
      <c r="J21" s="3">
        <f>ROUND((SUM(J69:J75)+J81)/J8,3)</f>
        <v>0</v>
      </c>
      <c r="K21" s="3"/>
      <c r="L21" s="3">
        <f>ROUND((SUM(L69:L75)+L81)/L8,3)</f>
        <v>0</v>
      </c>
      <c r="M21" s="3"/>
      <c r="N21" s="6">
        <f>AVERAGE(D21,F21,H21,J21,L21)</f>
        <v>0</v>
      </c>
    </row>
    <row r="22" spans="1:14" ht="17.25" x14ac:dyDescent="0.4">
      <c r="B22" s="35" t="s">
        <v>79</v>
      </c>
      <c r="D22" s="4">
        <f>ROUND((D68-D103)/D8,3)</f>
        <v>0.47499999999999998</v>
      </c>
      <c r="E22" s="3"/>
      <c r="F22" s="4">
        <f>ROUND((F68-F103)/F8,3)</f>
        <v>0.48599999999999999</v>
      </c>
      <c r="G22" s="3"/>
      <c r="H22" s="4">
        <f>ROUND((H68-H103)/H8,3)</f>
        <v>0.499</v>
      </c>
      <c r="I22" s="3"/>
      <c r="J22" s="4">
        <f>ROUND((J68-J103)/J8,3)</f>
        <v>0.51100000000000001</v>
      </c>
      <c r="K22" s="3"/>
      <c r="L22" s="4">
        <f>ROUND((L68-L103)/L8,3)</f>
        <v>0.49099999999999999</v>
      </c>
      <c r="M22" s="3"/>
      <c r="N22" s="8">
        <f>AVERAGE(D22,F22,H22,J22,L22)</f>
        <v>0.49240000000000006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9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4" t="s">
        <v>80</v>
      </c>
      <c r="D25" s="3">
        <f>ROUND((+D76+D79+D80)/D10,3)</f>
        <v>0.60199999999999998</v>
      </c>
      <c r="E25" s="3"/>
      <c r="F25" s="3">
        <f>ROUND((+F76+F79+F80)/F10,3)</f>
        <v>0.58299999999999996</v>
      </c>
      <c r="G25" s="3"/>
      <c r="H25" s="3">
        <f>ROUND((+H76+H79+H80)/H10,3)</f>
        <v>0.54</v>
      </c>
      <c r="I25" s="3"/>
      <c r="J25" s="3">
        <f>ROUND((+J76+J79+J80)/J10,3)</f>
        <v>0.55300000000000005</v>
      </c>
      <c r="K25" s="3"/>
      <c r="L25" s="3">
        <f>ROUND((+L76+L79+L80)/L10,3)</f>
        <v>0.52600000000000002</v>
      </c>
      <c r="M25" s="3"/>
      <c r="N25" s="6">
        <f>AVERAGE(D25,F25,H25,J25,L25)</f>
        <v>0.56080000000000008</v>
      </c>
    </row>
    <row r="26" spans="1:14" x14ac:dyDescent="0.4">
      <c r="B26" s="34" t="s">
        <v>78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0</v>
      </c>
      <c r="I26" s="3"/>
      <c r="J26" s="3">
        <f>ROUND((SUM(J69:J75)+J81)/J10,3)</f>
        <v>0</v>
      </c>
      <c r="K26" s="3"/>
      <c r="L26" s="3">
        <f>ROUND((SUM(L69:L75)+L81)/L10,3)</f>
        <v>0</v>
      </c>
      <c r="M26" s="3"/>
      <c r="N26" s="6">
        <f>AVERAGE(D26,F26,H26,J26,L26)</f>
        <v>0</v>
      </c>
    </row>
    <row r="27" spans="1:14" ht="17.25" x14ac:dyDescent="0.4">
      <c r="B27" s="35" t="s">
        <v>79</v>
      </c>
      <c r="D27" s="4">
        <f>ROUND((D68-D103)/D10,3)</f>
        <v>0.39800000000000002</v>
      </c>
      <c r="E27" s="3"/>
      <c r="F27" s="4">
        <f>ROUND((F68-F103)/F10,3)</f>
        <v>0.41699999999999998</v>
      </c>
      <c r="G27" s="3"/>
      <c r="H27" s="4">
        <f>ROUND((H68-H103)/H10,3)</f>
        <v>0.46</v>
      </c>
      <c r="I27" s="3"/>
      <c r="J27" s="4">
        <f>ROUND((J68-J103)/J10,3)</f>
        <v>0.44700000000000001</v>
      </c>
      <c r="K27" s="3"/>
      <c r="L27" s="4">
        <f>ROUND((L68-L103)/L10,3)</f>
        <v>0.47399999999999998</v>
      </c>
      <c r="M27" s="3"/>
      <c r="N27" s="8">
        <f>AVERAGE(D27,F27,H27,J27,L27)</f>
        <v>0.43919999999999992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9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6" t="s">
        <v>81</v>
      </c>
      <c r="D30" s="3">
        <f>ROUND(+D66/(((D68-D103)+(F68-F103))/2),3)</f>
        <v>8.5000000000000006E-2</v>
      </c>
      <c r="E30" s="3"/>
      <c r="F30" s="3">
        <f>ROUND(+F66/(((F68-F103)+(H68-H103))/2),3)</f>
        <v>7.9000000000000001E-2</v>
      </c>
      <c r="G30" s="3"/>
      <c r="H30" s="3">
        <f>ROUND(+H66/(((H68-H103)+(J68-J103))/2),3)</f>
        <v>7.9000000000000001E-2</v>
      </c>
      <c r="I30" s="3"/>
      <c r="J30" s="3">
        <f>ROUND(+J66/(((J68-J103)+(L68-L103))/2),3)</f>
        <v>8.8999999999999996E-2</v>
      </c>
      <c r="K30" s="3"/>
      <c r="L30" s="3"/>
      <c r="M30" s="3"/>
      <c r="N30" s="6">
        <f>AVERAGE(D30,F30,H30,J30,L30)</f>
        <v>8.299999999999999E-2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6" t="s">
        <v>82</v>
      </c>
      <c r="D32" s="3">
        <f>ROUND((+D58-D57)/D56,3)</f>
        <v>0.81</v>
      </c>
      <c r="E32" s="3"/>
      <c r="F32" s="3">
        <f>ROUND((+F58-F57)/F56,3)</f>
        <v>0.80800000000000005</v>
      </c>
      <c r="G32" s="3"/>
      <c r="H32" s="3">
        <f>ROUND((+H58-H57)/H56,3)</f>
        <v>0.80800000000000005</v>
      </c>
      <c r="I32" s="3"/>
      <c r="J32" s="3">
        <f>ROUND((+J58-J57)/J56,3)</f>
        <v>0.81299999999999994</v>
      </c>
      <c r="K32" s="3"/>
      <c r="L32" s="3">
        <f>ROUND((+L58-L57)/L56,3)</f>
        <v>0.82199999999999995</v>
      </c>
      <c r="M32" s="3"/>
      <c r="N32" s="6">
        <f>AVERAGE(D32,F32,H32,J32,L32)</f>
        <v>0.81220000000000003</v>
      </c>
    </row>
    <row r="34" spans="1:15" ht="17.25" x14ac:dyDescent="0.4">
      <c r="A34" s="36" t="s">
        <v>83</v>
      </c>
    </row>
    <row r="35" spans="1:15" x14ac:dyDescent="0.4">
      <c r="B35" t="s">
        <v>13</v>
      </c>
      <c r="D35" s="7">
        <f>ROUND(((+D66+D65+D64+D63+D61+D59+D57)/D61),2)</f>
        <v>3.38</v>
      </c>
      <c r="E35" s="7" t="s">
        <v>3</v>
      </c>
      <c r="F35" s="7">
        <f>ROUND(((+F66+F65+F64+F63+F61+F59+F57)/F61),2)</f>
        <v>3.12</v>
      </c>
      <c r="G35" s="7" t="s">
        <v>3</v>
      </c>
      <c r="H35" s="7">
        <f>ROUND(((+H66+H65+H64+H63+H61+H59+H57)/H61),2)</f>
        <v>2.83</v>
      </c>
      <c r="I35" s="7" t="s">
        <v>3</v>
      </c>
      <c r="J35" s="7">
        <f>ROUND(((+J66+J65+J64+J63+J61+J59+J57)/J61),2)</f>
        <v>3.47</v>
      </c>
      <c r="K35" s="7" t="s">
        <v>3</v>
      </c>
      <c r="L35" s="7"/>
      <c r="M35" s="7" t="s">
        <v>3</v>
      </c>
      <c r="N35" s="27">
        <f>AVERAGE(D35,F35,H35,J35,L35)</f>
        <v>3.2</v>
      </c>
      <c r="O35" t="s">
        <v>3</v>
      </c>
    </row>
    <row r="36" spans="1:15" x14ac:dyDescent="0.4">
      <c r="B36" t="s">
        <v>21</v>
      </c>
      <c r="D36" s="7">
        <f>ROUND(((+D66+D65+D64+D63+D61)/(D61)),2)</f>
        <v>2.77</v>
      </c>
      <c r="E36" s="7" t="s">
        <v>3</v>
      </c>
      <c r="F36" s="7">
        <f>ROUND(((+F66+F65+F64+F63+F61)/(F61)),2)</f>
        <v>2.63</v>
      </c>
      <c r="G36" s="7" t="s">
        <v>3</v>
      </c>
      <c r="H36" s="7">
        <f>ROUND(((+H66+H65+H64+H63+H61)/(H61)),2)</f>
        <v>2.5299999999999998</v>
      </c>
      <c r="I36" s="7" t="s">
        <v>3</v>
      </c>
      <c r="J36" s="7">
        <f>ROUND(((+J66+J65+J64+J63+J61)/(J61)),2)</f>
        <v>2.82</v>
      </c>
      <c r="K36" s="7" t="s">
        <v>3</v>
      </c>
      <c r="L36" s="7"/>
      <c r="M36" s="7" t="s">
        <v>3</v>
      </c>
      <c r="N36" s="27">
        <f>AVERAGE(D36,F36,H36,J36,L36)</f>
        <v>2.6875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2.77</v>
      </c>
      <c r="E37" s="7" t="s">
        <v>3</v>
      </c>
      <c r="F37" s="7">
        <f>ROUND(((+F66+F65+F64+F63+F61)/(F61+F63+F64+F65)),2)</f>
        <v>2.63</v>
      </c>
      <c r="G37" s="7" t="s">
        <v>3</v>
      </c>
      <c r="H37" s="7">
        <f>ROUND(((+H66+H65+H64+H63+H61)/(H61+H63+H64+H65)),2)</f>
        <v>2.5299999999999998</v>
      </c>
      <c r="I37" s="7" t="s">
        <v>3</v>
      </c>
      <c r="J37" s="7">
        <f>ROUND(((+J66+J65+J64+J63+J61)/(J61+J63+J64+J65)),2)</f>
        <v>2.82</v>
      </c>
      <c r="K37" s="7" t="s">
        <v>3</v>
      </c>
      <c r="L37" s="7"/>
      <c r="M37" s="7" t="s">
        <v>3</v>
      </c>
      <c r="N37" s="27">
        <f>AVERAGE(D37,F37,H37,J37,L37)</f>
        <v>2.6875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6" t="s">
        <v>84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3.38</v>
      </c>
      <c r="E40" s="7" t="s">
        <v>3</v>
      </c>
      <c r="F40" s="7">
        <f>ROUND(((+F66+F65+F64+F63-F62+F61+F59+F57)/F61),2)</f>
        <v>3.12</v>
      </c>
      <c r="G40" s="7" t="s">
        <v>3</v>
      </c>
      <c r="H40" s="7">
        <f>ROUND(((+H66+H65+H64+H63-H62+H61+H59+H57)/H61),2)</f>
        <v>2.83</v>
      </c>
      <c r="I40" s="7" t="s">
        <v>3</v>
      </c>
      <c r="J40" s="7">
        <f>ROUND(((+J66+J65+J64+J63-J62+J61+J59+J57)/J61),2)</f>
        <v>3.47</v>
      </c>
      <c r="K40" s="7" t="s">
        <v>3</v>
      </c>
      <c r="L40" s="7"/>
      <c r="M40" s="7" t="s">
        <v>3</v>
      </c>
      <c r="N40" s="27">
        <f>AVERAGE(D40,F40,H40,J40,L40)</f>
        <v>3.2</v>
      </c>
      <c r="O40" t="s">
        <v>3</v>
      </c>
    </row>
    <row r="41" spans="1:15" x14ac:dyDescent="0.4">
      <c r="B41" t="s">
        <v>21</v>
      </c>
      <c r="D41" s="7">
        <f>ROUND(((+D66+D65+D64+D63-D62+D61)/D61),2)</f>
        <v>2.77</v>
      </c>
      <c r="E41" s="7" t="s">
        <v>3</v>
      </c>
      <c r="F41" s="7">
        <f>ROUND(((+F66+F65+F64+F63-F62+F61)/F61),2)</f>
        <v>2.63</v>
      </c>
      <c r="G41" s="7" t="s">
        <v>3</v>
      </c>
      <c r="H41" s="7">
        <f>ROUND(((+H66+H65+H64+H63-H62+H61)/H61),2)</f>
        <v>2.5299999999999998</v>
      </c>
      <c r="I41" s="7" t="s">
        <v>3</v>
      </c>
      <c r="J41" s="7">
        <f>ROUND(((+J66+J65+J64+J63-J62+J61)/J61),2)</f>
        <v>2.82</v>
      </c>
      <c r="K41" s="7" t="s">
        <v>3</v>
      </c>
      <c r="L41" s="7"/>
      <c r="M41" s="7" t="s">
        <v>3</v>
      </c>
      <c r="N41" s="27">
        <f>AVERAGE(D41,F41,H41,J41,L41)</f>
        <v>2.6875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2.77</v>
      </c>
      <c r="E42" s="7" t="s">
        <v>3</v>
      </c>
      <c r="F42" s="7">
        <f>ROUND(((+F66+F65+F64+F63-F62+F61)/(F61+F63+F64+F65)),2)</f>
        <v>2.63</v>
      </c>
      <c r="G42" s="7" t="s">
        <v>3</v>
      </c>
      <c r="H42" s="7">
        <f>ROUND(((+H66+H65+H64+H63-H62+H61)/(H61+H63+H64+H65)),2)</f>
        <v>2.5299999999999998</v>
      </c>
      <c r="I42" s="7" t="s">
        <v>3</v>
      </c>
      <c r="J42" s="7">
        <f>ROUND(((+J66+J65+J64+J63-J62+J61)/(J61+J63+J64+J65)),2)</f>
        <v>2.82</v>
      </c>
      <c r="K42" s="7" t="s">
        <v>3</v>
      </c>
      <c r="L42" s="7"/>
      <c r="M42" s="7" t="s">
        <v>3</v>
      </c>
      <c r="N42" s="27">
        <f>AVERAGE(D42,F42,H42,J42,L42)</f>
        <v>2.6875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3">
        <f>ROUND(D62/D66,3)</f>
        <v>0</v>
      </c>
      <c r="E45" s="13"/>
      <c r="F45" s="13">
        <f>ROUND(F62/F66,3)</f>
        <v>0</v>
      </c>
      <c r="G45" s="13"/>
      <c r="H45" s="13">
        <f>ROUND(H62/H66,3)</f>
        <v>0</v>
      </c>
      <c r="I45" s="13"/>
      <c r="J45" s="13">
        <f>ROUND(J62/J66,3)</f>
        <v>0</v>
      </c>
      <c r="K45" s="13"/>
      <c r="L45" s="13"/>
      <c r="M45" s="3"/>
      <c r="N45" s="6">
        <f t="shared" ref="N45:N50" si="0">AVERAGE(D45,F45,H45,J45,L45)</f>
        <v>0</v>
      </c>
    </row>
    <row r="46" spans="1:15" x14ac:dyDescent="0.4">
      <c r="B46" t="s">
        <v>17</v>
      </c>
      <c r="D46" s="17">
        <f>ROUND((D57+D59)/(D57+D59+D66+D63+D64+D65),3)</f>
        <v>0.25800000000000001</v>
      </c>
      <c r="E46" s="18"/>
      <c r="F46" s="17">
        <f>ROUND((F57+F59)/(F57+F59+F66+F63+F64+F65),3)</f>
        <v>0.23100000000000001</v>
      </c>
      <c r="G46" s="18"/>
      <c r="H46" s="17">
        <f>ROUND((H57+H59)/(H57+H59+H66+H63+H64+H65),3)</f>
        <v>0.16200000000000001</v>
      </c>
      <c r="I46" s="18"/>
      <c r="J46" s="17">
        <f>ROUND((J57+J59)/(J57+J59+J66+J63+J64+J65),3)</f>
        <v>0.26400000000000001</v>
      </c>
      <c r="K46" s="18"/>
      <c r="L46" s="17">
        <f>ROUND((L57+L59)/(L57+L59+L66+L63+L64+L65),3)</f>
        <v>0.35599999999999998</v>
      </c>
      <c r="N46" s="6">
        <f t="shared" si="0"/>
        <v>0.25419999999999998</v>
      </c>
    </row>
    <row r="47" spans="1:15" ht="17.25" x14ac:dyDescent="0.4">
      <c r="B47" s="36" t="s">
        <v>85</v>
      </c>
      <c r="D47" s="13">
        <f>ROUND(((+D82+D83+D84+D85+D86-D87+D88-D90-D91)/(+D89-D87)),3)</f>
        <v>0.59599999999999997</v>
      </c>
      <c r="E47" s="14"/>
      <c r="F47" s="13">
        <f>ROUND(((+F82+F83+F84+F85+F86-F87+F88-F90-F91)/(+F89-F87)),3)</f>
        <v>0.439</v>
      </c>
      <c r="G47" s="14"/>
      <c r="H47" s="13">
        <f>ROUND(((+H82+H83+H84+H85+H86-H87+H88-H90-H91)/(+H89-H87)),3)</f>
        <v>0.68100000000000005</v>
      </c>
      <c r="I47" s="14"/>
      <c r="J47" s="13">
        <f>ROUND(((+J82+J83+J84+J85+J86-J87+J88-J90-J91)/(+J89-J87)),3)</f>
        <v>0.61</v>
      </c>
      <c r="K47" s="14"/>
      <c r="L47" s="13">
        <f>ROUND(((+L82+L83+L84+L85+L86-L87+L88-L90-L91)/(+L89-L87)),3)</f>
        <v>0.57099999999999995</v>
      </c>
      <c r="N47" s="6">
        <f t="shared" si="0"/>
        <v>0.57940000000000003</v>
      </c>
    </row>
    <row r="48" spans="1:15" ht="17.25" x14ac:dyDescent="0.4">
      <c r="B48" s="36" t="s">
        <v>86</v>
      </c>
      <c r="D48" s="13">
        <f>ROUND(((+D82+D83+D84+D85+D86-D87+D88)/(AVERAGE(D76,F76)+AVERAGE(D79,F79)+AVERAGE(D80,F80))),3)</f>
        <v>0.17100000000000001</v>
      </c>
      <c r="E48" s="14"/>
      <c r="F48" s="13">
        <f>ROUND(((+F82+F83+F84+F85+F86-F87+F88)/(AVERAGE(F76,H76)+AVERAGE(F79,H79)+AVERAGE(F80,H80))),3)</f>
        <v>0.153</v>
      </c>
      <c r="G48" s="14"/>
      <c r="H48" s="13">
        <f>ROUND(((+H82+H83+H84+H85+H86-H87+H88)/(AVERAGE(H76,J76)+AVERAGE(H79,J79)+AVERAGE(H80,J80))),3)</f>
        <v>0.20699999999999999</v>
      </c>
      <c r="I48" s="14"/>
      <c r="J48" s="13">
        <f>ROUND(((+J82+J83+J84+J85+J86-J87+J88)/(AVERAGE(J76,L76)+AVERAGE(J79,L79)+AVERAGE(J80,L80))),3)</f>
        <v>0.20399999999999999</v>
      </c>
      <c r="K48" s="14"/>
      <c r="L48" s="13">
        <f>ROUND(((+L82+L83+L84+L85+L86-L87+L88)/(AVERAGE(L76,N76)+AVERAGE(L79,N79)+AVERAGE(L80,N80))),3)</f>
        <v>0.219</v>
      </c>
      <c r="N48" s="6">
        <f t="shared" si="0"/>
        <v>0.1908</v>
      </c>
    </row>
    <row r="49" spans="1:15" ht="17.25" x14ac:dyDescent="0.4">
      <c r="B49" s="36" t="s">
        <v>87</v>
      </c>
      <c r="D49" s="28">
        <f>ROUND(((+D82+D83+D84+D85+D86-D87+D88+D92)/D61),2)</f>
        <v>6.18</v>
      </c>
      <c r="E49" t="s">
        <v>3</v>
      </c>
      <c r="F49" s="28">
        <f>ROUND(((+F82+F83+F84+F85+F86-F87+F88+F92)/F61),2)</f>
        <v>5.0599999999999996</v>
      </c>
      <c r="G49" t="s">
        <v>3</v>
      </c>
      <c r="H49" s="28">
        <f>ROUND(((+H82+H83+H84+H85+H86-H87+H88+H92)/H61),2)</f>
        <v>5.78</v>
      </c>
      <c r="I49" t="s">
        <v>3</v>
      </c>
      <c r="J49" s="28">
        <f>ROUND(((+J82+J83+J84+J85+J86-J87+J88+J92)/J61),2)</f>
        <v>5.87</v>
      </c>
      <c r="K49" t="s">
        <v>3</v>
      </c>
      <c r="L49" s="28">
        <f>ROUND(((+L82+L83+L84+L85+L86-L87+L88+L92)/L61),2)</f>
        <v>5.13</v>
      </c>
      <c r="M49" t="s">
        <v>3</v>
      </c>
      <c r="N49" s="29">
        <f t="shared" si="0"/>
        <v>5.6040000000000001</v>
      </c>
      <c r="O49" t="s">
        <v>3</v>
      </c>
    </row>
    <row r="50" spans="1:15" ht="17.25" x14ac:dyDescent="0.4">
      <c r="B50" s="36" t="s">
        <v>88</v>
      </c>
      <c r="D50" s="28">
        <f>ROUND(((+D82+D83+D84+D85+D86-D87+D88-D91)/+D90),2)</f>
        <v>4.13</v>
      </c>
      <c r="E50" t="s">
        <v>3</v>
      </c>
      <c r="F50" s="28">
        <f>ROUND(((+F82+F83+F84+F85+F86-F87+F88-F91)/+F90),2)</f>
        <v>3.16</v>
      </c>
      <c r="G50" t="s">
        <v>3</v>
      </c>
      <c r="H50" s="28">
        <f>ROUND(((+H82+H83+H84+H85+H86-H87+H88-H91)/+H90),2)</f>
        <v>3.85</v>
      </c>
      <c r="I50" t="s">
        <v>3</v>
      </c>
      <c r="J50" s="28">
        <f>ROUND(((+J82+J83+J84+J85+J86-J87+J88-J91)/+J90),2)</f>
        <v>3.55</v>
      </c>
      <c r="K50" t="s">
        <v>3</v>
      </c>
      <c r="L50" s="28">
        <f>ROUND(((+L82+L83+L84+L85+L86-L87+L88-L91)/+L90),2)</f>
        <v>3.26</v>
      </c>
      <c r="M50" t="s">
        <v>3</v>
      </c>
      <c r="N50" s="29">
        <f t="shared" si="0"/>
        <v>3.5900000000000007</v>
      </c>
      <c r="O50" t="s">
        <v>3</v>
      </c>
    </row>
    <row r="52" spans="1:15" x14ac:dyDescent="0.4">
      <c r="A52" t="s">
        <v>4</v>
      </c>
    </row>
    <row r="53" spans="1:15" x14ac:dyDescent="0.4">
      <c r="D53" s="38"/>
      <c r="F53" s="38"/>
      <c r="H53" s="38"/>
    </row>
    <row r="54" spans="1:15" x14ac:dyDescent="0.4">
      <c r="A54" s="19" t="s">
        <v>105</v>
      </c>
      <c r="B54" s="19"/>
      <c r="C54" s="19"/>
      <c r="D54" s="38"/>
      <c r="E54" s="20"/>
      <c r="F54" s="38"/>
      <c r="G54" s="20"/>
      <c r="H54" s="38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860.4</v>
      </c>
      <c r="E56" s="22"/>
      <c r="F56" s="22">
        <v>773.67899999999997</v>
      </c>
      <c r="G56" s="22"/>
      <c r="H56" s="22">
        <v>746.37199999999996</v>
      </c>
      <c r="I56" s="22"/>
      <c r="J56" s="22">
        <v>706.14300000000003</v>
      </c>
      <c r="K56" s="22"/>
      <c r="L56" s="22">
        <v>781.24199999999996</v>
      </c>
      <c r="M56" s="22"/>
      <c r="N56" s="22">
        <v>693.07799999999997</v>
      </c>
    </row>
    <row r="57" spans="1:15" x14ac:dyDescent="0.4">
      <c r="A57" s="20" t="s">
        <v>23</v>
      </c>
      <c r="B57" s="20"/>
      <c r="C57" s="20"/>
      <c r="D57" s="22">
        <v>27.405999999999999</v>
      </c>
      <c r="E57" s="22"/>
      <c r="F57" s="22">
        <v>21.082000000000001</v>
      </c>
      <c r="G57" s="22"/>
      <c r="H57" s="22">
        <v>12.641999999999999</v>
      </c>
      <c r="I57" s="22"/>
      <c r="J57" s="22">
        <v>24.190999999999999</v>
      </c>
      <c r="K57" s="22"/>
      <c r="L57" s="22">
        <v>-30.757000000000001</v>
      </c>
      <c r="M57" s="22"/>
      <c r="N57" s="22">
        <v>40.713999999999999</v>
      </c>
    </row>
    <row r="58" spans="1:15" x14ac:dyDescent="0.4">
      <c r="A58" s="20" t="s">
        <v>24</v>
      </c>
      <c r="B58" s="20"/>
      <c r="C58" s="20"/>
      <c r="D58" s="22">
        <f>697.283+D57</f>
        <v>724.68899999999996</v>
      </c>
      <c r="E58" s="22"/>
      <c r="F58" s="22">
        <f>625.328+F57</f>
        <v>646.41</v>
      </c>
      <c r="G58" s="22"/>
      <c r="H58" s="22">
        <f>602.898+H57</f>
        <v>615.54000000000008</v>
      </c>
      <c r="I58" s="22"/>
      <c r="J58" s="22">
        <v>598.17200000000003</v>
      </c>
      <c r="K58" s="22"/>
      <c r="L58" s="22">
        <v>611.23400000000004</v>
      </c>
      <c r="M58" s="22"/>
      <c r="N58" s="22">
        <v>594.51199999999994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163.117-D57-12.559</f>
        <v>123.15199999999999</v>
      </c>
      <c r="E60" s="22"/>
      <c r="F60" s="22">
        <f>148.351-F57-13.944</f>
        <v>113.325</v>
      </c>
      <c r="G60" s="22"/>
      <c r="H60" s="22">
        <f>143.474-H57-22.836</f>
        <v>107.996</v>
      </c>
      <c r="I60" s="22"/>
      <c r="J60" s="22">
        <v>104.37</v>
      </c>
      <c r="K60" s="22"/>
      <c r="L60" s="22">
        <v>-17.122</v>
      </c>
      <c r="M60" s="22"/>
      <c r="N60" s="22">
        <v>98.022999999999996</v>
      </c>
    </row>
    <row r="61" spans="1:15" x14ac:dyDescent="0.4">
      <c r="A61" s="20" t="s">
        <v>27</v>
      </c>
      <c r="B61" s="20"/>
      <c r="C61" s="20"/>
      <c r="D61" s="22">
        <v>44.485999999999997</v>
      </c>
      <c r="E61" s="22"/>
      <c r="F61" s="22">
        <v>43.052</v>
      </c>
      <c r="G61" s="22"/>
      <c r="H61" s="22">
        <v>42.685000000000002</v>
      </c>
      <c r="I61" s="22"/>
      <c r="J61" s="22">
        <v>37.058999999999997</v>
      </c>
      <c r="K61" s="22"/>
      <c r="L61" s="22">
        <v>41.098999999999997</v>
      </c>
      <c r="M61" s="22"/>
      <c r="N61" s="22">
        <v>39.128</v>
      </c>
    </row>
    <row r="62" spans="1:15" x14ac:dyDescent="0.4">
      <c r="A62" s="20" t="s">
        <v>28</v>
      </c>
      <c r="B62" s="20"/>
      <c r="C62" s="20"/>
      <c r="D62" s="22"/>
      <c r="E62" s="22"/>
      <c r="F62" s="22"/>
      <c r="G62" s="22"/>
      <c r="H62" s="22"/>
      <c r="I62" s="22"/>
      <c r="J62" s="22"/>
      <c r="K62" s="22"/>
      <c r="L62" s="22">
        <v>5.298</v>
      </c>
      <c r="M62" s="22"/>
      <c r="N62" s="22"/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78.665999999999997</v>
      </c>
      <c r="E66" s="22"/>
      <c r="F66" s="22">
        <v>70.272999999999996</v>
      </c>
      <c r="G66" s="22"/>
      <c r="H66" s="22">
        <v>65.311000000000007</v>
      </c>
      <c r="I66" s="22"/>
      <c r="J66" s="22">
        <v>67.311000000000007</v>
      </c>
      <c r="K66" s="22"/>
      <c r="L66" s="22">
        <v>-55.622999999999998</v>
      </c>
      <c r="M66" s="22"/>
      <c r="N66" s="22">
        <v>58.895000000000003</v>
      </c>
    </row>
    <row r="67" spans="1:14" x14ac:dyDescent="0.4">
      <c r="A67" s="20" t="s">
        <v>33</v>
      </c>
      <c r="B67" s="20"/>
      <c r="C67" s="20"/>
      <c r="D67" s="22">
        <v>2.56</v>
      </c>
      <c r="E67" s="22"/>
      <c r="F67" s="22">
        <v>2.2999999999999998</v>
      </c>
      <c r="G67" s="22"/>
      <c r="H67" s="22">
        <v>2.19</v>
      </c>
      <c r="I67" s="22"/>
      <c r="J67" s="22">
        <v>2.34</v>
      </c>
      <c r="K67" s="22"/>
      <c r="L67" s="22">
        <v>-1.94</v>
      </c>
      <c r="M67" s="22"/>
      <c r="N67" s="22">
        <v>2.13</v>
      </c>
    </row>
    <row r="68" spans="1:14" x14ac:dyDescent="0.4">
      <c r="A68" s="20" t="s">
        <v>34</v>
      </c>
      <c r="B68" s="20"/>
      <c r="C68" s="20"/>
      <c r="D68" s="22">
        <v>935.14599999999996</v>
      </c>
      <c r="E68" s="22"/>
      <c r="F68" s="22">
        <v>888.73299999999995</v>
      </c>
      <c r="G68" s="22"/>
      <c r="H68" s="22">
        <v>865.99900000000002</v>
      </c>
      <c r="I68" s="22"/>
      <c r="J68" s="22">
        <v>762.63400000000001</v>
      </c>
      <c r="K68" s="22"/>
      <c r="L68" s="22">
        <v>742.77599999999995</v>
      </c>
      <c r="M68" s="22"/>
      <c r="N68" s="22">
        <v>850.49699999999996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1044.587</v>
      </c>
      <c r="E76" s="22"/>
      <c r="F76" s="22">
        <v>860.08100000000002</v>
      </c>
      <c r="G76" s="22"/>
      <c r="H76" s="22">
        <v>805.95500000000004</v>
      </c>
      <c r="I76" s="22"/>
      <c r="J76" s="22">
        <v>706.24699999999996</v>
      </c>
      <c r="K76" s="22"/>
      <c r="L76" s="22">
        <v>683.18399999999997</v>
      </c>
      <c r="M76" s="22"/>
      <c r="N76" s="22">
        <v>679.33399999999995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1979.7329999999999</v>
      </c>
      <c r="E78" s="22"/>
      <c r="F78" s="22">
        <f>SUM(F68:F77)</f>
        <v>1748.8139999999999</v>
      </c>
      <c r="G78" s="22"/>
      <c r="H78" s="22">
        <f>SUM(H68:H77)</f>
        <v>1671.9540000000002</v>
      </c>
      <c r="I78" s="22"/>
      <c r="J78" s="22">
        <v>1468.8810000000001</v>
      </c>
      <c r="K78" s="22"/>
      <c r="L78" s="22">
        <v>1425.96</v>
      </c>
      <c r="M78" s="22"/>
      <c r="N78" s="22">
        <v>1529.8309999999999</v>
      </c>
    </row>
    <row r="79" spans="1:14" x14ac:dyDescent="0.4">
      <c r="A79" s="20" t="s">
        <v>45</v>
      </c>
      <c r="B79" s="20"/>
      <c r="C79" s="20"/>
      <c r="D79" s="22">
        <v>0.34499999999999997</v>
      </c>
      <c r="E79" s="22"/>
      <c r="F79" s="22">
        <v>95.343999999999994</v>
      </c>
      <c r="G79" s="22"/>
      <c r="H79" s="22">
        <v>75.108999999999995</v>
      </c>
      <c r="I79" s="22"/>
      <c r="J79" s="22">
        <v>29.989000000000001</v>
      </c>
      <c r="K79" s="22"/>
      <c r="L79" s="22">
        <v>96.703000000000003</v>
      </c>
      <c r="M79" s="22"/>
      <c r="N79" s="22">
        <v>39.988999999999997</v>
      </c>
    </row>
    <row r="80" spans="1:14" x14ac:dyDescent="0.4">
      <c r="A80" s="20" t="s">
        <v>46</v>
      </c>
      <c r="B80" s="20"/>
      <c r="C80" s="20"/>
      <c r="D80" s="22">
        <v>389.5</v>
      </c>
      <c r="E80" s="22"/>
      <c r="F80" s="22">
        <v>304.52499999999998</v>
      </c>
      <c r="G80" s="22"/>
      <c r="H80" s="22">
        <v>149.1</v>
      </c>
      <c r="I80" s="22"/>
      <c r="J80" s="22">
        <v>217.62</v>
      </c>
      <c r="K80" s="22"/>
      <c r="L80" s="22">
        <v>54.2</v>
      </c>
      <c r="M80" s="22"/>
      <c r="N80" s="22">
        <v>53.3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78.665999999999997</v>
      </c>
      <c r="E82" s="22"/>
      <c r="F82" s="22">
        <v>76.781000000000006</v>
      </c>
      <c r="G82" s="22"/>
      <c r="H82" s="22">
        <v>61.734999999999999</v>
      </c>
      <c r="I82" s="22"/>
      <c r="J82" s="22">
        <v>67.311000000000007</v>
      </c>
      <c r="K82" s="22"/>
      <c r="L82" s="22">
        <v>-55.622999999999998</v>
      </c>
      <c r="M82" s="22"/>
      <c r="N82" s="22">
        <v>58.895000000000003</v>
      </c>
    </row>
    <row r="83" spans="1:14" x14ac:dyDescent="0.4">
      <c r="A83" s="20" t="s">
        <v>49</v>
      </c>
      <c r="B83" s="20"/>
      <c r="C83" s="20"/>
      <c r="D83" s="22">
        <v>113.53400000000001</v>
      </c>
      <c r="E83" s="22"/>
      <c r="F83" s="22">
        <v>103.68300000000001</v>
      </c>
      <c r="G83" s="22"/>
      <c r="H83" s="22">
        <v>91.495999999999995</v>
      </c>
      <c r="I83" s="22"/>
      <c r="J83" s="22">
        <v>85.156000000000006</v>
      </c>
      <c r="K83" s="22"/>
      <c r="L83" s="22">
        <v>85.578000000000003</v>
      </c>
      <c r="M83" s="22"/>
      <c r="N83" s="22">
        <v>82.289000000000001</v>
      </c>
    </row>
    <row r="84" spans="1:14" x14ac:dyDescent="0.4">
      <c r="A84" s="20" t="s">
        <v>50</v>
      </c>
      <c r="B84" s="20"/>
      <c r="C84" s="20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x14ac:dyDescent="0.4">
      <c r="A85" s="20" t="s">
        <v>51</v>
      </c>
      <c r="B85" s="20"/>
      <c r="C85" s="20"/>
      <c r="D85" s="22">
        <v>14.617000000000001</v>
      </c>
      <c r="E85" s="22"/>
      <c r="F85" s="22">
        <v>18.667000000000002</v>
      </c>
      <c r="G85" s="22"/>
      <c r="H85" s="22">
        <v>6.3170000000000002</v>
      </c>
      <c r="I85" s="22"/>
      <c r="J85" s="22">
        <v>14.356</v>
      </c>
      <c r="K85" s="22"/>
      <c r="L85" s="22">
        <v>-52.414000000000001</v>
      </c>
      <c r="M85" s="22"/>
      <c r="N85" s="22">
        <v>32.055999999999997</v>
      </c>
    </row>
    <row r="86" spans="1:14" x14ac:dyDescent="0.4">
      <c r="A86" s="20" t="s">
        <v>52</v>
      </c>
      <c r="B86" s="20"/>
      <c r="C86" s="20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 x14ac:dyDescent="0.4">
      <c r="A87" s="20" t="s">
        <v>53</v>
      </c>
      <c r="B87" s="20"/>
      <c r="C87" s="20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1:14" x14ac:dyDescent="0.4">
      <c r="A88" s="20" t="s">
        <v>69</v>
      </c>
      <c r="B88" s="20"/>
      <c r="C88" s="20"/>
      <c r="D88" s="22">
        <f>13.897+16.556-9.59-18.187+9.938+11.569</f>
        <v>24.183000000000003</v>
      </c>
      <c r="E88" s="22"/>
      <c r="F88" s="22">
        <f>17.779+18.37-28.98-27.871+9.691-5.902-6.942</f>
        <v>-23.854999999999997</v>
      </c>
      <c r="G88" s="22"/>
      <c r="H88" s="22">
        <f>19.172+16.497-10.97-16.226+12.337+0.853+10.5+13.907</f>
        <v>46.069999999999993</v>
      </c>
      <c r="I88" s="22"/>
      <c r="J88" s="22">
        <v>15.375999999999999</v>
      </c>
      <c r="K88" s="22"/>
      <c r="L88" s="22">
        <v>198.46700000000001</v>
      </c>
      <c r="M88" s="22"/>
      <c r="N88" s="22">
        <v>15.67</v>
      </c>
    </row>
    <row r="89" spans="1:14" x14ac:dyDescent="0.4">
      <c r="A89" s="20" t="s">
        <v>54</v>
      </c>
      <c r="B89" s="20"/>
      <c r="C89" s="20"/>
      <c r="D89" s="22">
        <v>293.892</v>
      </c>
      <c r="E89" s="22"/>
      <c r="F89" s="22">
        <v>273.01600000000002</v>
      </c>
      <c r="G89" s="22"/>
      <c r="H89" s="22">
        <v>223.471</v>
      </c>
      <c r="I89" s="22"/>
      <c r="J89" s="22">
        <v>214.636</v>
      </c>
      <c r="K89" s="22"/>
      <c r="L89" s="22">
        <v>213.595</v>
      </c>
      <c r="M89" s="22"/>
      <c r="N89" s="22">
        <v>139.511</v>
      </c>
    </row>
    <row r="90" spans="1:14" x14ac:dyDescent="0.4">
      <c r="A90" s="20" t="s">
        <v>55</v>
      </c>
      <c r="B90" s="20"/>
      <c r="C90" s="20"/>
      <c r="D90" s="22">
        <v>55.918999999999997</v>
      </c>
      <c r="E90" s="22"/>
      <c r="F90" s="22">
        <v>55.42</v>
      </c>
      <c r="G90" s="22"/>
      <c r="H90" s="22">
        <v>53.338999999999999</v>
      </c>
      <c r="I90" s="22"/>
      <c r="J90" s="22">
        <v>51.311</v>
      </c>
      <c r="K90" s="22"/>
      <c r="L90" s="22">
        <v>53.957000000000001</v>
      </c>
      <c r="M90" s="22"/>
      <c r="N90" s="22">
        <v>51.508000000000003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43.719000000000001</v>
      </c>
      <c r="E92" s="22"/>
      <c r="F92" s="22">
        <v>42.651000000000003</v>
      </c>
      <c r="G92" s="22"/>
      <c r="H92" s="22">
        <v>41.231000000000002</v>
      </c>
      <c r="I92" s="22"/>
      <c r="J92" s="22">
        <v>35.323999999999998</v>
      </c>
      <c r="K92" s="22"/>
      <c r="L92" s="22">
        <v>34.786999999999999</v>
      </c>
      <c r="M92" s="22"/>
      <c r="N92" s="22">
        <v>36.023000000000003</v>
      </c>
    </row>
    <row r="93" spans="1:14" x14ac:dyDescent="0.4">
      <c r="A93" s="20" t="s">
        <v>58</v>
      </c>
      <c r="B93" s="20"/>
      <c r="C93" s="20"/>
      <c r="D93" s="22">
        <v>10.555</v>
      </c>
      <c r="E93" s="22"/>
      <c r="F93" s="22">
        <v>13.644</v>
      </c>
      <c r="G93" s="22"/>
      <c r="H93" s="22">
        <v>-9.6000000000000002E-2</v>
      </c>
      <c r="I93" s="22"/>
      <c r="J93" s="22">
        <v>27.37</v>
      </c>
      <c r="K93" s="22"/>
      <c r="L93" s="22">
        <v>14.78</v>
      </c>
      <c r="M93" s="22"/>
      <c r="N93" s="22">
        <v>-7.157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59.41</v>
      </c>
      <c r="E96" s="22"/>
      <c r="F96" s="22">
        <v>58.707999999999998</v>
      </c>
      <c r="G96" s="22"/>
      <c r="H96" s="22">
        <v>56.832999999999998</v>
      </c>
      <c r="I96" s="22"/>
      <c r="J96" s="22">
        <v>54.735999999999997</v>
      </c>
      <c r="K96" s="22"/>
      <c r="L96" s="22">
        <v>54.289000000000001</v>
      </c>
      <c r="M96" s="22"/>
      <c r="N96" s="22">
        <v>51.624000000000002</v>
      </c>
    </row>
    <row r="97" spans="1:14" x14ac:dyDescent="0.4">
      <c r="A97" s="20" t="s">
        <v>60</v>
      </c>
      <c r="B97" s="20"/>
      <c r="C97" s="20"/>
      <c r="D97" s="22">
        <v>1.92</v>
      </c>
      <c r="E97" s="22"/>
      <c r="F97" s="22">
        <v>1.91</v>
      </c>
      <c r="G97" s="22"/>
      <c r="H97" s="22">
        <v>1.9</v>
      </c>
      <c r="I97" s="22"/>
      <c r="J97" s="22">
        <v>1.893</v>
      </c>
      <c r="K97" s="22"/>
      <c r="L97" s="22">
        <v>1.883</v>
      </c>
      <c r="M97" s="22"/>
      <c r="N97" s="22">
        <v>1.873</v>
      </c>
    </row>
    <row r="98" spans="1:14" x14ac:dyDescent="0.4">
      <c r="A98" s="20" t="s">
        <v>61</v>
      </c>
      <c r="B98" s="20"/>
      <c r="C98" s="20"/>
      <c r="D98" s="22">
        <v>1.92</v>
      </c>
      <c r="E98" s="22"/>
      <c r="F98" s="22">
        <v>1.91</v>
      </c>
      <c r="G98" s="22"/>
      <c r="H98" s="22">
        <v>1.9</v>
      </c>
      <c r="I98" s="22"/>
      <c r="J98" s="22">
        <v>1.893</v>
      </c>
      <c r="K98" s="22"/>
      <c r="L98" s="22">
        <v>1.883</v>
      </c>
      <c r="M98" s="22"/>
      <c r="N98" s="22">
        <v>1.873</v>
      </c>
    </row>
    <row r="99" spans="1:14" x14ac:dyDescent="0.4">
      <c r="A99" s="20" t="s">
        <v>62</v>
      </c>
      <c r="B99" s="20"/>
      <c r="C99" s="20"/>
      <c r="D99" s="22">
        <v>56.75</v>
      </c>
      <c r="E99" s="22"/>
      <c r="F99" s="22">
        <v>77.260000000000005</v>
      </c>
      <c r="G99" s="22"/>
      <c r="H99" s="22">
        <v>74.13</v>
      </c>
      <c r="I99" s="22"/>
      <c r="J99" s="22">
        <v>71.81</v>
      </c>
      <c r="K99" s="22"/>
      <c r="L99" s="22">
        <v>69.5</v>
      </c>
      <c r="M99" s="22"/>
      <c r="N99" s="22">
        <v>66.17</v>
      </c>
    </row>
    <row r="100" spans="1:14" x14ac:dyDescent="0.4">
      <c r="A100" s="20" t="s">
        <v>63</v>
      </c>
      <c r="B100" s="20"/>
      <c r="C100" s="20"/>
      <c r="D100" s="22">
        <v>41.71</v>
      </c>
      <c r="E100" s="22"/>
      <c r="F100" s="22">
        <v>42.33</v>
      </c>
      <c r="G100" s="22"/>
      <c r="H100" s="22">
        <v>57.2</v>
      </c>
      <c r="I100" s="22"/>
      <c r="J100" s="22">
        <v>51.5</v>
      </c>
      <c r="K100" s="22"/>
      <c r="L100" s="22">
        <v>56.534999999999997</v>
      </c>
      <c r="M100" s="22"/>
      <c r="N100" s="22">
        <v>48.9</v>
      </c>
    </row>
    <row r="101" spans="1:14" x14ac:dyDescent="0.4">
      <c r="A101" s="20" t="s">
        <v>64</v>
      </c>
      <c r="B101" s="20"/>
      <c r="C101" s="20"/>
      <c r="D101" s="38">
        <v>48.78</v>
      </c>
      <c r="E101" s="22"/>
      <c r="F101" s="38">
        <v>45.99</v>
      </c>
      <c r="G101" s="22"/>
      <c r="H101" s="22">
        <v>73.73</v>
      </c>
      <c r="I101" s="22"/>
      <c r="J101" s="22">
        <v>60.46</v>
      </c>
      <c r="K101" s="22"/>
      <c r="L101" s="22">
        <v>59.65</v>
      </c>
      <c r="M101" s="22"/>
      <c r="N101" s="22">
        <v>59.8</v>
      </c>
    </row>
    <row r="102" spans="1:14" x14ac:dyDescent="0.4">
      <c r="A102" s="20" t="s">
        <v>65</v>
      </c>
      <c r="B102" s="20"/>
      <c r="C102" s="20"/>
      <c r="D102" s="22">
        <v>31.129000000000001</v>
      </c>
      <c r="E102" s="22"/>
      <c r="F102" s="22">
        <v>30.588999999999999</v>
      </c>
      <c r="G102" s="22"/>
      <c r="H102" s="22">
        <v>30.472000000000001</v>
      </c>
      <c r="I102" s="22"/>
      <c r="J102" s="22">
        <v>28.88</v>
      </c>
      <c r="K102" s="22"/>
      <c r="L102" s="22">
        <v>28.736000000000001</v>
      </c>
      <c r="M102" s="22"/>
      <c r="N102" s="22">
        <v>28.63</v>
      </c>
    </row>
    <row r="103" spans="1:14" x14ac:dyDescent="0.4">
      <c r="A103" s="20" t="s">
        <v>76</v>
      </c>
      <c r="B103" s="20"/>
      <c r="C103" s="20"/>
      <c r="D103" s="22">
        <v>-11.404</v>
      </c>
      <c r="E103" s="22"/>
      <c r="F103" s="22">
        <v>-12.901999999999999</v>
      </c>
      <c r="G103" s="22"/>
      <c r="H103" s="22">
        <v>-10.733000000000001</v>
      </c>
      <c r="I103" s="22"/>
      <c r="J103" s="22">
        <v>-7.1879999999999997</v>
      </c>
      <c r="K103" s="22"/>
      <c r="L103" s="22">
        <v>-8.4380000000000006</v>
      </c>
      <c r="M103" s="22"/>
      <c r="N103" s="22">
        <v>-6.9509999999999996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2.56</v>
      </c>
      <c r="F105" s="15">
        <f>F67/F94</f>
        <v>2.2999999999999998</v>
      </c>
      <c r="H105" s="15">
        <f>H67/H94</f>
        <v>2.19</v>
      </c>
      <c r="J105" s="15">
        <f>J67/J94</f>
        <v>2.34</v>
      </c>
      <c r="L105" s="15">
        <f>L67/L94</f>
        <v>-1.94</v>
      </c>
      <c r="N105" s="15">
        <f>N67/N94</f>
        <v>2.13</v>
      </c>
    </row>
    <row r="106" spans="1:14" x14ac:dyDescent="0.4">
      <c r="B106" t="s">
        <v>60</v>
      </c>
      <c r="D106" s="15">
        <f>D97/D94</f>
        <v>1.92</v>
      </c>
      <c r="F106" s="15">
        <f>F97/F94</f>
        <v>1.91</v>
      </c>
      <c r="H106" s="15">
        <f>H97/H94</f>
        <v>1.9</v>
      </c>
      <c r="J106" s="15">
        <f>J97/J94</f>
        <v>1.893</v>
      </c>
      <c r="L106" s="15">
        <f>L97/L94</f>
        <v>1.883</v>
      </c>
      <c r="N106" s="15">
        <f>N97/N94</f>
        <v>1.873</v>
      </c>
    </row>
    <row r="107" spans="1:14" x14ac:dyDescent="0.4">
      <c r="B107" t="s">
        <v>61</v>
      </c>
      <c r="D107" s="15">
        <f>D98/D94</f>
        <v>1.92</v>
      </c>
      <c r="F107" s="15">
        <f>F98/F94</f>
        <v>1.91</v>
      </c>
      <c r="H107" s="15">
        <f>H98/H94</f>
        <v>1.9</v>
      </c>
      <c r="J107" s="15">
        <f>J98/J94</f>
        <v>1.893</v>
      </c>
      <c r="L107" s="15">
        <f>L98/L94</f>
        <v>1.883</v>
      </c>
      <c r="N107" s="15">
        <f>N98/N94</f>
        <v>1.873</v>
      </c>
    </row>
    <row r="108" spans="1:14" x14ac:dyDescent="0.4">
      <c r="B108" t="s">
        <v>62</v>
      </c>
      <c r="D108" s="15">
        <f>D99/D94</f>
        <v>56.75</v>
      </c>
      <c r="F108" s="15">
        <f>F99/F94</f>
        <v>77.260000000000005</v>
      </c>
      <c r="H108" s="15">
        <f>H99/H94</f>
        <v>74.13</v>
      </c>
      <c r="J108" s="15">
        <f>J99/J94</f>
        <v>71.81</v>
      </c>
      <c r="L108" s="15">
        <f>L99/L94</f>
        <v>69.5</v>
      </c>
      <c r="N108" s="15">
        <f>N99/N94</f>
        <v>66.17</v>
      </c>
    </row>
    <row r="109" spans="1:14" x14ac:dyDescent="0.4">
      <c r="B109" t="s">
        <v>63</v>
      </c>
      <c r="D109" s="15">
        <f>D100/D94</f>
        <v>41.71</v>
      </c>
      <c r="F109" s="15">
        <f>F100/F94</f>
        <v>42.33</v>
      </c>
      <c r="H109" s="15">
        <f>H100/H94</f>
        <v>57.2</v>
      </c>
      <c r="J109" s="15">
        <f>J100/J94</f>
        <v>51.5</v>
      </c>
      <c r="L109" s="15">
        <f>L100/L94</f>
        <v>56.534999999999997</v>
      </c>
      <c r="N109" s="15">
        <f>N100/N94</f>
        <v>48.9</v>
      </c>
    </row>
    <row r="110" spans="1:14" x14ac:dyDescent="0.4">
      <c r="B110" t="s">
        <v>64</v>
      </c>
      <c r="D110" s="15">
        <f>D101/D94</f>
        <v>48.78</v>
      </c>
      <c r="F110" s="15">
        <f>F101/F94</f>
        <v>45.99</v>
      </c>
      <c r="H110" s="15">
        <f>H101/H94</f>
        <v>73.73</v>
      </c>
      <c r="J110" s="15">
        <f>J101/J94</f>
        <v>60.46</v>
      </c>
      <c r="L110" s="15">
        <f>L101/L94</f>
        <v>59.65</v>
      </c>
      <c r="N110" s="15">
        <f>N101/N94</f>
        <v>59.8</v>
      </c>
    </row>
    <row r="111" spans="1:14" x14ac:dyDescent="0.4">
      <c r="B111" t="s">
        <v>65</v>
      </c>
      <c r="D111" s="16">
        <f>D102*D94</f>
        <v>31.129000000000001</v>
      </c>
      <c r="E111" s="16"/>
      <c r="F111" s="16">
        <f>F102*F94</f>
        <v>30.588999999999999</v>
      </c>
      <c r="G111" s="16"/>
      <c r="H111" s="16">
        <f>H102*H94</f>
        <v>30.472000000000001</v>
      </c>
      <c r="I111" s="16"/>
      <c r="J111" s="16">
        <f>J102*J94</f>
        <v>28.88</v>
      </c>
      <c r="K111" s="16"/>
      <c r="L111" s="16">
        <f>L102*L94</f>
        <v>28.736000000000001</v>
      </c>
      <c r="M111" s="16"/>
      <c r="N111" s="16">
        <f>N102*N94</f>
        <v>28.63</v>
      </c>
    </row>
    <row r="112" spans="1:14" x14ac:dyDescent="0.4">
      <c r="B112" t="s">
        <v>66</v>
      </c>
      <c r="D112" s="15">
        <f>ROUND(D68/D111,2)</f>
        <v>30.04</v>
      </c>
      <c r="F112" s="15">
        <f>ROUND(F68/F111,2)</f>
        <v>29.05</v>
      </c>
      <c r="H112" s="15">
        <f>ROUND(H68/H111,2)</f>
        <v>28.42</v>
      </c>
      <c r="J112" s="15">
        <f>ROUND(J68/J111,2)</f>
        <v>26.41</v>
      </c>
      <c r="L112" s="15">
        <f>ROUND(L68/L111,2)</f>
        <v>25.85</v>
      </c>
      <c r="N112" s="15">
        <f>ROUND(N68/N111,2)</f>
        <v>29.71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0" orientation="portrait" r:id="rId1"/>
  <headerFooter alignWithMargins="0"/>
  <rowBreaks count="1" manualBreakCount="1">
    <brk id="5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6"/>
  <dimension ref="A1:R112"/>
  <sheetViews>
    <sheetView zoomScale="85" zoomScaleNormal="8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21875" customWidth="1"/>
    <col min="5" max="5" width="3.71875" customWidth="1"/>
    <col min="6" max="6" width="10.21875" customWidth="1"/>
    <col min="7" max="7" width="3.71875" customWidth="1"/>
    <col min="8" max="8" width="10.21875" customWidth="1"/>
    <col min="9" max="9" width="3.71875" customWidth="1"/>
    <col min="10" max="10" width="10.21875" customWidth="1"/>
    <col min="11" max="11" width="3.71875" customWidth="1"/>
    <col min="12" max="12" width="10.2187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9" t="str">
        <f>A54</f>
        <v>ONE GAS INC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4">
      <c r="A3" s="45" t="str">
        <f>'Page 1'!A3:N3</f>
        <v>2017-2021, Inclusive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8" t="s">
        <v>18</v>
      </c>
      <c r="E6" s="48"/>
      <c r="F6" s="48"/>
      <c r="G6" s="48"/>
      <c r="H6" s="48"/>
      <c r="I6" s="48"/>
      <c r="J6" s="48"/>
      <c r="K6" s="48"/>
      <c r="L6" s="48"/>
    </row>
    <row r="7" spans="1:15" x14ac:dyDescent="0.4">
      <c r="A7" t="s">
        <v>1</v>
      </c>
    </row>
    <row r="8" spans="1:15" x14ac:dyDescent="0.4">
      <c r="B8" t="s">
        <v>6</v>
      </c>
      <c r="D8" s="37">
        <f>D78+D79+D81-D103</f>
        <v>6039.4369999999999</v>
      </c>
      <c r="F8" s="37">
        <f>F78+F79+F81-F103</f>
        <v>3823.5160000000005</v>
      </c>
      <c r="H8" s="37">
        <f>H78+H79+H81-H103</f>
        <v>3422.1929999999998</v>
      </c>
      <c r="J8" s="37">
        <f>J78+J79+J81-J103</f>
        <v>3332.2249999999999</v>
      </c>
      <c r="L8" s="37">
        <f>L78+L79+L81-L103</f>
        <v>3158.9589999999998</v>
      </c>
    </row>
    <row r="9" spans="1:15" x14ac:dyDescent="0.4">
      <c r="B9" t="s">
        <v>5</v>
      </c>
      <c r="D9" s="11">
        <f>D80</f>
        <v>494</v>
      </c>
      <c r="F9" s="11">
        <f>F80</f>
        <v>418.22500000000002</v>
      </c>
      <c r="H9" s="11">
        <f>H80</f>
        <v>516.5</v>
      </c>
      <c r="J9" s="11">
        <f>J80</f>
        <v>299.5</v>
      </c>
      <c r="L9" s="11">
        <f>L80</f>
        <v>357.21499999999997</v>
      </c>
    </row>
    <row r="10" spans="1:15" ht="15.4" thickBot="1" x14ac:dyDescent="0.45">
      <c r="B10" t="s">
        <v>7</v>
      </c>
      <c r="D10" s="12">
        <f>D8+D9</f>
        <v>6533.4369999999999</v>
      </c>
      <c r="F10" s="12">
        <f>F8+F9</f>
        <v>4241.7410000000009</v>
      </c>
      <c r="H10" s="12">
        <f>H8+H9</f>
        <v>3938.6929999999998</v>
      </c>
      <c r="J10" s="12">
        <f>J8+J9</f>
        <v>3631.7249999999999</v>
      </c>
      <c r="L10" s="12">
        <f>L8+L9</f>
        <v>3516.174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73</v>
      </c>
      <c r="D13" s="32">
        <f>ROUND(AVERAGE(D108:D109)/D105,0)</f>
        <v>19</v>
      </c>
      <c r="E13" s="7" t="s">
        <v>3</v>
      </c>
      <c r="F13" s="32">
        <f>ROUND(AVERAGE(F108:F109)/F105,0)</f>
        <v>22</v>
      </c>
      <c r="G13" s="7" t="s">
        <v>3</v>
      </c>
      <c r="H13" s="32">
        <f>ROUND(AVERAGE(H108:H109)/H105,0)</f>
        <v>24</v>
      </c>
      <c r="I13" s="7" t="s">
        <v>3</v>
      </c>
      <c r="J13" s="32">
        <f>ROUND(AVERAGE(J108:J109)/J105,0)</f>
        <v>23</v>
      </c>
      <c r="K13" s="7" t="s">
        <v>3</v>
      </c>
      <c r="L13" s="32">
        <f>ROUND(AVERAGE(L108:L109)/L105,0)</f>
        <v>23</v>
      </c>
      <c r="M13" s="7" t="s">
        <v>3</v>
      </c>
      <c r="N13" s="33">
        <f>AVERAGE(D13,F13,H13,J13,L13)</f>
        <v>22.2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1.6830000000000001</v>
      </c>
      <c r="E14" s="3"/>
      <c r="F14" s="3">
        <f>ROUND(AVERAGE(F108:F109)/AVERAGE(F112,H112),3)</f>
        <v>1.95</v>
      </c>
      <c r="G14" s="3"/>
      <c r="H14" s="3">
        <f>ROUND(AVERAGE(H108:H109)/AVERAGE(H112,J112),3)</f>
        <v>2.1779999999999999</v>
      </c>
      <c r="I14" s="3"/>
      <c r="J14" s="3">
        <f>ROUND(AVERAGE(J108:J109)/AVERAGE(J112,L112),3)</f>
        <v>1.964</v>
      </c>
      <c r="K14" s="3"/>
      <c r="L14" s="3">
        <f>ROUND(AVERAGE(L108:L109)/AVERAGE(L112,N112),3)</f>
        <v>1.915</v>
      </c>
      <c r="M14" s="3"/>
      <c r="N14" s="6">
        <f>AVERAGE(D14,F14,H14,J14,L14)</f>
        <v>1.9380000000000002</v>
      </c>
    </row>
    <row r="15" spans="1:15" x14ac:dyDescent="0.4">
      <c r="B15" t="s">
        <v>9</v>
      </c>
      <c r="D15" s="3">
        <f>ROUND(D106/AVERAGE(D108:D109),3)</f>
        <v>3.2000000000000001E-2</v>
      </c>
      <c r="E15" s="3"/>
      <c r="F15" s="3">
        <f>ROUND(F106/AVERAGE(F108:F109),3)</f>
        <v>2.7E-2</v>
      </c>
      <c r="G15" s="3"/>
      <c r="H15" s="3">
        <f>ROUND(H106/AVERAGE(H108:H109),3)</f>
        <v>2.3E-2</v>
      </c>
      <c r="I15" s="3"/>
      <c r="J15" s="3">
        <f>ROUND(J106/AVERAGE(J108:J109),3)</f>
        <v>2.5000000000000001E-2</v>
      </c>
      <c r="K15" s="3"/>
      <c r="L15" s="3">
        <f>ROUND(L106/AVERAGE(L108:L109),3)</f>
        <v>2.4E-2</v>
      </c>
      <c r="M15" s="3"/>
      <c r="N15" s="6">
        <f>AVERAGE(D15,F15,H15,J15,L15)</f>
        <v>2.6199999999999994E-2</v>
      </c>
    </row>
    <row r="16" spans="1:15" x14ac:dyDescent="0.4">
      <c r="B16" t="s">
        <v>10</v>
      </c>
      <c r="D16" s="3">
        <f>ROUND(D96/D66,3)</f>
        <v>0.60499999999999998</v>
      </c>
      <c r="E16" s="3"/>
      <c r="F16" s="3">
        <f>ROUND(F96/F66,3)</f>
        <v>0.58699999999999997</v>
      </c>
      <c r="G16" s="3"/>
      <c r="H16" s="3">
        <f>ROUND(H96/H66,3)</f>
        <v>0.56899999999999995</v>
      </c>
      <c r="I16" s="3"/>
      <c r="J16" s="3">
        <f>ROUND(J96/J66,3)</f>
        <v>0.56599999999999995</v>
      </c>
      <c r="K16" s="3"/>
      <c r="L16" s="3">
        <f>ROUND(L96/L66,3)</f>
        <v>0.54500000000000004</v>
      </c>
      <c r="M16" s="3"/>
      <c r="N16" s="6">
        <f>AVERAGE(D16,F16,H16,J16,L16)</f>
        <v>0.57440000000000002</v>
      </c>
    </row>
    <row r="18" spans="1:14" x14ac:dyDescent="0.4">
      <c r="A18" t="s">
        <v>2</v>
      </c>
    </row>
    <row r="19" spans="1:14" x14ac:dyDescent="0.4">
      <c r="B19" t="s">
        <v>72</v>
      </c>
    </row>
    <row r="20" spans="1:14" x14ac:dyDescent="0.4">
      <c r="B20" s="34" t="s">
        <v>77</v>
      </c>
      <c r="D20" s="3">
        <f>ROUND((+D76+D79)/D8,3)</f>
        <v>0.61</v>
      </c>
      <c r="E20" s="3"/>
      <c r="F20" s="3">
        <f>ROUND((+F76+F79)/F8,3)</f>
        <v>0.41399999999999998</v>
      </c>
      <c r="G20" s="3"/>
      <c r="H20" s="3">
        <f>ROUND((+H76+H79)/H8,3)</f>
        <v>0.376</v>
      </c>
      <c r="I20" s="3"/>
      <c r="J20" s="3">
        <f>ROUND((+J76+J79)/J8,3)</f>
        <v>0.38600000000000001</v>
      </c>
      <c r="K20" s="3"/>
      <c r="L20" s="3">
        <f>ROUND((+L76+L79)/L8,3)</f>
        <v>0.378</v>
      </c>
      <c r="M20" s="3"/>
      <c r="N20" s="6">
        <f>AVERAGE(D20,F20,H20,J20,L20)</f>
        <v>0.43280000000000002</v>
      </c>
    </row>
    <row r="21" spans="1:14" x14ac:dyDescent="0.4">
      <c r="B21" s="34" t="s">
        <v>78</v>
      </c>
      <c r="D21" s="3">
        <f>ROUND((SUM(D69:D75)+D81)/D8,3)</f>
        <v>0</v>
      </c>
      <c r="E21" s="3"/>
      <c r="F21" s="3">
        <f>ROUND((SUM(F69:F75)+F81)/F8,3)</f>
        <v>0</v>
      </c>
      <c r="G21" s="3"/>
      <c r="H21" s="3">
        <f>ROUND((SUM(H69:H75)+H81)/H8,3)</f>
        <v>0</v>
      </c>
      <c r="I21" s="3"/>
      <c r="J21" s="3">
        <f>ROUND((SUM(J69:J75)+J81)/J8,3)</f>
        <v>0</v>
      </c>
      <c r="K21" s="3"/>
      <c r="L21" s="3">
        <f>ROUND((SUM(L69:L75)+L81)/L8,3)</f>
        <v>0</v>
      </c>
      <c r="M21" s="3"/>
      <c r="N21" s="6">
        <f>AVERAGE(D21,F21,H21,J21,L21)</f>
        <v>0</v>
      </c>
    </row>
    <row r="22" spans="1:14" ht="17.25" x14ac:dyDescent="0.4">
      <c r="B22" s="35" t="s">
        <v>79</v>
      </c>
      <c r="D22" s="4">
        <f>ROUND((D68-D103)/D8,3)</f>
        <v>0.39</v>
      </c>
      <c r="E22" s="3"/>
      <c r="F22" s="4">
        <f>ROUND((F68-F103)/F8,3)</f>
        <v>0.58599999999999997</v>
      </c>
      <c r="G22" s="3"/>
      <c r="H22" s="4">
        <f>ROUND((H68-H103)/H8,3)</f>
        <v>0.624</v>
      </c>
      <c r="I22" s="3"/>
      <c r="J22" s="4">
        <f>ROUND((J68-J103)/J8,3)</f>
        <v>0.61399999999999999</v>
      </c>
      <c r="K22" s="3"/>
      <c r="L22" s="4">
        <f>ROUND((L68-L103)/L8,3)</f>
        <v>0.622</v>
      </c>
      <c r="M22" s="3"/>
      <c r="N22" s="8">
        <f>AVERAGE(D22,F22,H22,J22,L22)</f>
        <v>0.56719999999999993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9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4" t="s">
        <v>80</v>
      </c>
      <c r="D25" s="3">
        <f>ROUND((+D76+D79+D80)/D10,3)</f>
        <v>0.63900000000000001</v>
      </c>
      <c r="E25" s="3"/>
      <c r="F25" s="3">
        <f>ROUND((+F76+F79+F80)/F10,3)</f>
        <v>0.47199999999999998</v>
      </c>
      <c r="G25" s="3"/>
      <c r="H25" s="3">
        <f>ROUND((+H76+H79+H80)/H10,3)</f>
        <v>0.45800000000000002</v>
      </c>
      <c r="I25" s="3"/>
      <c r="J25" s="3">
        <f>ROUND((+J76+J79+J80)/J10,3)</f>
        <v>0.436</v>
      </c>
      <c r="K25" s="3"/>
      <c r="L25" s="3">
        <f>ROUND((+L76+L79+L80)/L10,3)</f>
        <v>0.441</v>
      </c>
      <c r="M25" s="3"/>
      <c r="N25" s="6">
        <f>AVERAGE(D25,F25,H25,J25,L25)</f>
        <v>0.48919999999999997</v>
      </c>
    </row>
    <row r="26" spans="1:14" x14ac:dyDescent="0.4">
      <c r="B26" s="34" t="s">
        <v>78</v>
      </c>
      <c r="D26" s="3">
        <f>ROUND((SUM(D69:D75)+D81)/D10,3)</f>
        <v>0</v>
      </c>
      <c r="E26" s="3"/>
      <c r="F26" s="3">
        <f>ROUND((SUM(F69:F75)+F81)/F10,3)</f>
        <v>0</v>
      </c>
      <c r="G26" s="3"/>
      <c r="H26" s="3">
        <f>ROUND((SUM(H69:H75)+H81)/H10,3)</f>
        <v>0</v>
      </c>
      <c r="I26" s="3"/>
      <c r="J26" s="3">
        <f>ROUND((SUM(J69:J75)+J81)/J10,3)</f>
        <v>0</v>
      </c>
      <c r="K26" s="3"/>
      <c r="L26" s="3">
        <f>ROUND((SUM(L69:L75)+L81)/L10,3)</f>
        <v>0</v>
      </c>
      <c r="M26" s="3"/>
      <c r="N26" s="6">
        <f>AVERAGE(D26,F26,H26,J26,L26)</f>
        <v>0</v>
      </c>
    </row>
    <row r="27" spans="1:14" ht="17.25" x14ac:dyDescent="0.4">
      <c r="B27" s="35" t="s">
        <v>79</v>
      </c>
      <c r="D27" s="4">
        <f>ROUND((D68-D103)/D10,3)</f>
        <v>0.36099999999999999</v>
      </c>
      <c r="E27" s="3"/>
      <c r="F27" s="4">
        <f>ROUND((F68-F103)/F10,3)</f>
        <v>0.52800000000000002</v>
      </c>
      <c r="G27" s="3"/>
      <c r="H27" s="4">
        <f>ROUND((H68-H103)/H10,3)</f>
        <v>0.54200000000000004</v>
      </c>
      <c r="I27" s="3"/>
      <c r="J27" s="4">
        <f>ROUND((J68-J103)/J10,3)</f>
        <v>0.56399999999999995</v>
      </c>
      <c r="K27" s="3"/>
      <c r="L27" s="4">
        <f>ROUND((L68-L103)/L10,3)</f>
        <v>0.55900000000000005</v>
      </c>
      <c r="M27" s="3"/>
      <c r="N27" s="8">
        <f>AVERAGE(D27,F27,H27,J27,L27)</f>
        <v>0.51080000000000003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</v>
      </c>
      <c r="I28" s="3"/>
      <c r="J28" s="5">
        <f>SUM(J25:J27)</f>
        <v>1</v>
      </c>
      <c r="K28" s="3"/>
      <c r="L28" s="5">
        <f>SUM(L25:L27)</f>
        <v>1</v>
      </c>
      <c r="M28" s="3"/>
      <c r="N28" s="9">
        <f>AVERAGE(D28,F28,H28,J28,L28)</f>
        <v>1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6" t="s">
        <v>81</v>
      </c>
      <c r="D30" s="3">
        <f>ROUND(+D66/(((D68-D103)+(F68-F103))/2),3)</f>
        <v>0.09</v>
      </c>
      <c r="E30" s="3"/>
      <c r="F30" s="3">
        <f>ROUND(+F66/(((F68-F103)+(H68-H103))/2),3)</f>
        <v>0.09</v>
      </c>
      <c r="G30" s="3"/>
      <c r="H30" s="3">
        <f>ROUND(+H66/(((H68-H103)+(J68-J103))/2),3)</f>
        <v>8.8999999999999996E-2</v>
      </c>
      <c r="I30" s="3"/>
      <c r="J30" s="3">
        <f>ROUND(+J66/(((J68-J103)+(L68-L103))/2),3)</f>
        <v>8.5999999999999993E-2</v>
      </c>
      <c r="K30" s="3"/>
      <c r="L30" s="3">
        <f>ROUND(+L66/(((L68-L103)+(N68-N103))/2),3)</f>
        <v>8.4000000000000005E-2</v>
      </c>
      <c r="M30" s="3"/>
      <c r="N30" s="6">
        <f>AVERAGE(D30,F30,H30,J30,L30)</f>
        <v>8.7800000000000003E-2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6" t="s">
        <v>82</v>
      </c>
      <c r="D32" s="3">
        <f>ROUND((+D58-D57)/D56,3)</f>
        <v>0.82799999999999996</v>
      </c>
      <c r="E32" s="3"/>
      <c r="F32" s="3">
        <f>ROUND((+F58-F57)/F56,3)</f>
        <v>0.80200000000000005</v>
      </c>
      <c r="G32" s="3"/>
      <c r="H32" s="3">
        <f>ROUND((+H58-H57)/H56,3)</f>
        <v>0.82099999999999995</v>
      </c>
      <c r="I32" s="3"/>
      <c r="J32" s="3">
        <f>ROUND((+J58-J57)/J56,3)</f>
        <v>0.82299999999999995</v>
      </c>
      <c r="K32" s="3"/>
      <c r="L32" s="3">
        <f>ROUND((+L58-L57)/L56,3)</f>
        <v>0.80500000000000005</v>
      </c>
      <c r="M32" s="3"/>
      <c r="N32" s="6">
        <f>AVERAGE(D32,F32,H32,J32,L32)</f>
        <v>0.81579999999999997</v>
      </c>
    </row>
    <row r="34" spans="1:15" ht="17.25" x14ac:dyDescent="0.4">
      <c r="A34" s="36" t="s">
        <v>83</v>
      </c>
    </row>
    <row r="35" spans="1:15" x14ac:dyDescent="0.4">
      <c r="B35" t="s">
        <v>13</v>
      </c>
      <c r="D35" s="7">
        <f>ROUND(((+D66+D65+D64+D63+D61+D59+D57)/D61),2)</f>
        <v>5.09</v>
      </c>
      <c r="E35" s="7" t="s">
        <v>3</v>
      </c>
      <c r="F35" s="7">
        <f>ROUND(((+F66+F65+F64+F63+F61+F59+F57)/F61),2)</f>
        <v>4.8099999999999996</v>
      </c>
      <c r="G35" s="7" t="s">
        <v>3</v>
      </c>
      <c r="H35" s="7">
        <f>ROUND(((+H66+H65+H64+H63+H61+H59+H57)/H61),2)</f>
        <v>4.66</v>
      </c>
      <c r="I35" s="7" t="s">
        <v>3</v>
      </c>
      <c r="J35" s="7">
        <f>ROUND(((+J66+J65+J64+J63+J61+J59+J57)/J61),2)</f>
        <v>5.13</v>
      </c>
      <c r="K35" s="7" t="s">
        <v>3</v>
      </c>
      <c r="L35" s="7">
        <f>ROUND(((+L66+L65+L64+L63+L61+L59+L57)/L61),2)</f>
        <v>6.22</v>
      </c>
      <c r="M35" s="7" t="s">
        <v>3</v>
      </c>
      <c r="N35" s="27">
        <f>AVERAGE(D35,F35,H35,J35,L35)</f>
        <v>5.1819999999999995</v>
      </c>
      <c r="O35" t="s">
        <v>3</v>
      </c>
    </row>
    <row r="36" spans="1:15" x14ac:dyDescent="0.4">
      <c r="B36" t="s">
        <v>21</v>
      </c>
      <c r="D36" s="7">
        <f>ROUND(((+D66+D65+D64+D63+D61)/(D61)),2)</f>
        <v>4.42</v>
      </c>
      <c r="E36" s="7" t="s">
        <v>3</v>
      </c>
      <c r="F36" s="7">
        <f>ROUND(((+F66+F65+F64+F63+F61)/(F61)),2)</f>
        <v>4.1399999999999997</v>
      </c>
      <c r="G36" s="7" t="s">
        <v>3</v>
      </c>
      <c r="H36" s="7">
        <f>ROUND(((+H66+H65+H64+H63+H61)/(H61)),2)</f>
        <v>3.98</v>
      </c>
      <c r="I36" s="7" t="s">
        <v>3</v>
      </c>
      <c r="J36" s="7">
        <f>ROUND(((+J66+J65+J64+J63+J61)/(J61)),2)</f>
        <v>4.1500000000000004</v>
      </c>
      <c r="K36" s="7" t="s">
        <v>3</v>
      </c>
      <c r="L36" s="7">
        <f>ROUND(((+L66+L65+L64+L63+L61)/(L61)),2)</f>
        <v>4.32</v>
      </c>
      <c r="M36" s="7" t="s">
        <v>3</v>
      </c>
      <c r="N36" s="27">
        <f>AVERAGE(D36,F36,H36,J36,L36)</f>
        <v>4.202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4.42</v>
      </c>
      <c r="E37" s="7" t="s">
        <v>3</v>
      </c>
      <c r="F37" s="7">
        <f>ROUND(((+F66+F65+F64+F63+F61)/(F61+F63+F64+F65)),2)</f>
        <v>4.1399999999999997</v>
      </c>
      <c r="G37" s="7" t="s">
        <v>3</v>
      </c>
      <c r="H37" s="7">
        <f>ROUND(((+H66+H65+H64+H63+H61)/(H61+H63+H64+H65)),2)</f>
        <v>3.98</v>
      </c>
      <c r="I37" s="7" t="s">
        <v>3</v>
      </c>
      <c r="J37" s="7">
        <f>ROUND(((+J66+J65+J64+J63+J61)/(J61+J63+J64+J65)),2)</f>
        <v>4.1500000000000004</v>
      </c>
      <c r="K37" s="7" t="s">
        <v>3</v>
      </c>
      <c r="L37" s="7">
        <f>ROUND(((+L66+L65+L64+L63+L61)/(L61+L63+L64+L65)),2)</f>
        <v>4.32</v>
      </c>
      <c r="M37" s="7" t="s">
        <v>3</v>
      </c>
      <c r="N37" s="27">
        <f>AVERAGE(D37,F37,H37,J37,L37)</f>
        <v>4.202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6" t="s">
        <v>84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5.09</v>
      </c>
      <c r="E40" s="7" t="s">
        <v>3</v>
      </c>
      <c r="F40" s="7">
        <f>ROUND(((+F66+F65+F64+F63-F62+F61+F59+F57)/F61),2)</f>
        <v>4.8099999999999996</v>
      </c>
      <c r="G40" s="7" t="s">
        <v>3</v>
      </c>
      <c r="H40" s="7">
        <f>ROUND(((+H66+H65+H64+H63-H62+H61+H59+H57)/H61),2)</f>
        <v>4.66</v>
      </c>
      <c r="I40" s="7" t="s">
        <v>3</v>
      </c>
      <c r="J40" s="7">
        <f>ROUND(((+J66+J65+J64+J63-J62+J61+J59+J57)/J61),2)</f>
        <v>5.13</v>
      </c>
      <c r="K40" s="7" t="s">
        <v>3</v>
      </c>
      <c r="L40" s="7">
        <f>ROUND(((+L66+L65+L64+L63-L62+L61+L59+L57)/L61),2)</f>
        <v>6.22</v>
      </c>
      <c r="M40" s="7" t="s">
        <v>3</v>
      </c>
      <c r="N40" s="27">
        <f>AVERAGE(D40,F40,H40,J40,L40)</f>
        <v>5.1819999999999995</v>
      </c>
      <c r="O40" t="s">
        <v>3</v>
      </c>
    </row>
    <row r="41" spans="1:15" x14ac:dyDescent="0.4">
      <c r="B41" t="s">
        <v>21</v>
      </c>
      <c r="D41" s="7">
        <f>ROUND(((+D66+D65+D64+D63-D62+D61)/D61),2)</f>
        <v>4.42</v>
      </c>
      <c r="E41" s="7" t="s">
        <v>3</v>
      </c>
      <c r="F41" s="7">
        <f>ROUND(((+F66+F65+F64+F63-F62+F61)/F61),2)</f>
        <v>4.1399999999999997</v>
      </c>
      <c r="G41" s="7" t="s">
        <v>3</v>
      </c>
      <c r="H41" s="7">
        <f>ROUND(((+H66+H65+H64+H63-H62+H61)/H61),2)</f>
        <v>3.98</v>
      </c>
      <c r="I41" s="7" t="s">
        <v>3</v>
      </c>
      <c r="J41" s="7">
        <f>ROUND(((+J66+J65+J64+J63-J62+J61)/J61),2)</f>
        <v>4.1500000000000004</v>
      </c>
      <c r="K41" s="7" t="s">
        <v>3</v>
      </c>
      <c r="L41" s="7">
        <f>ROUND(((+L66+L65+L64+L63-L62+L61)/L61),2)</f>
        <v>4.32</v>
      </c>
      <c r="M41" s="7" t="s">
        <v>3</v>
      </c>
      <c r="N41" s="27">
        <f>AVERAGE(D41,F41,H41,J41,L41)</f>
        <v>4.202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4.42</v>
      </c>
      <c r="E42" s="7" t="s">
        <v>3</v>
      </c>
      <c r="F42" s="7">
        <f>ROUND(((+F66+F65+F64+F63-F62+F61)/(F61+F63+F64+F65)),2)</f>
        <v>4.1399999999999997</v>
      </c>
      <c r="G42" s="7" t="s">
        <v>3</v>
      </c>
      <c r="H42" s="7">
        <f>ROUND(((+H66+H65+H64+H63-H62+H61)/(H61+H63+H64+H65)),2)</f>
        <v>3.98</v>
      </c>
      <c r="I42" s="7" t="s">
        <v>3</v>
      </c>
      <c r="J42" s="7">
        <f>ROUND(((+J66+J65+J64+J63-J62+J61)/(J61+J63+J64+J65)),2)</f>
        <v>4.1500000000000004</v>
      </c>
      <c r="K42" s="7" t="s">
        <v>3</v>
      </c>
      <c r="L42" s="7">
        <f>ROUND(((+L66+L65+L64+L63-L62+L61)/(L61+L63+L64+L65)),2)</f>
        <v>4.32</v>
      </c>
      <c r="M42" s="7" t="s">
        <v>3</v>
      </c>
      <c r="N42" s="27">
        <f>AVERAGE(D42,F42,H42,J42,L42)</f>
        <v>4.202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3">
        <f>ROUND(D62/D66,3)</f>
        <v>0</v>
      </c>
      <c r="E45" s="13"/>
      <c r="F45" s="13">
        <f>ROUND(F62/F66,3)</f>
        <v>0</v>
      </c>
      <c r="G45" s="13"/>
      <c r="H45" s="13">
        <f>ROUND(H62/H66,3)</f>
        <v>0</v>
      </c>
      <c r="I45" s="13"/>
      <c r="J45" s="13">
        <f>ROUND(J62/J66,3)</f>
        <v>0</v>
      </c>
      <c r="K45" s="13"/>
      <c r="L45" s="13">
        <f>ROUND(L62/L66,3)</f>
        <v>0</v>
      </c>
      <c r="M45" s="3"/>
      <c r="N45" s="6">
        <f t="shared" ref="N45:N50" si="0">AVERAGE(D45,F45,H45,J45,L45)</f>
        <v>0</v>
      </c>
    </row>
    <row r="46" spans="1:15" x14ac:dyDescent="0.4">
      <c r="B46" t="s">
        <v>17</v>
      </c>
      <c r="D46" s="17">
        <f>ROUND((D57+D59)/(D57+D59+D66+D63+D64+D65),3)</f>
        <v>0.16300000000000001</v>
      </c>
      <c r="E46" s="18"/>
      <c r="F46" s="17">
        <f>ROUND((F57+F59)/(F57+F59+F66+F63+F64+F65),3)</f>
        <v>0.17499999999999999</v>
      </c>
      <c r="G46" s="18"/>
      <c r="H46" s="17">
        <f>ROUND((H57+H59)/(H57+H59+H66+H63+H64+H65),3)</f>
        <v>0.187</v>
      </c>
      <c r="I46" s="18"/>
      <c r="J46" s="17">
        <f>ROUND((J57+J59)/(J57+J59+J66+J63+J64+J65),3)</f>
        <v>0.23699999999999999</v>
      </c>
      <c r="K46" s="18"/>
      <c r="L46" s="17">
        <f>ROUND((L57+L59)/(L57+L59+L66+L63+L64+L65),3)</f>
        <v>0.36399999999999999</v>
      </c>
      <c r="N46" s="6">
        <f t="shared" si="0"/>
        <v>0.22519999999999998</v>
      </c>
    </row>
    <row r="47" spans="1:15" ht="17.25" x14ac:dyDescent="0.4">
      <c r="B47" s="36" t="s">
        <v>85</v>
      </c>
      <c r="D47" s="13">
        <f>ROUND(((+D82+D83+D84+D85+D86-D87+D88-D90-D91)/(+D89-D87)),3)</f>
        <v>0.71199999999999997</v>
      </c>
      <c r="E47" s="14"/>
      <c r="F47" s="13">
        <f>ROUND(((+F82+F83+F84+F85+F86-F87+F88-F90-F91)/(+F89-F87)),3)</f>
        <v>0.68</v>
      </c>
      <c r="G47" s="14"/>
      <c r="H47" s="13">
        <f>ROUND(((+H82+H83+H84+H85+H86-H87+H88-H90-H91)/(+H89-H87)),3)</f>
        <v>0.70299999999999996</v>
      </c>
      <c r="I47" s="14"/>
      <c r="J47" s="13">
        <f>ROUND(((+J82+J83+J84+J85+J86-J87+J88-J90-J91)/(+J89-J87)),3)</f>
        <v>0.77500000000000002</v>
      </c>
      <c r="K47" s="14"/>
      <c r="L47" s="13">
        <f>ROUND(((+L82+L83+L84+L85+L86-L87+L88-L90-L91)/(+L89-L87)),3)</f>
        <v>0.94199999999999995</v>
      </c>
      <c r="N47" s="6">
        <f t="shared" si="0"/>
        <v>0.76239999999999986</v>
      </c>
    </row>
    <row r="48" spans="1:15" ht="17.25" x14ac:dyDescent="0.4">
      <c r="B48" s="36" t="s">
        <v>86</v>
      </c>
      <c r="D48" s="13">
        <f>ROUND(((+D82+D83+D84+D85+D86-D87+D88)/(AVERAGE(D76,F76)+AVERAGE(D79,F79)+AVERAGE(D80,F80))),3)</f>
        <v>0.154</v>
      </c>
      <c r="E48" s="14"/>
      <c r="F48" s="13">
        <f>ROUND(((+F82+F83+F84+F85+F86-F87+F88)/(AVERAGE(F76,H76)+AVERAGE(F79,H79)+AVERAGE(F80,H80))),3)</f>
        <v>0.22900000000000001</v>
      </c>
      <c r="G48" s="14"/>
      <c r="H48" s="13">
        <f>ROUND(((+H82+H83+H84+H85+H86-H87+H88)/(AVERAGE(H76,J76)+AVERAGE(H79,J79)+AVERAGE(H80,J80))),3)</f>
        <v>0.23499999999999999</v>
      </c>
      <c r="I48" s="14"/>
      <c r="J48" s="13">
        <f>ROUND(((+J82+J83+J84+J85+J86-J87+J88)/(AVERAGE(J76,L76)+AVERAGE(J79,L79)+AVERAGE(J80,L80))),3)</f>
        <v>0.25700000000000001</v>
      </c>
      <c r="K48" s="14"/>
      <c r="L48" s="13">
        <f>ROUND(((+L82+L83+L84+L85+L86-L87+L88)/(AVERAGE(L76,N76)+AVERAGE(L79,N79)+AVERAGE(L80,N80))),3)</f>
        <v>0.29299999999999998</v>
      </c>
      <c r="N48" s="6">
        <f t="shared" si="0"/>
        <v>0.23359999999999997</v>
      </c>
    </row>
    <row r="49" spans="1:15" ht="17.25" x14ac:dyDescent="0.4">
      <c r="B49" s="36" t="s">
        <v>87</v>
      </c>
      <c r="D49" s="28">
        <f>ROUND(((+D82+D83+D84+D85+D86-D87+D88+D92)/D61),2)</f>
        <v>9.07</v>
      </c>
      <c r="E49" t="s">
        <v>3</v>
      </c>
      <c r="F49" s="28">
        <f>ROUND(((+F82+F83+F84+F85+F86-F87+F88+F92)/F61),2)</f>
        <v>7.92</v>
      </c>
      <c r="G49" t="s">
        <v>3</v>
      </c>
      <c r="H49" s="28">
        <f>ROUND(((+H82+H83+H84+H85+H86-H87+H88+H92)/H61),2)</f>
        <v>7.34</v>
      </c>
      <c r="I49" t="s">
        <v>3</v>
      </c>
      <c r="J49" s="28">
        <f>ROUND(((+J82+J83+J84+J85+J86-J87+J88+J92)/J61),2)</f>
        <v>8.26</v>
      </c>
      <c r="K49" t="s">
        <v>3</v>
      </c>
      <c r="L49" s="28">
        <f>ROUND(((+L82+L83+L84+L85+L86-L87+L88+L92)/L61),2)</f>
        <v>9.5399999999999991</v>
      </c>
      <c r="M49" t="s">
        <v>3</v>
      </c>
      <c r="N49" s="29">
        <f t="shared" si="0"/>
        <v>8.4260000000000002</v>
      </c>
      <c r="O49" t="s">
        <v>3</v>
      </c>
    </row>
    <row r="50" spans="1:15" ht="17.25" x14ac:dyDescent="0.4">
      <c r="B50" s="36" t="s">
        <v>88</v>
      </c>
      <c r="D50" s="28">
        <f>ROUND(((+D82+D83+D84+D85+D86-D87+D88-D91)/+D90),2)</f>
        <v>3.85</v>
      </c>
      <c r="E50" t="s">
        <v>3</v>
      </c>
      <c r="F50" s="28">
        <f>ROUND(((+F82+F83+F84+F85+F86-F87+F88-F91)/+F90),2)</f>
        <v>3.8</v>
      </c>
      <c r="G50" t="s">
        <v>3</v>
      </c>
      <c r="H50" s="28">
        <f>ROUND(((+H82+H83+H84+H85+H86-H87+H88-H91)/+H90),2)</f>
        <v>3.78</v>
      </c>
      <c r="I50" t="s">
        <v>3</v>
      </c>
      <c r="J50" s="28">
        <f>ROUND(((+J82+J83+J84+J85+J86-J87+J88-J91)/+J90),2)</f>
        <v>4.16</v>
      </c>
      <c r="K50" t="s">
        <v>3</v>
      </c>
      <c r="L50" s="28">
        <f>ROUND(((+L82+L83+L84+L85+L86-L87+L88-L91)/+L90),2)</f>
        <v>4.8099999999999996</v>
      </c>
      <c r="M50" t="s">
        <v>3</v>
      </c>
      <c r="N50" s="29">
        <f t="shared" si="0"/>
        <v>4.08</v>
      </c>
      <c r="O50" t="s">
        <v>3</v>
      </c>
    </row>
    <row r="52" spans="1:15" x14ac:dyDescent="0.4">
      <c r="A52" t="s">
        <v>4</v>
      </c>
    </row>
    <row r="53" spans="1:15" x14ac:dyDescent="0.4">
      <c r="D53" s="38"/>
      <c r="F53" s="38"/>
    </row>
    <row r="54" spans="1:15" x14ac:dyDescent="0.4">
      <c r="A54" s="19" t="s">
        <v>101</v>
      </c>
      <c r="B54" s="19"/>
      <c r="C54" s="19"/>
      <c r="D54" s="38"/>
      <c r="E54" s="20"/>
      <c r="F54" s="38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1808.597</v>
      </c>
      <c r="E56" s="22"/>
      <c r="F56" s="22">
        <v>1530.268</v>
      </c>
      <c r="G56" s="22"/>
      <c r="H56" s="22">
        <v>1652.73</v>
      </c>
      <c r="I56" s="22"/>
      <c r="J56" s="22">
        <v>1633.731</v>
      </c>
      <c r="K56" s="22"/>
      <c r="L56" s="22">
        <v>1539.633</v>
      </c>
      <c r="M56" s="22"/>
      <c r="N56" s="22">
        <v>1427.232</v>
      </c>
    </row>
    <row r="57" spans="1:15" x14ac:dyDescent="0.4">
      <c r="A57" s="20" t="s">
        <v>23</v>
      </c>
      <c r="B57" s="20"/>
      <c r="C57" s="20"/>
      <c r="D57" s="22">
        <v>40.316000000000003</v>
      </c>
      <c r="E57" s="22"/>
      <c r="F57" s="22">
        <v>41.579000000000001</v>
      </c>
      <c r="G57" s="22"/>
      <c r="H57" s="22">
        <v>42.851999999999997</v>
      </c>
      <c r="I57" s="22"/>
      <c r="J57" s="22">
        <v>53.530999999999999</v>
      </c>
      <c r="K57" s="22"/>
      <c r="L57" s="22">
        <v>93.143000000000001</v>
      </c>
      <c r="M57" s="22"/>
      <c r="N57" s="22">
        <v>85.242999999999995</v>
      </c>
    </row>
    <row r="58" spans="1:15" x14ac:dyDescent="0.4">
      <c r="A58" s="20" t="s">
        <v>24</v>
      </c>
      <c r="B58" s="20"/>
      <c r="C58" s="20"/>
      <c r="D58" s="22">
        <f>775.006+723.333+D57</f>
        <v>1538.655</v>
      </c>
      <c r="E58" s="22"/>
      <c r="F58" s="22">
        <f>537.445+689.307+F57</f>
        <v>1268.3309999999999</v>
      </c>
      <c r="G58" s="22"/>
      <c r="H58" s="22">
        <f>687.974+669.498+H57</f>
        <v>1400.3240000000003</v>
      </c>
      <c r="I58" s="22"/>
      <c r="J58" s="22">
        <v>1398.8330000000001</v>
      </c>
      <c r="K58" s="22"/>
      <c r="L58" s="22">
        <v>1333.3</v>
      </c>
      <c r="M58" s="22"/>
      <c r="N58" s="22">
        <v>1243.355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310.258-D57-3.207</f>
        <v>266.73500000000001</v>
      </c>
      <c r="E60" s="22"/>
      <c r="F60" s="22">
        <f>303.516-F57-3.02</f>
        <v>258.91700000000003</v>
      </c>
      <c r="G60" s="22"/>
      <c r="H60" s="22">
        <f>295.258-H57-2.976</f>
        <v>249.42999999999998</v>
      </c>
      <c r="I60" s="22"/>
      <c r="J60" s="22">
        <v>223.53899999999999</v>
      </c>
      <c r="K60" s="22"/>
      <c r="L60" s="22">
        <v>209.06</v>
      </c>
      <c r="M60" s="22"/>
      <c r="N60" s="22">
        <v>183.834</v>
      </c>
    </row>
    <row r="61" spans="1:15" x14ac:dyDescent="0.4">
      <c r="A61" s="20" t="s">
        <v>27</v>
      </c>
      <c r="B61" s="20"/>
      <c r="C61" s="20"/>
      <c r="D61" s="22">
        <v>60.301000000000002</v>
      </c>
      <c r="E61" s="22"/>
      <c r="F61" s="22">
        <v>62.505000000000003</v>
      </c>
      <c r="G61" s="22"/>
      <c r="H61" s="22">
        <v>62.680999999999997</v>
      </c>
      <c r="I61" s="22"/>
      <c r="J61" s="22">
        <v>54.704999999999998</v>
      </c>
      <c r="K61" s="22"/>
      <c r="L61" s="22">
        <v>49.064999999999998</v>
      </c>
      <c r="M61" s="22"/>
      <c r="N61" s="22">
        <v>47.338999999999999</v>
      </c>
    </row>
    <row r="62" spans="1:15" x14ac:dyDescent="0.4">
      <c r="A62" s="20" t="s">
        <v>28</v>
      </c>
      <c r="B62" s="20"/>
      <c r="C62" s="20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206.434</v>
      </c>
      <c r="E66" s="22"/>
      <c r="F66" s="22">
        <v>196.41200000000001</v>
      </c>
      <c r="G66" s="22"/>
      <c r="H66" s="22">
        <v>186.749</v>
      </c>
      <c r="I66" s="22"/>
      <c r="J66" s="22">
        <v>172.23400000000001</v>
      </c>
      <c r="K66" s="22"/>
      <c r="L66" s="22">
        <v>162.995</v>
      </c>
      <c r="M66" s="22"/>
      <c r="N66" s="22">
        <v>140.095</v>
      </c>
    </row>
    <row r="67" spans="1:14" x14ac:dyDescent="0.4">
      <c r="A67" s="20" t="s">
        <v>33</v>
      </c>
      <c r="B67" s="20"/>
      <c r="C67" s="20"/>
      <c r="D67" s="22">
        <v>3.85</v>
      </c>
      <c r="E67" s="22"/>
      <c r="F67" s="22">
        <v>3.7</v>
      </c>
      <c r="G67" s="22"/>
      <c r="H67" s="22">
        <v>3.53</v>
      </c>
      <c r="I67" s="22"/>
      <c r="J67" s="22">
        <v>3.27</v>
      </c>
      <c r="K67" s="22"/>
      <c r="L67" s="22">
        <v>3.1</v>
      </c>
      <c r="M67" s="22"/>
      <c r="N67" s="22">
        <v>2.67</v>
      </c>
    </row>
    <row r="68" spans="1:14" x14ac:dyDescent="0.4">
      <c r="A68" s="20" t="s">
        <v>34</v>
      </c>
      <c r="B68" s="20"/>
      <c r="C68" s="20"/>
      <c r="D68" s="22">
        <v>2349.5320000000002</v>
      </c>
      <c r="E68" s="22"/>
      <c r="F68" s="22">
        <v>2233.3110000000001</v>
      </c>
      <c r="G68" s="22"/>
      <c r="H68" s="22">
        <v>2129.39</v>
      </c>
      <c r="I68" s="22"/>
      <c r="J68" s="22">
        <v>2042.6559999999999</v>
      </c>
      <c r="K68" s="22"/>
      <c r="L68" s="22">
        <v>1960.2090000000001</v>
      </c>
      <c r="M68" s="22"/>
      <c r="N68" s="22">
        <v>1888.28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0</v>
      </c>
      <c r="E75" s="22"/>
      <c r="F75" s="22">
        <v>0</v>
      </c>
      <c r="G75" s="22"/>
      <c r="H75" s="22">
        <v>0</v>
      </c>
      <c r="I75" s="22"/>
      <c r="J75" s="22">
        <v>0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3683.3780000000002</v>
      </c>
      <c r="E76" s="22"/>
      <c r="F76" s="22">
        <v>1582.4280000000001</v>
      </c>
      <c r="G76" s="22"/>
      <c r="H76" s="22">
        <v>1286.0640000000001</v>
      </c>
      <c r="I76" s="22"/>
      <c r="J76" s="22">
        <v>1285.4829999999999</v>
      </c>
      <c r="K76" s="22"/>
      <c r="L76" s="22">
        <v>1193.2570000000001</v>
      </c>
      <c r="M76" s="22"/>
      <c r="N76" s="22">
        <v>1192.4459999999999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6032.91</v>
      </c>
      <c r="E78" s="22"/>
      <c r="F78" s="22">
        <f>SUM(F68:F77)</f>
        <v>3815.7390000000005</v>
      </c>
      <c r="G78" s="22"/>
      <c r="H78" s="22">
        <f>SUM(H68:H77)</f>
        <v>3415.4539999999997</v>
      </c>
      <c r="I78" s="22"/>
      <c r="J78" s="22">
        <v>3328.1390000000001</v>
      </c>
      <c r="K78" s="22"/>
      <c r="L78" s="22">
        <v>3153.4659999999999</v>
      </c>
      <c r="M78" s="22"/>
      <c r="N78" s="22">
        <v>3080.7260000000001</v>
      </c>
    </row>
    <row r="79" spans="1:14" x14ac:dyDescent="0.4">
      <c r="A79" s="20" t="s">
        <v>45</v>
      </c>
      <c r="B79" s="20"/>
      <c r="C79" s="20"/>
      <c r="D79" s="22">
        <v>0</v>
      </c>
      <c r="E79" s="22"/>
      <c r="F79" s="22">
        <v>0</v>
      </c>
      <c r="G79" s="22"/>
      <c r="H79" s="22">
        <v>0</v>
      </c>
      <c r="I79" s="22"/>
      <c r="J79" s="22">
        <v>0</v>
      </c>
      <c r="K79" s="22"/>
      <c r="L79" s="22">
        <v>0</v>
      </c>
      <c r="M79" s="22"/>
      <c r="N79" s="22">
        <v>7.0000000000000001E-3</v>
      </c>
    </row>
    <row r="80" spans="1:14" x14ac:dyDescent="0.4">
      <c r="A80" s="20" t="s">
        <v>46</v>
      </c>
      <c r="B80" s="20"/>
      <c r="C80" s="20"/>
      <c r="D80" s="22">
        <v>494</v>
      </c>
      <c r="E80" s="22"/>
      <c r="F80" s="22">
        <v>418.22500000000002</v>
      </c>
      <c r="G80" s="22"/>
      <c r="H80" s="22">
        <v>516.5</v>
      </c>
      <c r="I80" s="22"/>
      <c r="J80" s="22">
        <v>299.5</v>
      </c>
      <c r="K80" s="22"/>
      <c r="L80" s="22">
        <v>357.21499999999997</v>
      </c>
      <c r="M80" s="22"/>
      <c r="N80" s="22">
        <v>145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206.434</v>
      </c>
      <c r="E82" s="22"/>
      <c r="F82" s="22">
        <v>196.41200000000001</v>
      </c>
      <c r="G82" s="22"/>
      <c r="H82" s="22">
        <v>186.749</v>
      </c>
      <c r="I82" s="22"/>
      <c r="J82" s="22">
        <v>172.23400000000001</v>
      </c>
      <c r="K82" s="22"/>
      <c r="L82" s="22">
        <v>162.995</v>
      </c>
      <c r="M82" s="22"/>
      <c r="N82" s="22">
        <v>140.095</v>
      </c>
    </row>
    <row r="83" spans="1:14" x14ac:dyDescent="0.4">
      <c r="A83" s="20" t="s">
        <v>49</v>
      </c>
      <c r="B83" s="20"/>
      <c r="C83" s="20"/>
      <c r="D83" s="22">
        <v>207.233</v>
      </c>
      <c r="E83" s="22"/>
      <c r="F83" s="22">
        <v>194.881</v>
      </c>
      <c r="G83" s="22"/>
      <c r="H83" s="22">
        <v>180.39500000000001</v>
      </c>
      <c r="I83" s="22"/>
      <c r="J83" s="22">
        <v>160.08600000000001</v>
      </c>
      <c r="K83" s="22"/>
      <c r="L83" s="22">
        <v>151.88900000000001</v>
      </c>
      <c r="M83" s="22"/>
      <c r="N83" s="22">
        <v>143.82900000000001</v>
      </c>
    </row>
    <row r="84" spans="1:14" x14ac:dyDescent="0.4">
      <c r="A84" s="20" t="s">
        <v>50</v>
      </c>
      <c r="B84" s="20"/>
      <c r="C84" s="20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x14ac:dyDescent="0.4">
      <c r="A85" s="20" t="s">
        <v>51</v>
      </c>
      <c r="B85" s="20"/>
      <c r="C85" s="20"/>
      <c r="D85" s="22">
        <v>43.448999999999998</v>
      </c>
      <c r="E85" s="22"/>
      <c r="F85" s="22">
        <v>18.484999999999999</v>
      </c>
      <c r="G85" s="22"/>
      <c r="H85" s="22">
        <v>13.307</v>
      </c>
      <c r="I85" s="22"/>
      <c r="J85" s="22">
        <v>53.241999999999997</v>
      </c>
      <c r="K85" s="22"/>
      <c r="L85" s="22">
        <v>92.393000000000001</v>
      </c>
      <c r="M85" s="22"/>
      <c r="N85" s="22">
        <v>86.787999999999997</v>
      </c>
    </row>
    <row r="86" spans="1:14" x14ac:dyDescent="0.4">
      <c r="A86" s="20" t="s">
        <v>52</v>
      </c>
      <c r="B86" s="20"/>
      <c r="C86" s="20"/>
      <c r="D86" s="22">
        <v>0</v>
      </c>
      <c r="E86" s="22"/>
      <c r="F86" s="22">
        <v>0</v>
      </c>
      <c r="G86" s="22"/>
      <c r="H86" s="22">
        <v>0</v>
      </c>
      <c r="I86" s="22"/>
      <c r="J86" s="22">
        <v>0</v>
      </c>
      <c r="K86" s="22"/>
      <c r="L86" s="22">
        <v>0</v>
      </c>
      <c r="M86" s="22"/>
      <c r="N86" s="22">
        <v>0</v>
      </c>
    </row>
    <row r="87" spans="1:14" x14ac:dyDescent="0.4">
      <c r="A87" s="20" t="s">
        <v>53</v>
      </c>
      <c r="B87" s="20"/>
      <c r="C87" s="20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1:14" x14ac:dyDescent="0.4">
      <c r="A88" s="20" t="s">
        <v>69</v>
      </c>
      <c r="B88" s="20"/>
      <c r="C88" s="20"/>
      <c r="D88" s="22">
        <f>10.498+9.131</f>
        <v>19.628999999999998</v>
      </c>
      <c r="E88" s="22"/>
      <c r="F88" s="22">
        <f>9.803+15.45</f>
        <v>25.253</v>
      </c>
      <c r="G88" s="22"/>
      <c r="H88" s="22">
        <f>9.314+8.994</f>
        <v>18.308</v>
      </c>
      <c r="I88" s="22"/>
      <c r="J88" s="22">
        <v>16.701000000000001</v>
      </c>
      <c r="K88" s="22"/>
      <c r="L88" s="22">
        <v>16.199000000000002</v>
      </c>
      <c r="M88" s="22"/>
      <c r="N88" s="22">
        <v>16.646000000000001</v>
      </c>
    </row>
    <row r="89" spans="1:14" x14ac:dyDescent="0.4">
      <c r="A89" s="20" t="s">
        <v>54</v>
      </c>
      <c r="B89" s="20"/>
      <c r="C89" s="20"/>
      <c r="D89" s="22">
        <v>495.24599999999998</v>
      </c>
      <c r="E89" s="22"/>
      <c r="F89" s="22">
        <v>471.34500000000003</v>
      </c>
      <c r="G89" s="22"/>
      <c r="H89" s="22">
        <v>417.322</v>
      </c>
      <c r="I89" s="22"/>
      <c r="J89" s="22">
        <v>394.45</v>
      </c>
      <c r="K89" s="22"/>
      <c r="L89" s="22">
        <v>356.36099999999999</v>
      </c>
      <c r="M89" s="22"/>
      <c r="N89" s="22">
        <v>309.07100000000003</v>
      </c>
    </row>
    <row r="90" spans="1:14" x14ac:dyDescent="0.4">
      <c r="A90" s="20" t="s">
        <v>55</v>
      </c>
      <c r="B90" s="20"/>
      <c r="C90" s="20"/>
      <c r="D90" s="22">
        <v>123.91200000000001</v>
      </c>
      <c r="E90" s="22"/>
      <c r="F90" s="22">
        <v>114.372</v>
      </c>
      <c r="G90" s="22"/>
      <c r="H90" s="22">
        <v>105.42400000000001</v>
      </c>
      <c r="I90" s="22"/>
      <c r="J90" s="22">
        <v>96.593999999999994</v>
      </c>
      <c r="K90" s="22"/>
      <c r="L90" s="22">
        <v>87.950999999999993</v>
      </c>
      <c r="M90" s="22"/>
      <c r="N90" s="22">
        <v>73.209000000000003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70.066000000000003</v>
      </c>
      <c r="E92" s="22"/>
      <c r="F92" s="22">
        <v>60.125999999999998</v>
      </c>
      <c r="G92" s="22"/>
      <c r="H92" s="22">
        <v>61.16</v>
      </c>
      <c r="I92" s="22"/>
      <c r="J92" s="22">
        <v>49.371000000000002</v>
      </c>
      <c r="K92" s="22"/>
      <c r="L92" s="22">
        <v>44.436</v>
      </c>
      <c r="M92" s="22"/>
      <c r="N92" s="22">
        <v>42.128999999999998</v>
      </c>
    </row>
    <row r="93" spans="1:14" x14ac:dyDescent="0.4">
      <c r="A93" s="20" t="s">
        <v>58</v>
      </c>
      <c r="B93" s="20"/>
      <c r="C93" s="20"/>
      <c r="D93" s="22">
        <v>-10.808999999999999</v>
      </c>
      <c r="E93" s="22"/>
      <c r="F93" s="22">
        <v>30.361000000000001</v>
      </c>
      <c r="G93" s="22"/>
      <c r="H93" s="22">
        <v>30.152000000000001</v>
      </c>
      <c r="I93" s="22"/>
      <c r="J93" s="22">
        <v>0.8</v>
      </c>
      <c r="K93" s="22"/>
      <c r="L93" s="22">
        <v>-1.389</v>
      </c>
      <c r="M93" s="22"/>
      <c r="N93" s="22">
        <v>-35.701999999999998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124.908</v>
      </c>
      <c r="E96" s="22"/>
      <c r="F96" s="22">
        <v>115.286</v>
      </c>
      <c r="G96" s="22"/>
      <c r="H96" s="22">
        <v>106.327</v>
      </c>
      <c r="I96" s="22"/>
      <c r="J96" s="22">
        <v>97.486000000000004</v>
      </c>
      <c r="K96" s="22"/>
      <c r="L96" s="22">
        <v>88.876999999999995</v>
      </c>
      <c r="M96" s="22"/>
      <c r="N96" s="22">
        <v>74.12</v>
      </c>
    </row>
    <row r="97" spans="1:18" x14ac:dyDescent="0.4">
      <c r="A97" s="20" t="s">
        <v>60</v>
      </c>
      <c r="B97" s="20"/>
      <c r="C97" s="20"/>
      <c r="D97" s="22">
        <v>2.3199999999999998</v>
      </c>
      <c r="E97" s="22"/>
      <c r="F97" s="22">
        <v>2.16</v>
      </c>
      <c r="G97" s="22"/>
      <c r="H97" s="22">
        <v>2</v>
      </c>
      <c r="I97" s="22"/>
      <c r="J97" s="22">
        <v>1.84</v>
      </c>
      <c r="K97" s="22"/>
      <c r="L97" s="22">
        <v>1.68</v>
      </c>
      <c r="M97" s="22"/>
      <c r="N97" s="22">
        <v>1.4</v>
      </c>
    </row>
    <row r="98" spans="1:18" x14ac:dyDescent="0.4">
      <c r="A98" s="20" t="s">
        <v>61</v>
      </c>
      <c r="B98" s="20"/>
      <c r="C98" s="20"/>
      <c r="D98" s="22">
        <v>2.3199999999999998</v>
      </c>
      <c r="E98" s="22"/>
      <c r="F98" s="22">
        <v>2.16</v>
      </c>
      <c r="G98" s="22"/>
      <c r="H98" s="22">
        <v>2</v>
      </c>
      <c r="I98" s="22"/>
      <c r="J98" s="22">
        <v>1.84</v>
      </c>
      <c r="K98" s="22"/>
      <c r="L98" s="22">
        <v>1.68</v>
      </c>
      <c r="M98" s="22"/>
      <c r="N98" s="22">
        <v>1.4</v>
      </c>
    </row>
    <row r="99" spans="1:18" x14ac:dyDescent="0.4">
      <c r="A99" s="20" t="s">
        <v>62</v>
      </c>
      <c r="B99" s="20"/>
      <c r="C99" s="20"/>
      <c r="D99" s="22">
        <v>81.900000000000006</v>
      </c>
      <c r="E99" s="22"/>
      <c r="F99" s="22">
        <v>96.97</v>
      </c>
      <c r="G99" s="22"/>
      <c r="H99" s="22">
        <v>96.66</v>
      </c>
      <c r="I99" s="22"/>
      <c r="J99" s="22">
        <v>87.75</v>
      </c>
      <c r="K99" s="22"/>
      <c r="L99" s="22">
        <v>79.507999999999996</v>
      </c>
      <c r="M99" s="22"/>
      <c r="N99" s="22">
        <v>67.349999999999994</v>
      </c>
    </row>
    <row r="100" spans="1:18" x14ac:dyDescent="0.4">
      <c r="A100" s="20" t="s">
        <v>63</v>
      </c>
      <c r="B100" s="20"/>
      <c r="C100" s="20"/>
      <c r="D100" s="22">
        <v>62.52</v>
      </c>
      <c r="E100" s="22"/>
      <c r="F100" s="22">
        <v>63.67</v>
      </c>
      <c r="G100" s="22"/>
      <c r="H100" s="22">
        <v>75.819999999999993</v>
      </c>
      <c r="I100" s="22"/>
      <c r="J100" s="22">
        <v>62.2</v>
      </c>
      <c r="K100" s="22"/>
      <c r="L100" s="22">
        <v>61.42</v>
      </c>
      <c r="M100" s="22"/>
      <c r="N100" s="22">
        <v>48.01</v>
      </c>
    </row>
    <row r="101" spans="1:18" x14ac:dyDescent="0.4">
      <c r="A101" s="20" t="s">
        <v>64</v>
      </c>
      <c r="B101" s="20"/>
      <c r="C101" s="20"/>
      <c r="D101" s="22">
        <v>77.59</v>
      </c>
      <c r="E101" s="22"/>
      <c r="F101" s="22">
        <v>76.77</v>
      </c>
      <c r="G101" s="22"/>
      <c r="H101" s="22">
        <v>93.57</v>
      </c>
      <c r="I101" s="22"/>
      <c r="J101" s="22">
        <v>79.599999999999994</v>
      </c>
      <c r="K101" s="22"/>
      <c r="L101" s="22">
        <v>73.260000000000005</v>
      </c>
      <c r="M101" s="22"/>
      <c r="N101" s="22">
        <v>63.96</v>
      </c>
    </row>
    <row r="102" spans="1:18" x14ac:dyDescent="0.4">
      <c r="A102" s="20" t="s">
        <v>65</v>
      </c>
      <c r="B102" s="20"/>
      <c r="C102" s="20"/>
      <c r="D102" s="22">
        <v>53.633209999999998</v>
      </c>
      <c r="E102" s="22"/>
      <c r="F102" s="22">
        <v>53.166733000000001</v>
      </c>
      <c r="G102" s="22"/>
      <c r="H102" s="22">
        <v>52.771749</v>
      </c>
      <c r="I102" s="22"/>
      <c r="J102" s="22">
        <v>52.564999999999998</v>
      </c>
      <c r="K102" s="22"/>
      <c r="L102" s="22">
        <v>52.313000000000002</v>
      </c>
      <c r="M102" s="22"/>
      <c r="N102" s="22">
        <v>52.283000000000001</v>
      </c>
      <c r="R102" s="22"/>
    </row>
    <row r="103" spans="1:18" x14ac:dyDescent="0.4">
      <c r="A103" s="20" t="s">
        <v>76</v>
      </c>
      <c r="B103" s="20"/>
      <c r="C103" s="20"/>
      <c r="D103" s="22">
        <v>-6.5270000000000001</v>
      </c>
      <c r="E103" s="22"/>
      <c r="F103" s="22">
        <v>-7.7770000000000001</v>
      </c>
      <c r="G103" s="22"/>
      <c r="H103" s="22">
        <v>-6.7389999999999999</v>
      </c>
      <c r="I103" s="22"/>
      <c r="J103" s="22">
        <v>-4.0860000000000003</v>
      </c>
      <c r="K103" s="22"/>
      <c r="L103" s="22">
        <v>-5.4930000000000003</v>
      </c>
      <c r="M103" s="22"/>
      <c r="N103" s="22">
        <v>-4.7149999999999999</v>
      </c>
    </row>
    <row r="104" spans="1:18" x14ac:dyDescent="0.4">
      <c r="A104" t="s">
        <v>71</v>
      </c>
    </row>
    <row r="105" spans="1:18" x14ac:dyDescent="0.4">
      <c r="B105" t="s">
        <v>70</v>
      </c>
      <c r="D105" s="15">
        <f>D67/D94</f>
        <v>3.85</v>
      </c>
      <c r="F105" s="15">
        <f>F67/F94</f>
        <v>3.7</v>
      </c>
      <c r="H105" s="15">
        <f>H67/H94</f>
        <v>3.53</v>
      </c>
      <c r="J105" s="15">
        <f>J67/J94</f>
        <v>3.27</v>
      </c>
      <c r="L105" s="15">
        <f>L67/L94</f>
        <v>3.1</v>
      </c>
      <c r="N105" s="15">
        <f>N67/N94</f>
        <v>2.67</v>
      </c>
    </row>
    <row r="106" spans="1:18" x14ac:dyDescent="0.4">
      <c r="B106" t="s">
        <v>60</v>
      </c>
      <c r="D106" s="15">
        <f>D97/D94</f>
        <v>2.3199999999999998</v>
      </c>
      <c r="F106" s="15">
        <f>F97/F94</f>
        <v>2.16</v>
      </c>
      <c r="H106" s="15">
        <f>H97/H94</f>
        <v>2</v>
      </c>
      <c r="J106" s="15">
        <f>J97/J94</f>
        <v>1.84</v>
      </c>
      <c r="L106" s="15">
        <f>L97/L94</f>
        <v>1.68</v>
      </c>
      <c r="N106" s="15">
        <f>N97/N94</f>
        <v>1.4</v>
      </c>
    </row>
    <row r="107" spans="1:18" x14ac:dyDescent="0.4">
      <c r="B107" t="s">
        <v>61</v>
      </c>
      <c r="D107" s="15">
        <f>D98/D94</f>
        <v>2.3199999999999998</v>
      </c>
      <c r="F107" s="15">
        <f>F98/F94</f>
        <v>2.16</v>
      </c>
      <c r="H107" s="15">
        <f>H98/H94</f>
        <v>2</v>
      </c>
      <c r="J107" s="15">
        <f>J98/J94</f>
        <v>1.84</v>
      </c>
      <c r="L107" s="15">
        <f>L98/L94</f>
        <v>1.68</v>
      </c>
      <c r="N107" s="15">
        <f>N98/N94</f>
        <v>1.4</v>
      </c>
    </row>
    <row r="108" spans="1:18" x14ac:dyDescent="0.4">
      <c r="B108" t="s">
        <v>62</v>
      </c>
      <c r="D108" s="15">
        <f>D99/D94</f>
        <v>81.900000000000006</v>
      </c>
      <c r="F108" s="15">
        <f>F99/F94</f>
        <v>96.97</v>
      </c>
      <c r="H108" s="15">
        <f>H99/H94</f>
        <v>96.66</v>
      </c>
      <c r="J108" s="15">
        <f>J99/J94</f>
        <v>87.75</v>
      </c>
      <c r="L108" s="15">
        <f>L99/L94</f>
        <v>79.507999999999996</v>
      </c>
      <c r="N108" s="15">
        <f>N99/N94</f>
        <v>67.349999999999994</v>
      </c>
    </row>
    <row r="109" spans="1:18" x14ac:dyDescent="0.4">
      <c r="B109" t="s">
        <v>63</v>
      </c>
      <c r="D109" s="15">
        <f>D100/D94</f>
        <v>62.52</v>
      </c>
      <c r="F109" s="15">
        <f>F100/F94</f>
        <v>63.67</v>
      </c>
      <c r="H109" s="15">
        <f>H100/H94</f>
        <v>75.819999999999993</v>
      </c>
      <c r="J109" s="15">
        <f>J100/J94</f>
        <v>62.2</v>
      </c>
      <c r="L109" s="15">
        <f>L100/L94</f>
        <v>61.42</v>
      </c>
      <c r="N109" s="15">
        <f>N100/N94</f>
        <v>48.01</v>
      </c>
    </row>
    <row r="110" spans="1:18" x14ac:dyDescent="0.4">
      <c r="B110" t="s">
        <v>64</v>
      </c>
      <c r="D110" s="15">
        <f>D101/D94</f>
        <v>77.59</v>
      </c>
      <c r="F110" s="15">
        <f>F101/F94</f>
        <v>76.77</v>
      </c>
      <c r="H110" s="15">
        <f>H101/H94</f>
        <v>93.57</v>
      </c>
      <c r="J110" s="15">
        <f>J101/J94</f>
        <v>79.599999999999994</v>
      </c>
      <c r="L110" s="15">
        <f>L101/L94</f>
        <v>73.260000000000005</v>
      </c>
      <c r="N110" s="15">
        <f>N101/N94</f>
        <v>63.96</v>
      </c>
    </row>
    <row r="111" spans="1:18" x14ac:dyDescent="0.4">
      <c r="B111" t="s">
        <v>65</v>
      </c>
      <c r="D111" s="16">
        <f>D102*D94</f>
        <v>53.633209999999998</v>
      </c>
      <c r="E111" s="16"/>
      <c r="F111" s="16">
        <f>F102*F94</f>
        <v>53.166733000000001</v>
      </c>
      <c r="G111" s="16"/>
      <c r="H111" s="16">
        <f>H102*H94</f>
        <v>52.771749</v>
      </c>
      <c r="I111" s="16"/>
      <c r="J111" s="16">
        <f>J102*J94</f>
        <v>52.564999999999998</v>
      </c>
      <c r="K111" s="16"/>
      <c r="L111" s="16">
        <f>L102*L94</f>
        <v>52.313000000000002</v>
      </c>
      <c r="M111" s="16"/>
      <c r="N111" s="16">
        <f>N102*N94</f>
        <v>52.283000000000001</v>
      </c>
    </row>
    <row r="112" spans="1:18" x14ac:dyDescent="0.4">
      <c r="B112" t="s">
        <v>66</v>
      </c>
      <c r="D112" s="15">
        <f>ROUND(D68/D111,2)</f>
        <v>43.81</v>
      </c>
      <c r="F112" s="15">
        <f>ROUND(F68/F111,2)</f>
        <v>42.01</v>
      </c>
      <c r="H112" s="15">
        <f>ROUND(H68/H111,2)</f>
        <v>40.35</v>
      </c>
      <c r="J112" s="15">
        <f>ROUND(J68/J111,2)</f>
        <v>38.86</v>
      </c>
      <c r="L112" s="15">
        <f>ROUND(L68/L111,2)</f>
        <v>37.47</v>
      </c>
      <c r="N112" s="15">
        <f>ROUND(N68/N111,2)</f>
        <v>36.119999999999997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2" orientation="portrait" r:id="rId1"/>
  <headerFooter alignWithMargins="0"/>
  <rowBreaks count="1" manualBreakCount="1">
    <brk id="5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2"/>
  <sheetViews>
    <sheetView zoomScale="85" zoomScaleNormal="8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21875" customWidth="1"/>
    <col min="5" max="5" width="3.71875" customWidth="1"/>
    <col min="6" max="6" width="10.21875" customWidth="1"/>
    <col min="7" max="7" width="3.71875" customWidth="1"/>
    <col min="8" max="8" width="10.21875" customWidth="1"/>
    <col min="9" max="9" width="3.71875" customWidth="1"/>
    <col min="10" max="10" width="10.21875" customWidth="1"/>
    <col min="11" max="11" width="3.71875" customWidth="1"/>
    <col min="12" max="12" width="10.2187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9" t="str">
        <f>A54</f>
        <v>SOUTHWEST GAS HOLDINGS INC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4">
      <c r="A3" s="45" t="str">
        <f>'Page 1'!A3:N3</f>
        <v>2017-2021, Inclusive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8" t="s">
        <v>18</v>
      </c>
      <c r="E6" s="48"/>
      <c r="F6" s="48"/>
      <c r="G6" s="48"/>
      <c r="H6" s="48"/>
      <c r="I6" s="48"/>
      <c r="J6" s="48"/>
      <c r="K6" s="48"/>
      <c r="L6" s="48"/>
    </row>
    <row r="7" spans="1:15" x14ac:dyDescent="0.4">
      <c r="A7" t="s">
        <v>1</v>
      </c>
    </row>
    <row r="8" spans="1:15" x14ac:dyDescent="0.4">
      <c r="B8" t="s">
        <v>6</v>
      </c>
      <c r="D8" s="37">
        <f>D78+D79+D81-D103</f>
        <v>7610.3060000000005</v>
      </c>
      <c r="F8" s="37">
        <f>F78+F79+F81-F103</f>
        <v>5674.3049999999994</v>
      </c>
      <c r="H8" s="37">
        <f>H78+H79+H81-H103</f>
        <v>5111.1819999999998</v>
      </c>
      <c r="J8" s="37">
        <f>J78+J79+J81-J103</f>
        <v>4526.4070000000002</v>
      </c>
      <c r="L8" s="37">
        <f>L78+L79+L81-L103</f>
        <v>3684.0069999999996</v>
      </c>
    </row>
    <row r="9" spans="1:15" x14ac:dyDescent="0.4">
      <c r="B9" t="s">
        <v>5</v>
      </c>
      <c r="D9" s="11">
        <f>D80</f>
        <v>1909</v>
      </c>
      <c r="F9" s="11">
        <f>F80</f>
        <v>107</v>
      </c>
      <c r="H9" s="11">
        <f>H80</f>
        <v>211</v>
      </c>
      <c r="J9" s="11">
        <f>J80</f>
        <v>152</v>
      </c>
      <c r="L9" s="11">
        <f>L80</f>
        <v>214.5</v>
      </c>
    </row>
    <row r="10" spans="1:15" ht="15.4" thickBot="1" x14ac:dyDescent="0.45">
      <c r="B10" t="s">
        <v>7</v>
      </c>
      <c r="D10" s="12">
        <f>D8+D9</f>
        <v>9519.3060000000005</v>
      </c>
      <c r="F10" s="12">
        <f>F8+F9</f>
        <v>5781.3049999999994</v>
      </c>
      <c r="H10" s="12">
        <f>H8+H9</f>
        <v>5322.1819999999998</v>
      </c>
      <c r="J10" s="12">
        <f>J8+J9</f>
        <v>4678.4070000000002</v>
      </c>
      <c r="L10" s="12">
        <f>L8+L9</f>
        <v>3898.5069999999996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73</v>
      </c>
      <c r="D13" s="32">
        <f>ROUND(AVERAGE(D108:D109)/D105,0)</f>
        <v>19</v>
      </c>
      <c r="E13" s="7" t="s">
        <v>3</v>
      </c>
      <c r="F13" s="32">
        <f>ROUND(AVERAGE(F108:F109)/F105,0)</f>
        <v>15</v>
      </c>
      <c r="G13" s="7" t="s">
        <v>3</v>
      </c>
      <c r="H13" s="32">
        <f>ROUND(AVERAGE(H108:H109)/H105,0)</f>
        <v>21</v>
      </c>
      <c r="I13" s="7" t="s">
        <v>3</v>
      </c>
      <c r="J13" s="32">
        <f>ROUND(AVERAGE(J108:J109)/J105,0)</f>
        <v>20</v>
      </c>
      <c r="K13" s="7" t="s">
        <v>3</v>
      </c>
      <c r="L13" s="32">
        <f>ROUND(AVERAGE(L108:L109)/L105,0)</f>
        <v>20</v>
      </c>
      <c r="M13" s="7" t="s">
        <v>3</v>
      </c>
      <c r="N13" s="33">
        <f>AVERAGE(D13,F13,H13,J13,L13)</f>
        <v>19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1.365</v>
      </c>
      <c r="E14" s="3"/>
      <c r="F14" s="3">
        <f>ROUND(AVERAGE(F108:F109)/AVERAGE(F112,H112),3)</f>
        <v>1.379</v>
      </c>
      <c r="G14" s="3"/>
      <c r="H14" s="3">
        <f>ROUND(AVERAGE(H108:H109)/AVERAGE(H112,J112),3)</f>
        <v>1.8879999999999999</v>
      </c>
      <c r="I14" s="3"/>
      <c r="J14" s="3">
        <f>ROUND(AVERAGE(J108:J109)/AVERAGE(J112,L112),3)</f>
        <v>1.851</v>
      </c>
      <c r="K14" s="3"/>
      <c r="L14" s="3">
        <f>ROUND(AVERAGE(L108:L109)/AVERAGE(L112,N112),3)</f>
        <v>2.1880000000000002</v>
      </c>
      <c r="M14" s="3"/>
      <c r="N14" s="6">
        <f>AVERAGE(D14,F14,H14,J14,L14)</f>
        <v>1.7342</v>
      </c>
    </row>
    <row r="15" spans="1:15" x14ac:dyDescent="0.4">
      <c r="B15" t="s">
        <v>9</v>
      </c>
      <c r="D15" s="3">
        <f>ROUND(D106/AVERAGE(D108:D109),3)</f>
        <v>3.5999999999999997E-2</v>
      </c>
      <c r="E15" s="3"/>
      <c r="F15" s="3">
        <f>ROUND(F106/AVERAGE(F108:F109),3)</f>
        <v>3.5999999999999997E-2</v>
      </c>
      <c r="G15" s="3"/>
      <c r="H15" s="3">
        <f>ROUND(H106/AVERAGE(H108:H109),3)</f>
        <v>2.5999999999999999E-2</v>
      </c>
      <c r="I15" s="3"/>
      <c r="J15" s="3">
        <f>ROUND(J106/AVERAGE(J108:J109),3)</f>
        <v>2.8000000000000001E-2</v>
      </c>
      <c r="K15" s="3"/>
      <c r="L15" s="3">
        <f>ROUND(L106/AVERAGE(L108:L109),3)</f>
        <v>2.4E-2</v>
      </c>
      <c r="M15" s="3"/>
      <c r="N15" s="6">
        <f>AVERAGE(D15,F15,H15,J15,L15)</f>
        <v>0.03</v>
      </c>
    </row>
    <row r="16" spans="1:15" x14ac:dyDescent="0.4">
      <c r="B16" t="s">
        <v>10</v>
      </c>
      <c r="D16" s="3">
        <f>ROUND(D96/D66,3)</f>
        <v>0.70899999999999996</v>
      </c>
      <c r="E16" s="3"/>
      <c r="F16" s="3">
        <f>ROUND(F96/F66,3)</f>
        <v>0.55500000000000005</v>
      </c>
      <c r="G16" s="3"/>
      <c r="H16" s="3">
        <f>ROUND(H96/H66,3)</f>
        <v>0.55700000000000005</v>
      </c>
      <c r="I16" s="3"/>
      <c r="J16" s="3">
        <f>ROUND(J96/J66,3)</f>
        <v>0.57399999999999995</v>
      </c>
      <c r="K16" s="3"/>
      <c r="L16" s="3">
        <f>ROUND(L96/L66,3)</f>
        <v>0.49199999999999999</v>
      </c>
      <c r="M16" s="3"/>
      <c r="N16" s="6">
        <f>AVERAGE(D16,F16,H16,J16,L16)</f>
        <v>0.57740000000000002</v>
      </c>
    </row>
    <row r="18" spans="1:14" x14ac:dyDescent="0.4">
      <c r="A18" t="s">
        <v>2</v>
      </c>
    </row>
    <row r="19" spans="1:14" x14ac:dyDescent="0.4">
      <c r="B19" t="s">
        <v>72</v>
      </c>
    </row>
    <row r="20" spans="1:14" x14ac:dyDescent="0.4">
      <c r="B20" s="34" t="s">
        <v>77</v>
      </c>
      <c r="D20" s="3">
        <f>ROUND((+D76+D79)/D8,3)</f>
        <v>0.57999999999999996</v>
      </c>
      <c r="E20" s="3"/>
      <c r="F20" s="3">
        <f>ROUND((+F76+F79)/F8,3)</f>
        <v>0.48899999999999999</v>
      </c>
      <c r="G20" s="3"/>
      <c r="H20" s="3">
        <f>ROUND((+H76+H79)/H8,3)</f>
        <v>0.48199999999999998</v>
      </c>
      <c r="I20" s="3"/>
      <c r="J20" s="3">
        <f>ROUND((+J76+J79)/J8,3)</f>
        <v>0.47299999999999998</v>
      </c>
      <c r="K20" s="3"/>
      <c r="L20" s="3">
        <f>ROUND((+L76+L79)/L8,3)</f>
        <v>0.495</v>
      </c>
      <c r="M20" s="3"/>
      <c r="N20" s="6">
        <f>AVERAGE(D20,F20,H20,J20,L20)</f>
        <v>0.50380000000000003</v>
      </c>
    </row>
    <row r="21" spans="1:14" x14ac:dyDescent="0.4">
      <c r="B21" s="34" t="s">
        <v>78</v>
      </c>
      <c r="D21" s="3">
        <f>ROUND((SUM(D69:D75)+D81)/D8,3)</f>
        <v>2.5999999999999999E-2</v>
      </c>
      <c r="E21" s="3"/>
      <c r="F21" s="3">
        <f>ROUND((SUM(F69:F75)+F81)/F8,3)</f>
        <v>2.9000000000000001E-2</v>
      </c>
      <c r="G21" s="3"/>
      <c r="H21" s="3">
        <f>ROUND((SUM(H69:H75)+H81)/H8,3)</f>
        <v>1.7000000000000001E-2</v>
      </c>
      <c r="I21" s="3"/>
      <c r="J21" s="3">
        <f>ROUND((SUM(J69:J75)+J81)/J8,3)</f>
        <v>1.7999999999999999E-2</v>
      </c>
      <c r="K21" s="3"/>
      <c r="L21" s="3">
        <f>ROUND((SUM(L69:L75)+L81)/L8,3)</f>
        <v>-1E-3</v>
      </c>
      <c r="M21" s="3"/>
      <c r="N21" s="6">
        <f>AVERAGE(D21,F21,H21,J21,L21)</f>
        <v>1.7800000000000003E-2</v>
      </c>
    </row>
    <row r="22" spans="1:14" ht="17.25" x14ac:dyDescent="0.4">
      <c r="B22" s="35" t="s">
        <v>79</v>
      </c>
      <c r="D22" s="4">
        <f>ROUND((D68-D103)/D8,3)</f>
        <v>0.39400000000000002</v>
      </c>
      <c r="E22" s="3"/>
      <c r="F22" s="4">
        <f>ROUND((F68-F103)/F8,3)</f>
        <v>0.48199999999999998</v>
      </c>
      <c r="G22" s="3"/>
      <c r="H22" s="4">
        <f>ROUND((H68-H103)/H8,3)</f>
        <v>0.501</v>
      </c>
      <c r="I22" s="3"/>
      <c r="J22" s="4">
        <f>ROUND((J68-J103)/J8,3)</f>
        <v>0.50900000000000001</v>
      </c>
      <c r="K22" s="3"/>
      <c r="L22" s="4">
        <f>ROUND((L68-L103)/L8,3)</f>
        <v>0.50600000000000001</v>
      </c>
      <c r="M22" s="3"/>
      <c r="N22" s="8">
        <f>AVERAGE(D22,F22,H22,J22,L22)</f>
        <v>0.47840000000000005</v>
      </c>
    </row>
    <row r="23" spans="1:14" ht="15.4" thickBot="1" x14ac:dyDescent="0.45">
      <c r="D23" s="5">
        <f>SUM(D20:D22)</f>
        <v>1</v>
      </c>
      <c r="E23" s="3"/>
      <c r="F23" s="5">
        <f>SUM(F20:F22)</f>
        <v>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9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4" t="s">
        <v>80</v>
      </c>
      <c r="D25" s="3">
        <f>ROUND((+D76+D79+D80)/D10,3)</f>
        <v>0.66400000000000003</v>
      </c>
      <c r="E25" s="3"/>
      <c r="F25" s="3">
        <f>ROUND((+F76+F79+F80)/F10,3)</f>
        <v>0.498</v>
      </c>
      <c r="G25" s="3"/>
      <c r="H25" s="3">
        <f>ROUND((+H76+H79+H80)/H10,3)</f>
        <v>0.503</v>
      </c>
      <c r="I25" s="3"/>
      <c r="J25" s="3">
        <f>ROUND((+J76+J79+J80)/J10,3)</f>
        <v>0.49</v>
      </c>
      <c r="K25" s="3"/>
      <c r="L25" s="3">
        <f>ROUND((+L76+L79+L80)/L10,3)</f>
        <v>0.52300000000000002</v>
      </c>
      <c r="M25" s="3"/>
      <c r="N25" s="6">
        <f>AVERAGE(D25,F25,H25,J25,L25)</f>
        <v>0.53560000000000008</v>
      </c>
    </row>
    <row r="26" spans="1:14" x14ac:dyDescent="0.4">
      <c r="B26" s="34" t="s">
        <v>78</v>
      </c>
      <c r="D26" s="3">
        <f>ROUND((SUM(D69:D75)+D81)/D10,3)</f>
        <v>2.1000000000000001E-2</v>
      </c>
      <c r="E26" s="3"/>
      <c r="F26" s="3">
        <f>ROUND((SUM(F69:F75)+F81)/F10,3)</f>
        <v>2.9000000000000001E-2</v>
      </c>
      <c r="G26" s="3"/>
      <c r="H26" s="3">
        <f>ROUND((SUM(H69:H75)+H81)/H10,3)</f>
        <v>1.6E-2</v>
      </c>
      <c r="I26" s="3"/>
      <c r="J26" s="3">
        <f>ROUND((SUM(J69:J75)+J81)/J10,3)</f>
        <v>1.7000000000000001E-2</v>
      </c>
      <c r="K26" s="3"/>
      <c r="L26" s="3">
        <f>ROUND((SUM(L69:L75)+L81)/L10,3)</f>
        <v>-1E-3</v>
      </c>
      <c r="M26" s="3"/>
      <c r="N26" s="6">
        <f>AVERAGE(D26,F26,H26,J26,L26)</f>
        <v>1.6400000000000001E-2</v>
      </c>
    </row>
    <row r="27" spans="1:14" ht="17.25" x14ac:dyDescent="0.4">
      <c r="B27" s="35" t="s">
        <v>79</v>
      </c>
      <c r="D27" s="4">
        <f>ROUND((D68-D103)/D10,3)</f>
        <v>0.315</v>
      </c>
      <c r="E27" s="3"/>
      <c r="F27" s="4">
        <f>ROUND((F68-F103)/F10,3)</f>
        <v>0.47299999999999998</v>
      </c>
      <c r="G27" s="3"/>
      <c r="H27" s="4">
        <f>ROUND((H68-H103)/H10,3)</f>
        <v>0.48199999999999998</v>
      </c>
      <c r="I27" s="3"/>
      <c r="J27" s="4">
        <f>ROUND((J68-J103)/J10,3)</f>
        <v>0.49299999999999999</v>
      </c>
      <c r="K27" s="3"/>
      <c r="L27" s="4">
        <f>ROUND((L68-L103)/L10,3)</f>
        <v>0.47799999999999998</v>
      </c>
      <c r="M27" s="3"/>
      <c r="N27" s="8">
        <f>AVERAGE(D27,F27,H27,J27,L27)</f>
        <v>0.44819999999999993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1.0009999999999999</v>
      </c>
      <c r="I28" s="3"/>
      <c r="J28" s="5">
        <f>SUM(J25:J27)</f>
        <v>1</v>
      </c>
      <c r="K28" s="3"/>
      <c r="L28" s="5">
        <f>SUM(L25:L27)</f>
        <v>1</v>
      </c>
      <c r="M28" s="3"/>
      <c r="N28" s="9">
        <f>AVERAGE(D28,F28,H28,J28,L28)</f>
        <v>1.0002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6" t="s">
        <v>81</v>
      </c>
      <c r="D30" s="3">
        <f>ROUND(+D66/(((D68-D103)+(F68-F103))/2),3)</f>
        <v>7.0000000000000007E-2</v>
      </c>
      <c r="E30" s="3"/>
      <c r="F30" s="3">
        <f>ROUND(+F66/(((F68-F103)+(H68-H103))/2),3)</f>
        <v>8.7999999999999995E-2</v>
      </c>
      <c r="G30" s="3"/>
      <c r="H30" s="3">
        <f>ROUND(+H66/(((H68-H103)+(J68-J103))/2),3)</f>
        <v>8.7999999999999995E-2</v>
      </c>
      <c r="I30" s="3"/>
      <c r="J30" s="3">
        <f>ROUND(+J66/(((J68-J103)+(L68-L103))/2),3)</f>
        <v>8.6999999999999994E-2</v>
      </c>
      <c r="K30" s="3"/>
      <c r="L30" s="3">
        <f>ROUND(+L66/(((L68-L103)+(N68-N103))/2),3)</f>
        <v>0.108</v>
      </c>
      <c r="M30" s="3"/>
      <c r="N30" s="6">
        <f>AVERAGE(D30,F30,H30,J30,L30)</f>
        <v>8.8199999999999987E-2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6" t="s">
        <v>82</v>
      </c>
      <c r="D32" s="3">
        <f>ROUND((+D58-D57)/D56,3)</f>
        <v>0.9</v>
      </c>
      <c r="E32" s="3"/>
      <c r="F32" s="3">
        <f>ROUND((+F58-F57)/F56,3)</f>
        <v>0.872</v>
      </c>
      <c r="G32" s="3"/>
      <c r="H32" s="3">
        <f>ROUND((+H58-H57)/H56,3)</f>
        <v>0.88100000000000001</v>
      </c>
      <c r="I32" s="3"/>
      <c r="J32" s="3">
        <f>ROUND((+J58-J57)/J56,3)</f>
        <v>0.876</v>
      </c>
      <c r="K32" s="3"/>
      <c r="L32" s="3">
        <f>ROUND((+L58-L57)/L56,3)</f>
        <v>0.873</v>
      </c>
      <c r="M32" s="3"/>
      <c r="N32" s="6">
        <f>AVERAGE(D32,F32,H32,J32,L32)</f>
        <v>0.88040000000000007</v>
      </c>
    </row>
    <row r="34" spans="1:15" ht="17.25" x14ac:dyDescent="0.4">
      <c r="A34" s="36" t="s">
        <v>83</v>
      </c>
    </row>
    <row r="35" spans="1:15" x14ac:dyDescent="0.4">
      <c r="B35" t="s">
        <v>13</v>
      </c>
      <c r="D35" s="7">
        <f>ROUND(((+D66+D65+D64+D63+D61+D59+D57)/D61),2)</f>
        <v>3.02</v>
      </c>
      <c r="E35" s="7" t="s">
        <v>3</v>
      </c>
      <c r="F35" s="7">
        <f>ROUND(((+F66+F65+F64+F63+F61+F59+F57)/F61),2)</f>
        <v>3.67</v>
      </c>
      <c r="G35" s="7" t="s">
        <v>3</v>
      </c>
      <c r="H35" s="7">
        <f>ROUND(((+H66+H65+H64+H63+H61+H59+H57)/H61),2)</f>
        <v>3.47</v>
      </c>
      <c r="I35" s="7" t="s">
        <v>3</v>
      </c>
      <c r="J35" s="7">
        <f>ROUND(((+J66+J65+J64+J63+J61+J59+J57)/J61),2)</f>
        <v>3.44</v>
      </c>
      <c r="K35" s="7" t="s">
        <v>3</v>
      </c>
      <c r="L35" s="7">
        <f>ROUND(((+L66+L65+L64+L63+L61+L59+L57)/L61),2)</f>
        <v>4.25</v>
      </c>
      <c r="M35" s="7" t="s">
        <v>3</v>
      </c>
      <c r="N35" s="27">
        <f>AVERAGE(D35,F35,H35,J35,L35)</f>
        <v>3.5700000000000003</v>
      </c>
      <c r="O35" t="s">
        <v>3</v>
      </c>
    </row>
    <row r="36" spans="1:15" x14ac:dyDescent="0.4">
      <c r="B36" t="s">
        <v>21</v>
      </c>
      <c r="D36" s="7">
        <f>ROUND(((+D66+D65+D64+D63+D61)/(D61)),2)</f>
        <v>2.68</v>
      </c>
      <c r="E36" s="7" t="s">
        <v>3</v>
      </c>
      <c r="F36" s="7">
        <f>ROUND(((+F66+F65+F64+F63+F61)/(F61)),2)</f>
        <v>3.08</v>
      </c>
      <c r="G36" s="7" t="s">
        <v>3</v>
      </c>
      <c r="H36" s="7">
        <f>ROUND(((+H66+H65+H64+H63+H61)/(H61)),2)</f>
        <v>2.96</v>
      </c>
      <c r="I36" s="7" t="s">
        <v>3</v>
      </c>
      <c r="J36" s="7">
        <f>ROUND(((+J66+J65+J64+J63+J61)/(J61)),2)</f>
        <v>2.82</v>
      </c>
      <c r="K36" s="7" t="s">
        <v>3</v>
      </c>
      <c r="L36" s="7">
        <f>ROUND(((+L66+L65+L64+L63+L61)/(L61)),2)</f>
        <v>3.43</v>
      </c>
      <c r="M36" s="7" t="s">
        <v>3</v>
      </c>
      <c r="N36" s="27">
        <f>AVERAGE(D36,F36,H36,J36,L36)</f>
        <v>2.9939999999999998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2.68</v>
      </c>
      <c r="E37" s="7" t="s">
        <v>3</v>
      </c>
      <c r="F37" s="7">
        <f>ROUND(((+F66+F65+F64+F63+F61)/(F61+F63+F64+F65)),2)</f>
        <v>3.08</v>
      </c>
      <c r="G37" s="7" t="s">
        <v>3</v>
      </c>
      <c r="H37" s="7">
        <f>ROUND(((+H66+H65+H64+H63+H61)/(H61+H63+H64+H65)),2)</f>
        <v>2.96</v>
      </c>
      <c r="I37" s="7" t="s">
        <v>3</v>
      </c>
      <c r="J37" s="7">
        <f>ROUND(((+J66+J65+J64+J63+J61)/(J61+J63+J64+J65)),2)</f>
        <v>2.82</v>
      </c>
      <c r="K37" s="7" t="s">
        <v>3</v>
      </c>
      <c r="L37" s="7">
        <f>ROUND(((+L66+L65+L64+L63+L61)/(L61+L63+L64+L65)),2)</f>
        <v>3.43</v>
      </c>
      <c r="M37" s="7" t="s">
        <v>3</v>
      </c>
      <c r="N37" s="27">
        <f>AVERAGE(D37,F37,H37,J37,L37)</f>
        <v>2.9939999999999998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6" t="s">
        <v>84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3.01</v>
      </c>
      <c r="E40" s="7" t="s">
        <v>3</v>
      </c>
      <c r="F40" s="7">
        <f>ROUND(((+F66+F65+F64+F63-F62+F61+F59+F57)/F61),2)</f>
        <v>3.6</v>
      </c>
      <c r="G40" s="7" t="s">
        <v>3</v>
      </c>
      <c r="H40" s="7">
        <f>ROUND(((+H66+H65+H64+H63-H62+H61+H59+H57)/H61),2)</f>
        <v>3.39</v>
      </c>
      <c r="I40" s="7" t="s">
        <v>3</v>
      </c>
      <c r="J40" s="7">
        <f>ROUND(((+J66+J65+J64+J63-J62+J61+J59+J57)/J61),2)</f>
        <v>3.37</v>
      </c>
      <c r="K40" s="7" t="s">
        <v>3</v>
      </c>
      <c r="L40" s="7">
        <f>ROUND(((+L66+L65+L64+L63-L62+L61+L59+L57)/L61),2)</f>
        <v>4.2</v>
      </c>
      <c r="M40" s="7" t="s">
        <v>3</v>
      </c>
      <c r="N40" s="27">
        <f>AVERAGE(D40,F40,H40,J40,L40)</f>
        <v>3.5140000000000002</v>
      </c>
      <c r="O40" t="s">
        <v>3</v>
      </c>
    </row>
    <row r="41" spans="1:15" x14ac:dyDescent="0.4">
      <c r="B41" t="s">
        <v>21</v>
      </c>
      <c r="D41" s="7">
        <f>ROUND(((+D66+D65+D64+D63-D62+D61)/D61),2)</f>
        <v>2.68</v>
      </c>
      <c r="E41" s="7" t="s">
        <v>3</v>
      </c>
      <c r="F41" s="7">
        <f>ROUND(((+F66+F65+F64+F63-F62+F61)/F61),2)</f>
        <v>3.01</v>
      </c>
      <c r="G41" s="7" t="s">
        <v>3</v>
      </c>
      <c r="H41" s="7">
        <f>ROUND(((+H66+H65+H64+H63-H62+H61)/H61),2)</f>
        <v>2.88</v>
      </c>
      <c r="I41" s="7" t="s">
        <v>3</v>
      </c>
      <c r="J41" s="7">
        <f>ROUND(((+J66+J65+J64+J63-J62+J61)/J61),2)</f>
        <v>2.76</v>
      </c>
      <c r="K41" s="7" t="s">
        <v>3</v>
      </c>
      <c r="L41" s="7">
        <f>ROUND(((+L66+L65+L64+L63-L62+L61)/L61),2)</f>
        <v>3.38</v>
      </c>
      <c r="M41" s="7" t="s">
        <v>3</v>
      </c>
      <c r="N41" s="27">
        <f>AVERAGE(D41,F41,H41,J41,L41)</f>
        <v>2.9420000000000002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2.68</v>
      </c>
      <c r="E42" s="7" t="s">
        <v>3</v>
      </c>
      <c r="F42" s="7">
        <f>ROUND(((+F66+F65+F64+F63-F62+F61)/(F61+F63+F64+F65)),2)</f>
        <v>3.01</v>
      </c>
      <c r="G42" s="7" t="s">
        <v>3</v>
      </c>
      <c r="H42" s="7">
        <f>ROUND(((+H66+H65+H64+H63-H62+H61)/(H61+H63+H64+H65)),2)</f>
        <v>2.88</v>
      </c>
      <c r="I42" s="7" t="s">
        <v>3</v>
      </c>
      <c r="J42" s="7">
        <f>ROUND(((+J66+J65+J64+J63-J62+J61)/(J61+J63+J64+J65)),2)</f>
        <v>2.76</v>
      </c>
      <c r="K42" s="7" t="s">
        <v>3</v>
      </c>
      <c r="L42" s="7">
        <f>ROUND(((+L66+L65+L64+L63-L62+L61)/(L61+L63+L64+L65)),2)</f>
        <v>3.38</v>
      </c>
      <c r="M42" s="7" t="s">
        <v>3</v>
      </c>
      <c r="N42" s="27">
        <f>AVERAGE(D42,F42,H42,J42,L42)</f>
        <v>2.9420000000000002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3">
        <f>ROUND(D62/D66,3)</f>
        <v>5.0000000000000001E-3</v>
      </c>
      <c r="E45" s="13"/>
      <c r="F45" s="13">
        <f>ROUND(F62/F66,3)</f>
        <v>3.4000000000000002E-2</v>
      </c>
      <c r="G45" s="13"/>
      <c r="H45" s="13">
        <f>ROUND(H62/H66,3)</f>
        <v>4.1000000000000002E-2</v>
      </c>
      <c r="I45" s="13"/>
      <c r="J45" s="13">
        <f>ROUND(J62/J66,3)</f>
        <v>3.7999999999999999E-2</v>
      </c>
      <c r="K45" s="13"/>
      <c r="L45" s="13">
        <f>ROUND(L62/L66,3)</f>
        <v>0.02</v>
      </c>
      <c r="M45" s="3"/>
      <c r="N45" s="6">
        <f t="shared" ref="N45:N50" si="0">AVERAGE(D45,F45,H45,J45,L45)</f>
        <v>2.7599999999999996E-2</v>
      </c>
    </row>
    <row r="46" spans="1:15" x14ac:dyDescent="0.4">
      <c r="B46" t="s">
        <v>17</v>
      </c>
      <c r="D46" s="17">
        <f>ROUND((D57+D59)/(D57+D59+D66+D63+D64+D65),3)</f>
        <v>0.16500000000000001</v>
      </c>
      <c r="E46" s="18"/>
      <c r="F46" s="17">
        <f>ROUND((F57+F59)/(F57+F59+F66+F63+F64+F65),3)</f>
        <v>0.221</v>
      </c>
      <c r="G46" s="18"/>
      <c r="H46" s="17">
        <f>ROUND((H57+H59)/(H57+H59+H66+H63+H64+H65),3)</f>
        <v>0.20799999999999999</v>
      </c>
      <c r="I46" s="18"/>
      <c r="J46" s="17">
        <f>ROUND((J57+J59)/(J57+J59+J66+J63+J64+J65),3)</f>
        <v>0.253</v>
      </c>
      <c r="K46" s="18"/>
      <c r="L46" s="17">
        <f>ROUND((L57+L59)/(L57+L59+L66+L63+L64+L65),3)</f>
        <v>0.251</v>
      </c>
      <c r="N46" s="6">
        <f t="shared" si="0"/>
        <v>0.21959999999999996</v>
      </c>
    </row>
    <row r="47" spans="1:15" ht="17.25" x14ac:dyDescent="0.4">
      <c r="B47" s="36" t="s">
        <v>85</v>
      </c>
      <c r="D47" s="13">
        <f>ROUND(((+D82+D83+D84+D85+D86-D87+D88-D90-D91)/(+D89-D87)),3)</f>
        <v>0.71299999999999997</v>
      </c>
      <c r="E47" s="14"/>
      <c r="F47" s="13">
        <f>ROUND(((+F82+F83+F84+F85+F86-F87+F88-F90-F91)/(+F89-F87)),3)</f>
        <v>0.60799999999999998</v>
      </c>
      <c r="G47" s="14"/>
      <c r="H47" s="13">
        <f>ROUND(((+H82+H83+H84+H85+H86-H87+H88-H90-H91)/(+H89-H87)),3)</f>
        <v>0.49299999999999999</v>
      </c>
      <c r="I47" s="14"/>
      <c r="J47" s="13">
        <f>ROUND(((+J82+J83+J84+J85+J86-J87+J88-J90-J91)/(+J89-J87)),3)</f>
        <v>0.502</v>
      </c>
      <c r="K47" s="14"/>
      <c r="L47" s="13">
        <f>ROUND(((+L82+L83+L84+L85+L86-L87+L88-L90-L91)/(+L89-L87)),3)</f>
        <v>0.68100000000000005</v>
      </c>
      <c r="N47" s="6">
        <f t="shared" si="0"/>
        <v>0.59939999999999993</v>
      </c>
    </row>
    <row r="48" spans="1:15" ht="17.25" x14ac:dyDescent="0.4">
      <c r="B48" s="36" t="s">
        <v>86</v>
      </c>
      <c r="D48" s="13">
        <f>ROUND(((+D82+D83+D84+D85+D86-D87+D88)/(AVERAGE(D76,F76)+AVERAGE(D79,F79)+AVERAGE(D80,F80))),3)</f>
        <v>0.14099999999999999</v>
      </c>
      <c r="E48" s="14"/>
      <c r="F48" s="13">
        <f>ROUND(((+F82+F83+F84+F85+F86-F87+F88)/(AVERAGE(F76,H76)+AVERAGE(F79,H79)+AVERAGE(F80,H80))),3)</f>
        <v>0.22500000000000001</v>
      </c>
      <c r="G48" s="14"/>
      <c r="H48" s="13">
        <f>ROUND(((+H82+H83+H84+H85+H86-H87+H88)/(AVERAGE(H76,J76)+AVERAGE(H79,J79)+AVERAGE(H80,J80))),3)</f>
        <v>0.23200000000000001</v>
      </c>
      <c r="I48" s="14"/>
      <c r="J48" s="13">
        <f>ROUND(((+J82+J83+J84+J85+J86-J87+J88)/(AVERAGE(J76,L76)+AVERAGE(J79,L79)+AVERAGE(J80,L80))),3)</f>
        <v>0.224</v>
      </c>
      <c r="K48" s="14"/>
      <c r="L48" s="13">
        <f>ROUND(((+L82+L83+L84+L85+L86-L87+L88)/(AVERAGE(L76,N76)+AVERAGE(L79,N79)+AVERAGE(L80,N80))),3)</f>
        <v>0.28399999999999997</v>
      </c>
      <c r="N48" s="6">
        <f t="shared" si="0"/>
        <v>0.22119999999999998</v>
      </c>
    </row>
    <row r="49" spans="1:15" ht="17.25" x14ac:dyDescent="0.4">
      <c r="B49" s="36" t="s">
        <v>87</v>
      </c>
      <c r="D49" s="28">
        <f>ROUND(((+D82+D83+D84+D85+D86-D87+D88+D92)/D61),2)</f>
        <v>6.32</v>
      </c>
      <c r="E49" t="s">
        <v>3</v>
      </c>
      <c r="F49" s="28">
        <f>ROUND(((+F82+F83+F84+F85+F86-F87+F88+F92)/F61),2)</f>
        <v>6.54</v>
      </c>
      <c r="G49" t="s">
        <v>3</v>
      </c>
      <c r="H49" s="28">
        <f>ROUND(((+H82+H83+H84+H85+H86-H87+H88+H92)/H61),2)</f>
        <v>6.22</v>
      </c>
      <c r="I49" t="s">
        <v>3</v>
      </c>
      <c r="J49" s="28">
        <f>ROUND(((+J82+J83+J84+J85+J86-J87+J88+J92)/J61),2)</f>
        <v>5.71</v>
      </c>
      <c r="K49" t="s">
        <v>3</v>
      </c>
      <c r="L49" s="28">
        <f>ROUND(((+L82+L83+L84+L85+L86-L87+L88+L92)/L61),2)</f>
        <v>7.39</v>
      </c>
      <c r="M49" t="s">
        <v>3</v>
      </c>
      <c r="N49" s="29">
        <f t="shared" si="0"/>
        <v>6.4359999999999999</v>
      </c>
      <c r="O49" t="s">
        <v>3</v>
      </c>
    </row>
    <row r="50" spans="1:15" ht="17.25" x14ac:dyDescent="0.4">
      <c r="B50" s="36" t="s">
        <v>88</v>
      </c>
      <c r="D50" s="28">
        <f>ROUND(((+D82+D83+D84+D85+D86-D87+D88-D91)/+D90),2)</f>
        <v>4.6900000000000004</v>
      </c>
      <c r="E50" t="s">
        <v>3</v>
      </c>
      <c r="F50" s="28">
        <f>ROUND(((+F82+F83+F84+F85+F86-F87+F88-F91)/+F90),2)</f>
        <v>4.97</v>
      </c>
      <c r="G50" t="s">
        <v>3</v>
      </c>
      <c r="H50" s="28">
        <f>ROUND(((+H82+H83+H84+H85+H86-H87+H88-H91)/+H90),2)</f>
        <v>4.97</v>
      </c>
      <c r="I50" t="s">
        <v>3</v>
      </c>
      <c r="J50" s="28">
        <f>ROUND(((+J82+J83+J84+J85+J86-J87+J88-J91)/+J90),2)</f>
        <v>4.83</v>
      </c>
      <c r="K50" t="s">
        <v>3</v>
      </c>
      <c r="L50" s="28">
        <f>ROUND(((+L82+L83+L84+L85+L86-L87+L88-L91)/+L90),2)</f>
        <v>5.61</v>
      </c>
      <c r="M50" t="s">
        <v>3</v>
      </c>
      <c r="N50" s="29">
        <f t="shared" si="0"/>
        <v>5.0140000000000002</v>
      </c>
      <c r="O50" t="s">
        <v>3</v>
      </c>
    </row>
    <row r="52" spans="1:15" x14ac:dyDescent="0.4">
      <c r="A52" t="s">
        <v>4</v>
      </c>
    </row>
    <row r="53" spans="1:15" x14ac:dyDescent="0.4">
      <c r="D53" s="38"/>
      <c r="F53" s="38"/>
    </row>
    <row r="54" spans="1:15" x14ac:dyDescent="0.4">
      <c r="A54" s="19" t="s">
        <v>102</v>
      </c>
      <c r="B54" s="19"/>
      <c r="C54" s="19"/>
      <c r="D54" s="38"/>
      <c r="E54" s="20"/>
      <c r="F54" s="38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3680.451</v>
      </c>
      <c r="E56" s="22"/>
      <c r="F56" s="22">
        <v>3298.873</v>
      </c>
      <c r="G56" s="22"/>
      <c r="H56" s="22">
        <v>3119.9169999999999</v>
      </c>
      <c r="I56" s="22"/>
      <c r="J56" s="22">
        <v>2880.0129999999999</v>
      </c>
      <c r="K56" s="22"/>
      <c r="L56" s="22">
        <v>2548.7919999999999</v>
      </c>
      <c r="M56" s="22"/>
      <c r="N56" s="22">
        <v>2460.4899999999998</v>
      </c>
    </row>
    <row r="57" spans="1:15" x14ac:dyDescent="0.4">
      <c r="A57" s="20" t="s">
        <v>23</v>
      </c>
      <c r="B57" s="20"/>
      <c r="C57" s="20"/>
      <c r="D57" s="22">
        <v>39.648000000000003</v>
      </c>
      <c r="E57" s="22"/>
      <c r="F57" s="22">
        <v>65.753</v>
      </c>
      <c r="G57" s="22"/>
      <c r="H57" s="22">
        <v>56.023000000000003</v>
      </c>
      <c r="I57" s="22"/>
      <c r="J57" s="22">
        <v>61.683999999999997</v>
      </c>
      <c r="K57" s="22"/>
      <c r="L57" s="22">
        <v>65.087999999999994</v>
      </c>
      <c r="M57" s="22"/>
      <c r="N57" s="22">
        <v>78.468000000000004</v>
      </c>
    </row>
    <row r="58" spans="1:15" x14ac:dyDescent="0.4">
      <c r="A58" s="20" t="s">
        <v>24</v>
      </c>
      <c r="B58" s="20"/>
      <c r="C58" s="20"/>
      <c r="D58" s="22">
        <f>3310.904+D57</f>
        <v>3350.5520000000001</v>
      </c>
      <c r="E58" s="22"/>
      <c r="F58" s="22">
        <f>2875.869+F57</f>
        <v>2941.6220000000003</v>
      </c>
      <c r="G58" s="22"/>
      <c r="H58" s="22">
        <f>2748.106+H57</f>
        <v>2804.1290000000004</v>
      </c>
      <c r="I58" s="22"/>
      <c r="J58" s="22">
        <v>2584.2640000000001</v>
      </c>
      <c r="K58" s="22"/>
      <c r="L58" s="22">
        <v>2290.1799999999998</v>
      </c>
      <c r="M58" s="22"/>
      <c r="N58" s="22">
        <v>2243.2440000000001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369.547-D57-3.499-6.423</f>
        <v>319.97699999999998</v>
      </c>
      <c r="E60" s="22"/>
      <c r="F60" s="22">
        <f>423.004-F57-6.789-6.661</f>
        <v>343.80100000000004</v>
      </c>
      <c r="G60" s="22"/>
      <c r="H60" s="22">
        <f>371.811-H57+10.085-2.711</f>
        <v>323.16199999999992</v>
      </c>
      <c r="I60" s="22"/>
      <c r="J60" s="22">
        <v>278.32299999999998</v>
      </c>
      <c r="K60" s="22"/>
      <c r="L60" s="22">
        <v>272.00599999999997</v>
      </c>
      <c r="M60" s="22"/>
      <c r="N60" s="22">
        <v>226.715</v>
      </c>
    </row>
    <row r="61" spans="1:15" x14ac:dyDescent="0.4">
      <c r="A61" s="20" t="s">
        <v>27</v>
      </c>
      <c r="B61" s="20"/>
      <c r="C61" s="20"/>
      <c r="D61" s="22">
        <v>119.19799999999999</v>
      </c>
      <c r="E61" s="22"/>
      <c r="F61" s="22">
        <v>111.477</v>
      </c>
      <c r="G61" s="22"/>
      <c r="H61" s="22">
        <v>109.226</v>
      </c>
      <c r="I61" s="22"/>
      <c r="J61" s="22">
        <v>99.935000000000002</v>
      </c>
      <c r="K61" s="22"/>
      <c r="L61" s="22">
        <v>79.73</v>
      </c>
      <c r="M61" s="22"/>
      <c r="N61" s="22">
        <v>74.834999999999994</v>
      </c>
    </row>
    <row r="62" spans="1:15" x14ac:dyDescent="0.4">
      <c r="A62" s="20" t="s">
        <v>28</v>
      </c>
      <c r="B62" s="20"/>
      <c r="C62" s="20"/>
      <c r="D62" s="22">
        <v>1.046</v>
      </c>
      <c r="E62" s="22"/>
      <c r="F62" s="22">
        <v>7.9260000000000002</v>
      </c>
      <c r="G62" s="22"/>
      <c r="H62" s="22">
        <v>8.7189999999999994</v>
      </c>
      <c r="I62" s="22"/>
      <c r="J62" s="22">
        <v>6.891</v>
      </c>
      <c r="K62" s="22"/>
      <c r="L62" s="22">
        <v>3.9620000000000002</v>
      </c>
      <c r="M62" s="22"/>
      <c r="N62" s="22">
        <v>3.464</v>
      </c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0</v>
      </c>
      <c r="E64" s="22"/>
      <c r="F64" s="22">
        <v>0</v>
      </c>
      <c r="G64" s="22"/>
      <c r="H64" s="22">
        <v>0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200.779</v>
      </c>
      <c r="E66" s="22"/>
      <c r="F66" s="22">
        <v>232.32400000000001</v>
      </c>
      <c r="G66" s="22"/>
      <c r="H66" s="22">
        <v>213.93600000000001</v>
      </c>
      <c r="I66" s="22"/>
      <c r="J66" s="22">
        <v>182.27699999999999</v>
      </c>
      <c r="K66" s="22"/>
      <c r="L66" s="22">
        <v>193.84100000000001</v>
      </c>
      <c r="M66" s="22"/>
      <c r="N66" s="22">
        <v>152.041</v>
      </c>
    </row>
    <row r="67" spans="1:14" x14ac:dyDescent="0.4">
      <c r="A67" s="20" t="s">
        <v>33</v>
      </c>
      <c r="B67" s="20"/>
      <c r="C67" s="20"/>
      <c r="D67" s="22">
        <v>3.39</v>
      </c>
      <c r="E67" s="22"/>
      <c r="F67" s="22">
        <v>4.1500000000000004</v>
      </c>
      <c r="G67" s="22"/>
      <c r="H67" s="22">
        <v>3.94</v>
      </c>
      <c r="I67" s="22"/>
      <c r="J67" s="22">
        <v>3.69</v>
      </c>
      <c r="K67" s="22"/>
      <c r="L67" s="22">
        <v>4.04</v>
      </c>
      <c r="M67" s="22"/>
      <c r="N67" s="22">
        <v>3.2</v>
      </c>
    </row>
    <row r="68" spans="1:14" x14ac:dyDescent="0.4">
      <c r="A68" s="20" t="s">
        <v>34</v>
      </c>
      <c r="B68" s="20"/>
      <c r="C68" s="20"/>
      <c r="D68" s="22">
        <v>2953.82</v>
      </c>
      <c r="E68" s="22"/>
      <c r="F68" s="22">
        <v>2674.953</v>
      </c>
      <c r="G68" s="22"/>
      <c r="H68" s="22">
        <v>2505.9140000000002</v>
      </c>
      <c r="I68" s="22"/>
      <c r="J68" s="22">
        <v>2252.0419999999999</v>
      </c>
      <c r="K68" s="22"/>
      <c r="L68" s="22">
        <v>1814.768</v>
      </c>
      <c r="M68" s="22"/>
      <c r="N68" s="22">
        <v>1663.49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0</v>
      </c>
      <c r="E71" s="22"/>
      <c r="F71" s="22">
        <v>0</v>
      </c>
      <c r="G71" s="22"/>
      <c r="H71" s="22">
        <v>0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196.71700000000001</v>
      </c>
      <c r="E75" s="22"/>
      <c r="F75" s="22">
        <v>165.71600000000001</v>
      </c>
      <c r="G75" s="22"/>
      <c r="H75" s="22">
        <v>84.542000000000002</v>
      </c>
      <c r="I75" s="22"/>
      <c r="J75" s="22">
        <v>81.379000000000005</v>
      </c>
      <c r="K75" s="22"/>
      <c r="L75" s="22">
        <v>-2.3650000000000002</v>
      </c>
      <c r="M75" s="22"/>
      <c r="N75" s="22">
        <v>20.373000000000001</v>
      </c>
    </row>
    <row r="76" spans="1:14" x14ac:dyDescent="0.4">
      <c r="A76" s="20" t="s">
        <v>42</v>
      </c>
      <c r="B76" s="20"/>
      <c r="C76" s="20"/>
      <c r="D76" s="22">
        <v>4115.6840000000002</v>
      </c>
      <c r="E76" s="22"/>
      <c r="F76" s="22">
        <v>2732.2</v>
      </c>
      <c r="G76" s="22"/>
      <c r="H76" s="22">
        <v>2300.482</v>
      </c>
      <c r="I76" s="22"/>
      <c r="J76" s="22">
        <v>2107.2579999999998</v>
      </c>
      <c r="K76" s="22"/>
      <c r="L76" s="22">
        <v>1798.576</v>
      </c>
      <c r="M76" s="22"/>
      <c r="N76" s="22">
        <v>1549.9829999999999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7266.2210000000005</v>
      </c>
      <c r="E78" s="22"/>
      <c r="F78" s="22">
        <f>SUM(F68:F77)</f>
        <v>5572.8689999999997</v>
      </c>
      <c r="G78" s="22"/>
      <c r="H78" s="22">
        <f>SUM(H68:H77)</f>
        <v>4890.9380000000001</v>
      </c>
      <c r="I78" s="22"/>
      <c r="J78" s="22">
        <v>4440.6790000000001</v>
      </c>
      <c r="K78" s="22"/>
      <c r="L78" s="22">
        <v>3610.9789999999998</v>
      </c>
      <c r="M78" s="22"/>
      <c r="N78" s="22">
        <v>3233.846</v>
      </c>
    </row>
    <row r="79" spans="1:14" x14ac:dyDescent="0.4">
      <c r="A79" s="20" t="s">
        <v>45</v>
      </c>
      <c r="B79" s="20"/>
      <c r="C79" s="20"/>
      <c r="D79" s="22">
        <v>297.32400000000001</v>
      </c>
      <c r="E79" s="22"/>
      <c r="F79" s="22">
        <v>40.433</v>
      </c>
      <c r="G79" s="22"/>
      <c r="H79" s="22">
        <v>163.512</v>
      </c>
      <c r="I79" s="22"/>
      <c r="J79" s="22">
        <v>33.06</v>
      </c>
      <c r="K79" s="22"/>
      <c r="L79" s="22">
        <v>25.346</v>
      </c>
      <c r="M79" s="22"/>
      <c r="N79" s="22">
        <v>50.100999999999999</v>
      </c>
    </row>
    <row r="80" spans="1:14" x14ac:dyDescent="0.4">
      <c r="A80" s="20" t="s">
        <v>46</v>
      </c>
      <c r="B80" s="20"/>
      <c r="C80" s="20"/>
      <c r="D80" s="22">
        <v>1909</v>
      </c>
      <c r="E80" s="22"/>
      <c r="F80" s="22">
        <v>107</v>
      </c>
      <c r="G80" s="22"/>
      <c r="H80" s="22">
        <v>211</v>
      </c>
      <c r="I80" s="22"/>
      <c r="J80" s="22">
        <v>152</v>
      </c>
      <c r="K80" s="22"/>
      <c r="L80" s="22">
        <v>214.5</v>
      </c>
      <c r="M80" s="22"/>
      <c r="N80" s="22">
        <v>0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207.202</v>
      </c>
      <c r="E82" s="22"/>
      <c r="F82" s="22">
        <v>238.98500000000001</v>
      </c>
      <c r="G82" s="22"/>
      <c r="H82" s="22">
        <v>216.64699999999999</v>
      </c>
      <c r="I82" s="22"/>
      <c r="J82" s="22">
        <v>181.65199999999999</v>
      </c>
      <c r="K82" s="22"/>
      <c r="L82" s="22">
        <v>193.94200000000001</v>
      </c>
      <c r="M82" s="22"/>
      <c r="N82" s="22">
        <v>153.05500000000001</v>
      </c>
    </row>
    <row r="83" spans="1:14" x14ac:dyDescent="0.4">
      <c r="A83" s="20" t="s">
        <v>49</v>
      </c>
      <c r="B83" s="20"/>
      <c r="C83" s="20"/>
      <c r="D83" s="22">
        <v>371.041</v>
      </c>
      <c r="E83" s="22"/>
      <c r="F83" s="22">
        <v>332.02699999999999</v>
      </c>
      <c r="G83" s="22"/>
      <c r="H83" s="22">
        <v>303.23700000000002</v>
      </c>
      <c r="I83" s="22"/>
      <c r="J83" s="22">
        <v>249.21199999999999</v>
      </c>
      <c r="K83" s="22"/>
      <c r="L83" s="22">
        <v>250.95099999999999</v>
      </c>
      <c r="M83" s="22"/>
      <c r="N83" s="22">
        <v>289.13200000000001</v>
      </c>
    </row>
    <row r="84" spans="1:14" x14ac:dyDescent="0.4">
      <c r="A84" s="20" t="s">
        <v>50</v>
      </c>
      <c r="B84" s="20"/>
      <c r="C84" s="20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x14ac:dyDescent="0.4">
      <c r="A85" s="20" t="s">
        <v>51</v>
      </c>
      <c r="B85" s="20"/>
      <c r="C85" s="20"/>
      <c r="D85" s="22">
        <v>61.212000000000003</v>
      </c>
      <c r="E85" s="22"/>
      <c r="F85" s="22">
        <v>50.716999999999999</v>
      </c>
      <c r="G85" s="22"/>
      <c r="H85" s="22">
        <v>54.161999999999999</v>
      </c>
      <c r="I85" s="22"/>
      <c r="J85" s="22">
        <v>51.040999999999997</v>
      </c>
      <c r="K85" s="22"/>
      <c r="L85" s="22">
        <v>63.389000000000003</v>
      </c>
      <c r="M85" s="22"/>
      <c r="N85" s="22">
        <v>68.731999999999999</v>
      </c>
    </row>
    <row r="86" spans="1:14" x14ac:dyDescent="0.4">
      <c r="A86" s="20" t="s">
        <v>52</v>
      </c>
      <c r="B86" s="20"/>
      <c r="C86" s="20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 x14ac:dyDescent="0.4">
      <c r="A87" s="20" t="s">
        <v>53</v>
      </c>
      <c r="B87" s="20"/>
      <c r="C87" s="20"/>
      <c r="D87" s="22">
        <v>0</v>
      </c>
      <c r="E87" s="22"/>
      <c r="F87" s="22">
        <v>4.7240000000000002</v>
      </c>
      <c r="G87" s="22"/>
      <c r="H87" s="22">
        <v>4.1609999999999996</v>
      </c>
      <c r="I87" s="22"/>
      <c r="J87" s="22">
        <v>3.6269999999999998</v>
      </c>
      <c r="K87" s="22"/>
      <c r="L87" s="22">
        <v>2.2959999999999998</v>
      </c>
      <c r="M87" s="22"/>
      <c r="N87" s="22">
        <v>2.2890000000000001</v>
      </c>
    </row>
    <row r="88" spans="1:14" x14ac:dyDescent="0.4">
      <c r="A88" s="20" t="s">
        <v>69</v>
      </c>
      <c r="B88" s="20"/>
      <c r="C88" s="20"/>
      <c r="D88" s="22">
        <v>9.2940000000000005</v>
      </c>
      <c r="E88" s="22"/>
      <c r="F88" s="22">
        <v>7.1139999999999999</v>
      </c>
      <c r="G88" s="22"/>
      <c r="H88" s="22">
        <v>6.8959999999999999</v>
      </c>
      <c r="I88" s="22"/>
      <c r="J88" s="22">
        <v>6.1109999999999998</v>
      </c>
      <c r="K88" s="22"/>
      <c r="L88" s="22">
        <v>10.888</v>
      </c>
      <c r="M88" s="22"/>
      <c r="N88" s="22">
        <v>5.4560000000000004</v>
      </c>
    </row>
    <row r="89" spans="1:14" x14ac:dyDescent="0.4">
      <c r="A89" s="20" t="s">
        <v>54</v>
      </c>
      <c r="B89" s="20"/>
      <c r="C89" s="20"/>
      <c r="D89" s="22">
        <v>715.62599999999998</v>
      </c>
      <c r="E89" s="22"/>
      <c r="F89" s="22">
        <v>825.10500000000002</v>
      </c>
      <c r="G89" s="22"/>
      <c r="H89" s="22">
        <v>938.14800000000002</v>
      </c>
      <c r="I89" s="22"/>
      <c r="J89" s="22">
        <v>769.54100000000005</v>
      </c>
      <c r="K89" s="22"/>
      <c r="L89" s="22">
        <v>625.94500000000005</v>
      </c>
      <c r="M89" s="22"/>
      <c r="N89" s="22">
        <v>531.82000000000005</v>
      </c>
    </row>
    <row r="90" spans="1:14" x14ac:dyDescent="0.4">
      <c r="A90" s="20" t="s">
        <v>55</v>
      </c>
      <c r="B90" s="20"/>
      <c r="C90" s="20"/>
      <c r="D90" s="22">
        <v>138.22200000000001</v>
      </c>
      <c r="E90" s="22"/>
      <c r="F90" s="22">
        <v>125.504</v>
      </c>
      <c r="G90" s="22"/>
      <c r="H90" s="22">
        <v>116.127</v>
      </c>
      <c r="I90" s="22"/>
      <c r="J90" s="22">
        <v>100.24</v>
      </c>
      <c r="K90" s="22"/>
      <c r="L90" s="22">
        <v>92.13</v>
      </c>
      <c r="M90" s="22"/>
      <c r="N90" s="22">
        <v>83.316999999999993</v>
      </c>
    </row>
    <row r="91" spans="1:14" x14ac:dyDescent="0.4">
      <c r="A91" s="20" t="s">
        <v>56</v>
      </c>
      <c r="B91" s="20"/>
      <c r="C91" s="20"/>
      <c r="D91" s="22">
        <v>0</v>
      </c>
      <c r="E91" s="22"/>
      <c r="F91" s="22">
        <v>0</v>
      </c>
      <c r="G91" s="22"/>
      <c r="H91" s="22">
        <v>0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104.352</v>
      </c>
      <c r="E92" s="22"/>
      <c r="F92" s="22">
        <v>105.182</v>
      </c>
      <c r="G92" s="22"/>
      <c r="H92" s="22">
        <v>102.258</v>
      </c>
      <c r="I92" s="22"/>
      <c r="J92" s="22">
        <v>86.561999999999998</v>
      </c>
      <c r="K92" s="22"/>
      <c r="L92" s="22">
        <v>71.942999999999998</v>
      </c>
      <c r="M92" s="22"/>
      <c r="N92" s="22">
        <v>67.44</v>
      </c>
    </row>
    <row r="93" spans="1:14" x14ac:dyDescent="0.4">
      <c r="A93" s="20" t="s">
        <v>58</v>
      </c>
      <c r="B93" s="20"/>
      <c r="C93" s="20"/>
      <c r="D93" s="22">
        <v>4.2080000000000002</v>
      </c>
      <c r="E93" s="22"/>
      <c r="F93" s="22">
        <v>-10.951000000000001</v>
      </c>
      <c r="G93" s="22"/>
      <c r="H93" s="22">
        <v>2.7519999999999998</v>
      </c>
      <c r="I93" s="22"/>
      <c r="J93" s="22">
        <v>1.2210000000000001</v>
      </c>
      <c r="K93" s="22"/>
      <c r="L93" s="22">
        <v>5.673</v>
      </c>
      <c r="M93" s="22"/>
      <c r="N93" s="22">
        <v>-19.032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142.428</v>
      </c>
      <c r="E96" s="22"/>
      <c r="F96" s="22">
        <v>128.905</v>
      </c>
      <c r="G96" s="22"/>
      <c r="H96" s="22">
        <v>119.149</v>
      </c>
      <c r="I96" s="22"/>
      <c r="J96" s="22">
        <v>104.69</v>
      </c>
      <c r="K96" s="22"/>
      <c r="L96" s="22">
        <v>95.350999999999999</v>
      </c>
      <c r="M96" s="22"/>
      <c r="N96" s="22">
        <v>86.230999999999995</v>
      </c>
    </row>
    <row r="97" spans="1:14" x14ac:dyDescent="0.4">
      <c r="A97" s="20" t="s">
        <v>60</v>
      </c>
      <c r="B97" s="20"/>
      <c r="C97" s="20"/>
      <c r="D97" s="39">
        <v>2.38</v>
      </c>
      <c r="E97" s="22"/>
      <c r="F97" s="39">
        <v>2.2799999999999998</v>
      </c>
      <c r="G97" s="22"/>
      <c r="H97" s="22">
        <v>2.1800000000000002</v>
      </c>
      <c r="I97" s="22"/>
      <c r="J97" s="22">
        <v>2.0550000000000002</v>
      </c>
      <c r="K97" s="22"/>
      <c r="L97" s="22">
        <v>1.9350000000000001</v>
      </c>
      <c r="M97" s="22"/>
      <c r="N97" s="22">
        <v>1.7549999999999999</v>
      </c>
    </row>
    <row r="98" spans="1:14" x14ac:dyDescent="0.4">
      <c r="A98" s="20" t="s">
        <v>61</v>
      </c>
      <c r="B98" s="20"/>
      <c r="C98" s="20"/>
      <c r="D98" s="39">
        <v>2.38</v>
      </c>
      <c r="E98" s="22"/>
      <c r="F98" s="39">
        <v>2.2799999999999998</v>
      </c>
      <c r="G98" s="22"/>
      <c r="H98" s="22">
        <v>2.1800000000000002</v>
      </c>
      <c r="I98" s="22"/>
      <c r="J98" s="22">
        <v>2.0550000000000002</v>
      </c>
      <c r="K98" s="22"/>
      <c r="L98" s="22">
        <v>1.9350000000000001</v>
      </c>
      <c r="M98" s="22"/>
      <c r="N98" s="22">
        <v>1.7549999999999999</v>
      </c>
    </row>
    <row r="99" spans="1:14" x14ac:dyDescent="0.4">
      <c r="A99" s="20" t="s">
        <v>62</v>
      </c>
      <c r="B99" s="20"/>
      <c r="C99" s="20"/>
      <c r="D99" s="22">
        <v>73.540000000000006</v>
      </c>
      <c r="E99" s="22"/>
      <c r="F99" s="22">
        <v>81.62</v>
      </c>
      <c r="G99" s="22"/>
      <c r="H99" s="22">
        <v>92.94</v>
      </c>
      <c r="I99" s="22"/>
      <c r="J99" s="22">
        <v>85.97</v>
      </c>
      <c r="K99" s="22"/>
      <c r="L99" s="22">
        <v>86.87</v>
      </c>
      <c r="M99" s="22"/>
      <c r="N99" s="22">
        <v>79.58</v>
      </c>
    </row>
    <row r="100" spans="1:14" x14ac:dyDescent="0.4">
      <c r="A100" s="20" t="s">
        <v>63</v>
      </c>
      <c r="B100" s="20"/>
      <c r="C100" s="20"/>
      <c r="D100" s="22">
        <v>57</v>
      </c>
      <c r="E100" s="22"/>
      <c r="F100" s="22">
        <v>45.68</v>
      </c>
      <c r="G100" s="22"/>
      <c r="H100" s="22">
        <v>73.27</v>
      </c>
      <c r="I100" s="22"/>
      <c r="J100" s="22">
        <v>62.534999999999997</v>
      </c>
      <c r="K100" s="22"/>
      <c r="L100" s="22">
        <v>72.319999999999993</v>
      </c>
      <c r="M100" s="22"/>
      <c r="N100" s="22">
        <v>53.51</v>
      </c>
    </row>
    <row r="101" spans="1:14" x14ac:dyDescent="0.4">
      <c r="A101" s="20" t="s">
        <v>64</v>
      </c>
      <c r="B101" s="20"/>
      <c r="C101" s="20"/>
      <c r="D101" s="22">
        <v>70.05</v>
      </c>
      <c r="E101" s="22"/>
      <c r="F101" s="22">
        <v>60.75</v>
      </c>
      <c r="G101" s="22"/>
      <c r="H101" s="22">
        <v>75.97</v>
      </c>
      <c r="I101" s="22"/>
      <c r="J101" s="22">
        <v>76.5</v>
      </c>
      <c r="K101" s="22"/>
      <c r="L101" s="22">
        <v>80.48</v>
      </c>
      <c r="M101" s="22"/>
      <c r="N101" s="22">
        <v>76.62</v>
      </c>
    </row>
    <row r="102" spans="1:14" x14ac:dyDescent="0.4">
      <c r="A102" s="20" t="s">
        <v>65</v>
      </c>
      <c r="B102" s="20"/>
      <c r="C102" s="20"/>
      <c r="D102" s="22">
        <v>60.422080999999999</v>
      </c>
      <c r="E102" s="22"/>
      <c r="F102" s="22">
        <v>57.192999999999998</v>
      </c>
      <c r="G102" s="22"/>
      <c r="H102" s="22">
        <v>55.007432999999999</v>
      </c>
      <c r="I102" s="22"/>
      <c r="J102" s="22">
        <v>53.026000000000003</v>
      </c>
      <c r="K102" s="22"/>
      <c r="L102" s="22">
        <v>48.09</v>
      </c>
      <c r="M102" s="22"/>
      <c r="N102" s="22">
        <v>47.481999999999999</v>
      </c>
    </row>
    <row r="103" spans="1:14" x14ac:dyDescent="0.4">
      <c r="A103" s="20" t="s">
        <v>76</v>
      </c>
      <c r="B103" s="20"/>
      <c r="C103" s="20"/>
      <c r="D103" s="22">
        <v>-46.761000000000003</v>
      </c>
      <c r="E103" s="22"/>
      <c r="F103" s="22">
        <v>-61.003</v>
      </c>
      <c r="G103" s="22"/>
      <c r="H103" s="22">
        <v>-56.731999999999999</v>
      </c>
      <c r="I103" s="22"/>
      <c r="J103" s="22">
        <v>-52.667999999999999</v>
      </c>
      <c r="K103" s="22"/>
      <c r="L103" s="22">
        <v>-47.682000000000002</v>
      </c>
      <c r="M103" s="22"/>
      <c r="N103" s="22">
        <v>-48.008000000000003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3.39</v>
      </c>
      <c r="F105" s="15">
        <f>F67/F94</f>
        <v>4.1500000000000004</v>
      </c>
      <c r="H105" s="15">
        <f>H67/H94</f>
        <v>3.94</v>
      </c>
      <c r="J105" s="15">
        <f>J67/J94</f>
        <v>3.69</v>
      </c>
      <c r="L105" s="15">
        <f>L67/L94</f>
        <v>4.04</v>
      </c>
      <c r="N105" s="15">
        <f>N67/N94</f>
        <v>3.2</v>
      </c>
    </row>
    <row r="106" spans="1:14" x14ac:dyDescent="0.4">
      <c r="B106" t="s">
        <v>60</v>
      </c>
      <c r="D106" s="15">
        <f>D97/D94</f>
        <v>2.38</v>
      </c>
      <c r="F106" s="15">
        <f>F97/F94</f>
        <v>2.2799999999999998</v>
      </c>
      <c r="H106" s="15">
        <f>H97/H94</f>
        <v>2.1800000000000002</v>
      </c>
      <c r="J106" s="15">
        <f>J97/J94</f>
        <v>2.0550000000000002</v>
      </c>
      <c r="L106" s="15">
        <f>L97/L94</f>
        <v>1.9350000000000001</v>
      </c>
      <c r="N106" s="15">
        <f>N97/N94</f>
        <v>1.7549999999999999</v>
      </c>
    </row>
    <row r="107" spans="1:14" x14ac:dyDescent="0.4">
      <c r="B107" t="s">
        <v>61</v>
      </c>
      <c r="D107" s="15">
        <f>D98/D94</f>
        <v>2.38</v>
      </c>
      <c r="F107" s="15">
        <f>F98/F94</f>
        <v>2.2799999999999998</v>
      </c>
      <c r="H107" s="15">
        <f>H98/H94</f>
        <v>2.1800000000000002</v>
      </c>
      <c r="J107" s="15">
        <f>J98/J94</f>
        <v>2.0550000000000002</v>
      </c>
      <c r="L107" s="15">
        <f>L98/L94</f>
        <v>1.9350000000000001</v>
      </c>
      <c r="N107" s="15">
        <f>N98/N94</f>
        <v>1.7549999999999999</v>
      </c>
    </row>
    <row r="108" spans="1:14" x14ac:dyDescent="0.4">
      <c r="B108" t="s">
        <v>62</v>
      </c>
      <c r="D108" s="15">
        <f>D99/D94</f>
        <v>73.540000000000006</v>
      </c>
      <c r="F108" s="15">
        <f>F99/F94</f>
        <v>81.62</v>
      </c>
      <c r="H108" s="15">
        <f>H99/H94</f>
        <v>92.94</v>
      </c>
      <c r="J108" s="15">
        <f>J99/J94</f>
        <v>85.97</v>
      </c>
      <c r="L108" s="15">
        <f>L99/L94</f>
        <v>86.87</v>
      </c>
      <c r="N108" s="15">
        <f>N99/N94</f>
        <v>79.58</v>
      </c>
    </row>
    <row r="109" spans="1:14" x14ac:dyDescent="0.4">
      <c r="B109" t="s">
        <v>63</v>
      </c>
      <c r="D109" s="15">
        <f>D100/D94</f>
        <v>57</v>
      </c>
      <c r="F109" s="15">
        <f>F100/F94</f>
        <v>45.68</v>
      </c>
      <c r="H109" s="15">
        <f>H100/H94</f>
        <v>73.27</v>
      </c>
      <c r="J109" s="15">
        <f>J100/J94</f>
        <v>62.534999999999997</v>
      </c>
      <c r="L109" s="15">
        <f>L100/L94</f>
        <v>72.319999999999993</v>
      </c>
      <c r="N109" s="15">
        <f>N100/N94</f>
        <v>53.51</v>
      </c>
    </row>
    <row r="110" spans="1:14" x14ac:dyDescent="0.4">
      <c r="B110" t="s">
        <v>64</v>
      </c>
      <c r="D110" s="15">
        <f>D101/D94</f>
        <v>70.05</v>
      </c>
      <c r="F110" s="15">
        <f>F101/F94</f>
        <v>60.75</v>
      </c>
      <c r="H110" s="15">
        <f>H101/H94</f>
        <v>75.97</v>
      </c>
      <c r="J110" s="15">
        <f>J101/J94</f>
        <v>76.5</v>
      </c>
      <c r="L110" s="15">
        <f>L101/L94</f>
        <v>80.48</v>
      </c>
      <c r="N110" s="15">
        <f>N101/N94</f>
        <v>76.62</v>
      </c>
    </row>
    <row r="111" spans="1:14" x14ac:dyDescent="0.4">
      <c r="B111" t="s">
        <v>65</v>
      </c>
      <c r="D111" s="16">
        <f>D102*D94</f>
        <v>60.422080999999999</v>
      </c>
      <c r="E111" s="16"/>
      <c r="F111" s="16">
        <f>F102*F94</f>
        <v>57.192999999999998</v>
      </c>
      <c r="G111" s="16"/>
      <c r="H111" s="16">
        <f>H102*H94</f>
        <v>55.007432999999999</v>
      </c>
      <c r="I111" s="16"/>
      <c r="J111" s="16">
        <f>J102*J94</f>
        <v>53.026000000000003</v>
      </c>
      <c r="K111" s="16"/>
      <c r="L111" s="16">
        <f>L102*L94</f>
        <v>48.09</v>
      </c>
      <c r="M111" s="16"/>
      <c r="N111" s="16">
        <f>N102*N94</f>
        <v>47.481999999999999</v>
      </c>
    </row>
    <row r="112" spans="1:14" x14ac:dyDescent="0.4">
      <c r="B112" t="s">
        <v>66</v>
      </c>
      <c r="D112" s="15">
        <f>ROUND(D68/D111,2)</f>
        <v>48.89</v>
      </c>
      <c r="F112" s="15">
        <f>ROUND(F68/F111,2)</f>
        <v>46.77</v>
      </c>
      <c r="H112" s="15">
        <f>ROUND(H68/H111,2)</f>
        <v>45.56</v>
      </c>
      <c r="J112" s="15">
        <f>ROUND(J68/J111,2)</f>
        <v>42.47</v>
      </c>
      <c r="L112" s="15">
        <f>ROUND(L68/L111,2)</f>
        <v>37.74</v>
      </c>
      <c r="N112" s="15">
        <f>ROUND(N68/N111,2)</f>
        <v>35.03</v>
      </c>
    </row>
  </sheetData>
  <mergeCells count="4">
    <mergeCell ref="A1:O1"/>
    <mergeCell ref="A2:O2"/>
    <mergeCell ref="A3:O3"/>
    <mergeCell ref="D6:L6"/>
  </mergeCells>
  <pageMargins left="1.25" right="0" top="1.5" bottom="1" header="0.5" footer="0.5"/>
  <pageSetup scale="62" orientation="portrait" r:id="rId1"/>
  <headerFooter alignWithMargins="0"/>
  <rowBreaks count="1" manualBreakCount="1">
    <brk id="5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6"/>
  <dimension ref="A1:O112"/>
  <sheetViews>
    <sheetView zoomScale="85" zoomScaleNormal="85" workbookViewId="0">
      <selection sqref="A1:O1"/>
    </sheetView>
  </sheetViews>
  <sheetFormatPr defaultRowHeight="15" x14ac:dyDescent="0.4"/>
  <cols>
    <col min="1" max="1" width="2.6640625" customWidth="1"/>
    <col min="2" max="2" width="24.71875" customWidth="1"/>
    <col min="4" max="4" width="10.21875" customWidth="1"/>
    <col min="5" max="5" width="3.71875" customWidth="1"/>
    <col min="6" max="6" width="10.21875" customWidth="1"/>
    <col min="7" max="7" width="3.71875" customWidth="1"/>
    <col min="8" max="8" width="10.21875" customWidth="1"/>
    <col min="9" max="9" width="3.71875" customWidth="1"/>
    <col min="10" max="10" width="10.21875" customWidth="1"/>
    <col min="11" max="11" width="3.71875" customWidth="1"/>
    <col min="12" max="12" width="10.21875" customWidth="1"/>
    <col min="13" max="13" width="3.71875" customWidth="1"/>
    <col min="14" max="14" width="8.71875" customWidth="1"/>
    <col min="15" max="15" width="2.71875" customWidth="1"/>
  </cols>
  <sheetData>
    <row r="1" spans="1:15" x14ac:dyDescent="0.4">
      <c r="A1" s="49" t="str">
        <f>A54</f>
        <v>SPIRE INC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4">
      <c r="A3" s="45" t="str">
        <f>'Page 1'!A3:N3</f>
        <v>2017-2021, Inclusive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spans="1:15" s="1" customFormat="1" x14ac:dyDescent="0.4">
      <c r="D5" s="2">
        <f>D55</f>
        <v>2021</v>
      </c>
      <c r="F5" s="2">
        <f>F55</f>
        <v>2020</v>
      </c>
      <c r="H5" s="2">
        <f>H55</f>
        <v>2019</v>
      </c>
      <c r="J5" s="2">
        <f>J55</f>
        <v>2018</v>
      </c>
      <c r="L5" s="2">
        <f>L55</f>
        <v>2017</v>
      </c>
    </row>
    <row r="6" spans="1:15" s="1" customFormat="1" x14ac:dyDescent="0.4">
      <c r="D6" s="48" t="s">
        <v>18</v>
      </c>
      <c r="E6" s="48"/>
      <c r="F6" s="48"/>
      <c r="G6" s="48"/>
      <c r="H6" s="48"/>
      <c r="I6" s="48"/>
      <c r="J6" s="48"/>
      <c r="K6" s="48"/>
      <c r="L6" s="48"/>
    </row>
    <row r="7" spans="1:15" x14ac:dyDescent="0.4">
      <c r="A7" t="s">
        <v>1</v>
      </c>
    </row>
    <row r="8" spans="1:15" x14ac:dyDescent="0.4">
      <c r="B8" t="s">
        <v>6</v>
      </c>
      <c r="D8" s="37">
        <f>D78+D79+D81-D103</f>
        <v>5659.3</v>
      </c>
      <c r="F8" s="37">
        <f>F78+F79+F81-F103</f>
        <v>5050.9999999999991</v>
      </c>
      <c r="H8" s="37">
        <f>H78+H79+H81-H103</f>
        <v>4700.3</v>
      </c>
      <c r="J8" s="37">
        <f>J78+J79+J81-J103</f>
        <v>4332.5</v>
      </c>
      <c r="L8" s="37">
        <f>L78+L79+L81-L103</f>
        <v>4083.1000000000004</v>
      </c>
    </row>
    <row r="9" spans="1:15" x14ac:dyDescent="0.4">
      <c r="B9" t="s">
        <v>5</v>
      </c>
      <c r="D9" s="11">
        <f>D80</f>
        <v>672</v>
      </c>
      <c r="F9" s="11">
        <f>F80</f>
        <v>648</v>
      </c>
      <c r="H9" s="11">
        <f>H80</f>
        <v>743.2</v>
      </c>
      <c r="J9" s="11">
        <f>J80</f>
        <v>553.6</v>
      </c>
      <c r="L9" s="11">
        <f>L80</f>
        <v>477.3</v>
      </c>
    </row>
    <row r="10" spans="1:15" ht="15.4" thickBot="1" x14ac:dyDescent="0.45">
      <c r="B10" t="s">
        <v>7</v>
      </c>
      <c r="D10" s="12">
        <f>D8+D9</f>
        <v>6331.3</v>
      </c>
      <c r="F10" s="12">
        <f>F8+F9</f>
        <v>5698.9999999999991</v>
      </c>
      <c r="H10" s="12">
        <f>H8+H9</f>
        <v>5443.5</v>
      </c>
      <c r="J10" s="12">
        <f>J8+J9</f>
        <v>4886.1000000000004</v>
      </c>
      <c r="L10" s="12">
        <f>L8+L9</f>
        <v>4560.4000000000005</v>
      </c>
    </row>
    <row r="11" spans="1:15" ht="15.4" thickTop="1" x14ac:dyDescent="0.4"/>
    <row r="12" spans="1:15" x14ac:dyDescent="0.4">
      <c r="A12" t="s">
        <v>8</v>
      </c>
      <c r="N12" s="2" t="s">
        <v>19</v>
      </c>
    </row>
    <row r="13" spans="1:15" x14ac:dyDescent="0.4">
      <c r="B13" s="24" t="s">
        <v>73</v>
      </c>
      <c r="D13" s="32">
        <f>ROUND(AVERAGE(D108:D109)/D105,0)</f>
        <v>14</v>
      </c>
      <c r="E13" s="7" t="s">
        <v>3</v>
      </c>
      <c r="F13" s="32">
        <f>ROUND(AVERAGE(F108:F109)/F105,0)</f>
        <v>48</v>
      </c>
      <c r="G13" s="7" t="s">
        <v>3</v>
      </c>
      <c r="H13" s="32">
        <f>ROUND(AVERAGE(H108:H109)/H105,0)</f>
        <v>23</v>
      </c>
      <c r="I13" s="7" t="s">
        <v>3</v>
      </c>
      <c r="J13" s="32">
        <f>ROUND(AVERAGE(J108:J109)/J105,0)</f>
        <v>16</v>
      </c>
      <c r="K13" s="7" t="s">
        <v>3</v>
      </c>
      <c r="L13" s="32">
        <f>ROUND(AVERAGE(L108:L109)/L105,0)</f>
        <v>21</v>
      </c>
      <c r="M13" s="7" t="s">
        <v>3</v>
      </c>
      <c r="N13" s="33">
        <f>AVERAGE(D13,F13,H13,J13,L13)</f>
        <v>24.4</v>
      </c>
      <c r="O13" s="7" t="s">
        <v>3</v>
      </c>
    </row>
    <row r="14" spans="1:15" x14ac:dyDescent="0.4">
      <c r="B14" t="s">
        <v>20</v>
      </c>
      <c r="D14" s="3">
        <f>ROUND(AVERAGE(D108:D109)/AVERAGE(D112,F112),3)</f>
        <v>1.5089999999999999</v>
      </c>
      <c r="E14" s="3"/>
      <c r="F14" s="3">
        <f>ROUND(AVERAGE(F108:F109)/AVERAGE(F112,H112),3)</f>
        <v>1.5509999999999999</v>
      </c>
      <c r="G14" s="3"/>
      <c r="H14" s="3">
        <f>ROUND(AVERAGE(H108:H109)/AVERAGE(H112,J112),3)</f>
        <v>1.7809999999999999</v>
      </c>
      <c r="I14" s="3"/>
      <c r="J14" s="3">
        <f>ROUND(AVERAGE(J108:J109)/AVERAGE(J112,L112),3)</f>
        <v>1.6459999999999999</v>
      </c>
      <c r="K14" s="3"/>
      <c r="L14" s="3">
        <f>ROUND(AVERAGE(L108:L109)/AVERAGE(L112,N112),3)</f>
        <v>1.8149999999999999</v>
      </c>
      <c r="M14" s="3"/>
      <c r="N14" s="6">
        <f>AVERAGE(D14,F14,H14,J14,L14)</f>
        <v>1.6603999999999999</v>
      </c>
    </row>
    <row r="15" spans="1:15" x14ac:dyDescent="0.4">
      <c r="B15" t="s">
        <v>9</v>
      </c>
      <c r="D15" s="3">
        <f>ROUND(D106/AVERAGE(D108:D109),3)</f>
        <v>3.7999999999999999E-2</v>
      </c>
      <c r="E15" s="3"/>
      <c r="F15" s="3">
        <f>ROUND(F106/AVERAGE(F108:F109),3)</f>
        <v>3.5999999999999997E-2</v>
      </c>
      <c r="G15" s="3"/>
      <c r="H15" s="3">
        <f>ROUND(H106/AVERAGE(H108:H109),3)</f>
        <v>0.03</v>
      </c>
      <c r="I15" s="3"/>
      <c r="J15" s="3">
        <f>ROUND(J106/AVERAGE(J108:J109),3)</f>
        <v>3.2000000000000001E-2</v>
      </c>
      <c r="K15" s="3"/>
      <c r="L15" s="3">
        <f>ROUND(L106/AVERAGE(L108:L109),3)</f>
        <v>2.9000000000000001E-2</v>
      </c>
      <c r="M15" s="3"/>
      <c r="N15" s="6">
        <f>AVERAGE(D15,F15,H15,J15,L15)</f>
        <v>3.3000000000000002E-2</v>
      </c>
    </row>
    <row r="16" spans="1:15" x14ac:dyDescent="0.4">
      <c r="B16" t="s">
        <v>10</v>
      </c>
      <c r="D16" s="3">
        <f>ROUND(D96/D66,3)</f>
        <v>0.53</v>
      </c>
      <c r="E16" s="3"/>
      <c r="F16" s="3">
        <f>ROUND(F96/F66,3)</f>
        <v>1.742</v>
      </c>
      <c r="G16" s="3"/>
      <c r="H16" s="3">
        <f>ROUND(H96/H66,3)</f>
        <v>0.67400000000000004</v>
      </c>
      <c r="I16" s="3"/>
      <c r="J16" s="3">
        <f>ROUND(J96/J66,3)</f>
        <v>0.52500000000000002</v>
      </c>
      <c r="K16" s="3"/>
      <c r="L16" s="3">
        <f>ROUND(L96/L66,3)</f>
        <v>0.61499999999999999</v>
      </c>
      <c r="M16" s="3"/>
      <c r="N16" s="6">
        <f>AVERAGE(D16,F16,H16,J16,L16)</f>
        <v>0.81720000000000004</v>
      </c>
    </row>
    <row r="18" spans="1:14" x14ac:dyDescent="0.4">
      <c r="A18" t="s">
        <v>2</v>
      </c>
    </row>
    <row r="19" spans="1:14" x14ac:dyDescent="0.4">
      <c r="B19" t="s">
        <v>11</v>
      </c>
    </row>
    <row r="20" spans="1:14" x14ac:dyDescent="0.4">
      <c r="B20" s="34" t="s">
        <v>77</v>
      </c>
      <c r="D20" s="3">
        <f>ROUND((+D76+D79)/D8,3)</f>
        <v>0.52900000000000003</v>
      </c>
      <c r="E20" s="3"/>
      <c r="F20" s="3">
        <f>ROUND((+F76+F79)/F8,3)</f>
        <v>0.49199999999999999</v>
      </c>
      <c r="G20" s="3"/>
      <c r="H20" s="3">
        <f>ROUND((+H76+H79)/H8,3)</f>
        <v>0.45200000000000001</v>
      </c>
      <c r="I20" s="3"/>
      <c r="J20" s="3">
        <f>ROUND((+J76+J79)/J8,3)</f>
        <v>0.47899999999999998</v>
      </c>
      <c r="K20" s="3"/>
      <c r="L20" s="3">
        <f>ROUND((+L76+L79)/L8,3)</f>
        <v>0.51300000000000001</v>
      </c>
      <c r="M20" s="3"/>
      <c r="N20" s="6">
        <f>AVERAGE(D20,F20,H20,J20,L20)</f>
        <v>0.49299999999999999</v>
      </c>
    </row>
    <row r="21" spans="1:14" x14ac:dyDescent="0.4">
      <c r="B21" s="34" t="s">
        <v>78</v>
      </c>
      <c r="D21" s="3">
        <f>ROUND((SUM(D69:D75)+D81)/D8,3)</f>
        <v>4.3999999999999997E-2</v>
      </c>
      <c r="E21" s="3"/>
      <c r="F21" s="3">
        <f>ROUND((SUM(F69:F75)+F81)/F8,3)</f>
        <v>4.9000000000000002E-2</v>
      </c>
      <c r="G21" s="3"/>
      <c r="H21" s="3">
        <f>ROUND((SUM(H69:H75)+H81)/H8,3)</f>
        <v>5.1999999999999998E-2</v>
      </c>
      <c r="I21" s="3"/>
      <c r="J21" s="3">
        <f>ROUND((SUM(J69:J75)+J81)/J8,3)</f>
        <v>2E-3</v>
      </c>
      <c r="K21" s="3"/>
      <c r="L21" s="3">
        <f>ROUND((SUM(L69:L75)+L81)/L8,3)</f>
        <v>0</v>
      </c>
      <c r="M21" s="3"/>
      <c r="N21" s="6">
        <f>AVERAGE(D21,F21,H21,J21,L21)</f>
        <v>2.9399999999999999E-2</v>
      </c>
    </row>
    <row r="22" spans="1:14" ht="17.25" x14ac:dyDescent="0.4">
      <c r="B22" s="35" t="s">
        <v>79</v>
      </c>
      <c r="D22" s="4">
        <f>ROUND((D68-D103)/D8,3)</f>
        <v>0.42599999999999999</v>
      </c>
      <c r="E22" s="3"/>
      <c r="F22" s="4">
        <f>ROUND((F68-F103)/F8,3)</f>
        <v>0.46</v>
      </c>
      <c r="G22" s="3"/>
      <c r="H22" s="4">
        <f>ROUND((H68-H103)/H8,3)</f>
        <v>0.496</v>
      </c>
      <c r="I22" s="3"/>
      <c r="J22" s="4">
        <f>ROUND((J68-J103)/J8,3)</f>
        <v>0.51900000000000002</v>
      </c>
      <c r="K22" s="3"/>
      <c r="L22" s="4">
        <f>ROUND((L68-L103)/L8,3)</f>
        <v>0.48699999999999999</v>
      </c>
      <c r="M22" s="3"/>
      <c r="N22" s="8">
        <f>AVERAGE(D22,F22,H22,J22,L22)</f>
        <v>0.47760000000000008</v>
      </c>
    </row>
    <row r="23" spans="1:14" ht="15.4" thickBot="1" x14ac:dyDescent="0.45">
      <c r="D23" s="5">
        <f>SUM(D20:D22)</f>
        <v>0.99900000000000011</v>
      </c>
      <c r="E23" s="3"/>
      <c r="F23" s="5">
        <f>SUM(F20:F22)</f>
        <v>1.0010000000000001</v>
      </c>
      <c r="G23" s="3"/>
      <c r="H23" s="5">
        <f>SUM(H20:H22)</f>
        <v>1</v>
      </c>
      <c r="I23" s="3"/>
      <c r="J23" s="5">
        <f>SUM(J20:J22)</f>
        <v>1</v>
      </c>
      <c r="K23" s="3"/>
      <c r="L23" s="5">
        <f>SUM(L20:L22)</f>
        <v>1</v>
      </c>
      <c r="M23" s="3"/>
      <c r="N23" s="9">
        <f>AVERAGE(D23,F23,H23,J23,L23)</f>
        <v>1</v>
      </c>
    </row>
    <row r="24" spans="1:14" ht="15.4" thickTop="1" x14ac:dyDescent="0.4">
      <c r="B24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B25" s="34" t="s">
        <v>80</v>
      </c>
      <c r="D25" s="3">
        <f>ROUND((+D76+D79+D80)/D10,3)</f>
        <v>0.57899999999999996</v>
      </c>
      <c r="E25" s="3"/>
      <c r="F25" s="3">
        <f>ROUND((+F76+F79+F80)/F10,3)</f>
        <v>0.55000000000000004</v>
      </c>
      <c r="G25" s="3"/>
      <c r="H25" s="3">
        <f>ROUND((+H76+H79+H80)/H10,3)</f>
        <v>0.52600000000000002</v>
      </c>
      <c r="I25" s="3"/>
      <c r="J25" s="3">
        <f>ROUND((+J76+J79+J80)/J10,3)</f>
        <v>0.53800000000000003</v>
      </c>
      <c r="K25" s="3"/>
      <c r="L25" s="3">
        <f>ROUND((+L76+L79+L80)/L10,3)</f>
        <v>0.56399999999999995</v>
      </c>
      <c r="M25" s="3"/>
      <c r="N25" s="6">
        <f>AVERAGE(D25,F25,H25,J25,L25)</f>
        <v>0.5514</v>
      </c>
    </row>
    <row r="26" spans="1:14" x14ac:dyDescent="0.4">
      <c r="B26" s="34" t="s">
        <v>78</v>
      </c>
      <c r="D26" s="3">
        <f>ROUND((SUM(D69:D75)+D81)/D10,3)</f>
        <v>0.04</v>
      </c>
      <c r="E26" s="3"/>
      <c r="F26" s="3">
        <f>ROUND((SUM(F69:F75)+F81)/F10,3)</f>
        <v>4.2999999999999997E-2</v>
      </c>
      <c r="G26" s="3"/>
      <c r="H26" s="3">
        <f>ROUND((SUM(H69:H75)+H81)/H10,3)</f>
        <v>4.4999999999999998E-2</v>
      </c>
      <c r="I26" s="3"/>
      <c r="J26" s="3">
        <f>ROUND((SUM(J69:J75)+J81)/J10,3)</f>
        <v>2E-3</v>
      </c>
      <c r="K26" s="3"/>
      <c r="L26" s="3">
        <f>ROUND((SUM(L69:L75)+L81)/L10,3)</f>
        <v>0</v>
      </c>
      <c r="M26" s="3"/>
      <c r="N26" s="6">
        <f>AVERAGE(D26,F26,H26,J26,L26)</f>
        <v>2.6000000000000002E-2</v>
      </c>
    </row>
    <row r="27" spans="1:14" ht="17.25" x14ac:dyDescent="0.4">
      <c r="B27" s="35" t="s">
        <v>79</v>
      </c>
      <c r="D27" s="4">
        <f>ROUND((D68-D103)/D10,3)</f>
        <v>0.38100000000000001</v>
      </c>
      <c r="E27" s="3"/>
      <c r="F27" s="4">
        <f>ROUND((F68-F103)/F10,3)</f>
        <v>0.40699999999999997</v>
      </c>
      <c r="G27" s="3"/>
      <c r="H27" s="4">
        <f>ROUND((H68-H103)/H10,3)</f>
        <v>0.42799999999999999</v>
      </c>
      <c r="I27" s="3"/>
      <c r="J27" s="4">
        <f>ROUND((J68-J103)/J10,3)</f>
        <v>0.46</v>
      </c>
      <c r="K27" s="3"/>
      <c r="L27" s="4">
        <f>ROUND((L68-L103)/L10,3)</f>
        <v>0.436</v>
      </c>
      <c r="M27" s="3"/>
      <c r="N27" s="8">
        <f>AVERAGE(D27,F27,H27,J27,L27)</f>
        <v>0.4224</v>
      </c>
    </row>
    <row r="28" spans="1:14" ht="15.4" thickBot="1" x14ac:dyDescent="0.45">
      <c r="D28" s="5">
        <f>SUM(D25:D27)</f>
        <v>1</v>
      </c>
      <c r="E28" s="3"/>
      <c r="F28" s="5">
        <f>SUM(F25:F27)</f>
        <v>1</v>
      </c>
      <c r="G28" s="3"/>
      <c r="H28" s="5">
        <f>SUM(H25:H27)</f>
        <v>0.99900000000000011</v>
      </c>
      <c r="I28" s="3"/>
      <c r="J28" s="5">
        <f>SUM(J25:J27)</f>
        <v>1</v>
      </c>
      <c r="K28" s="3"/>
      <c r="L28" s="5">
        <f>SUM(L25:L27)</f>
        <v>1</v>
      </c>
      <c r="M28" s="3"/>
      <c r="N28" s="9">
        <f>AVERAGE(D28,F28,H28,J28,L28)</f>
        <v>0.99980000000000013</v>
      </c>
    </row>
    <row r="29" spans="1:14" ht="15.4" thickTop="1" x14ac:dyDescent="0.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7.25" x14ac:dyDescent="0.4">
      <c r="A30" s="36" t="s">
        <v>81</v>
      </c>
      <c r="D30" s="3">
        <f>ROUND(+D66/(((D68-D103)+(F68-F103))/2),3)</f>
        <v>0.108</v>
      </c>
      <c r="E30" s="3"/>
      <c r="F30" s="3">
        <f>ROUND(+F66/(((F68-F103)+(H68-H103))/2),3)</f>
        <v>3.2000000000000001E-2</v>
      </c>
      <c r="G30" s="3"/>
      <c r="H30" s="3">
        <f>ROUND(+H66/(((H68-H103)+(J68-J103))/2),3)</f>
        <v>7.8E-2</v>
      </c>
      <c r="I30" s="3"/>
      <c r="J30" s="3">
        <f>ROUND(+J66/(((J68-J103)+(L68-L103))/2),3)</f>
        <v>0.10100000000000001</v>
      </c>
      <c r="K30" s="3"/>
      <c r="L30" s="3">
        <f>ROUND(+L66/(((L68-L103)+(N68-N103))/2),3)</f>
        <v>8.5999999999999993E-2</v>
      </c>
      <c r="M30" s="3"/>
      <c r="N30" s="6">
        <f>AVERAGE(D30,F30,H30,J30,L30)</f>
        <v>8.1000000000000003E-2</v>
      </c>
    </row>
    <row r="31" spans="1:14" x14ac:dyDescent="0.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7.25" x14ac:dyDescent="0.4">
      <c r="A32" s="36" t="s">
        <v>82</v>
      </c>
      <c r="D32" s="3">
        <f>ROUND((+D58-D57)/D56,3)</f>
        <v>0.79900000000000004</v>
      </c>
      <c r="E32" s="3"/>
      <c r="F32" s="3">
        <f>ROUND((+F58-F57)/F56,3)</f>
        <v>0.88900000000000001</v>
      </c>
      <c r="G32" s="3"/>
      <c r="H32" s="3">
        <f>ROUND((+H58-H57)/H56,3)</f>
        <v>0.84499999999999997</v>
      </c>
      <c r="I32" s="3"/>
      <c r="J32" s="3">
        <f>ROUND((+J58-J57)/J56,3)</f>
        <v>0.85099999999999998</v>
      </c>
      <c r="K32" s="3"/>
      <c r="L32" s="3">
        <f>ROUND((+L58-L57)/L56,3)</f>
        <v>0.81299999999999994</v>
      </c>
      <c r="M32" s="3"/>
      <c r="N32" s="6">
        <f>AVERAGE(D32,F32,H32,J32,L32)</f>
        <v>0.83940000000000003</v>
      </c>
    </row>
    <row r="34" spans="1:15" ht="17.25" x14ac:dyDescent="0.4">
      <c r="A34" s="36" t="s">
        <v>83</v>
      </c>
    </row>
    <row r="35" spans="1:15" x14ac:dyDescent="0.4">
      <c r="B35" t="s">
        <v>13</v>
      </c>
      <c r="D35" s="7">
        <f>ROUND(((+D66+D65+D64+D63+D61+D59+D57)/D61),2)</f>
        <v>4.1900000000000004</v>
      </c>
      <c r="E35" s="7" t="s">
        <v>3</v>
      </c>
      <c r="F35" s="7">
        <f>ROUND(((+F66+F65+F64+F63+F61+F59+F57)/F61),2)</f>
        <v>1.96</v>
      </c>
      <c r="G35" s="7" t="s">
        <v>3</v>
      </c>
      <c r="H35" s="7">
        <f>ROUND(((+H66+H65+H64+H63+H61+H59+H57)/H61),2)</f>
        <v>3.09</v>
      </c>
      <c r="I35" s="7" t="s">
        <v>3</v>
      </c>
      <c r="J35" s="7">
        <f>ROUND(((+J66+J65+J64+J63+J61+J59+J57)/J61),2)</f>
        <v>2.9</v>
      </c>
      <c r="K35" s="7" t="s">
        <v>3</v>
      </c>
      <c r="L35" s="7">
        <f>ROUND(((+L66+L65+L64+L63+L61+L59+L57)/L61),2)</f>
        <v>3.68</v>
      </c>
      <c r="M35" s="7" t="s">
        <v>3</v>
      </c>
      <c r="N35" s="27">
        <f>AVERAGE(D35,F35,H35,J35,L35)</f>
        <v>3.1640000000000001</v>
      </c>
      <c r="O35" t="s">
        <v>3</v>
      </c>
    </row>
    <row r="36" spans="1:15" x14ac:dyDescent="0.4">
      <c r="B36" t="s">
        <v>21</v>
      </c>
      <c r="D36" s="7">
        <f>ROUND(((+D66+D65+D64+D63+D61)/(D61)),2)</f>
        <v>3.55</v>
      </c>
      <c r="E36" s="7" t="s">
        <v>3</v>
      </c>
      <c r="F36" s="7">
        <f>ROUND(((+F66+F65+F64+F63+F61)/(F61)),2)</f>
        <v>1.84</v>
      </c>
      <c r="G36" s="7" t="s">
        <v>3</v>
      </c>
      <c r="H36" s="7">
        <f>ROUND(((+H66+H65+H64+H63+H61)/(H61)),2)</f>
        <v>2.76</v>
      </c>
      <c r="I36" s="7" t="s">
        <v>3</v>
      </c>
      <c r="J36" s="7">
        <f>ROUND(((+J66+J65+J64+J63+J61)/(J61)),2)</f>
        <v>3.17</v>
      </c>
      <c r="K36" s="7" t="s">
        <v>3</v>
      </c>
      <c r="L36" s="7">
        <f>ROUND(((+L66+L65+L64+L63+L61)/(L61)),2)</f>
        <v>2.81</v>
      </c>
      <c r="M36" s="7" t="s">
        <v>3</v>
      </c>
      <c r="N36" s="27">
        <f>AVERAGE(D36,F36,H36,J36,L36)</f>
        <v>2.8259999999999996</v>
      </c>
      <c r="O36" t="s">
        <v>3</v>
      </c>
    </row>
    <row r="37" spans="1:15" x14ac:dyDescent="0.4">
      <c r="B37" t="s">
        <v>14</v>
      </c>
      <c r="D37" s="7">
        <f>ROUND(((+D66+D65+D64+D63+D61)/(D61+D63+D64+D65)),2)</f>
        <v>3.11</v>
      </c>
      <c r="E37" s="7" t="s">
        <v>3</v>
      </c>
      <c r="F37" s="7">
        <f>ROUND(((+F66+F65+F64+F63+F61)/(F61+F63+F64+F65)),2)</f>
        <v>1.61</v>
      </c>
      <c r="G37" s="7" t="s">
        <v>3</v>
      </c>
      <c r="H37" s="7">
        <f>ROUND(((+H66+H65+H64+H63+H61)/(H61+H63+H64+H65)),2)</f>
        <v>2.63</v>
      </c>
      <c r="I37" s="7" t="s">
        <v>3</v>
      </c>
      <c r="J37" s="7">
        <f>ROUND(((+J66+J65+J64+J63+J61)/(J61+J63+J64+J65)),2)</f>
        <v>3.17</v>
      </c>
      <c r="K37" s="7" t="s">
        <v>3</v>
      </c>
      <c r="L37" s="7">
        <f>ROUND(((+L66+L65+L64+L63+L61)/(L61+L63+L64+L65)),2)</f>
        <v>2.81</v>
      </c>
      <c r="M37" s="7" t="s">
        <v>3</v>
      </c>
      <c r="N37" s="27">
        <f>AVERAGE(D37,F37,H37,J37,L37)</f>
        <v>2.6659999999999999</v>
      </c>
      <c r="O37" t="s">
        <v>3</v>
      </c>
    </row>
    <row r="38" spans="1:15" x14ac:dyDescent="0.4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5" ht="17.25" x14ac:dyDescent="0.4">
      <c r="A39" s="36" t="s">
        <v>84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5" x14ac:dyDescent="0.4">
      <c r="B40" t="s">
        <v>13</v>
      </c>
      <c r="D40" s="7">
        <f>ROUND(((+D66+D65+D64+D63-D62+D61+D59+D57)/D61),2)</f>
        <v>4.1900000000000004</v>
      </c>
      <c r="E40" s="7" t="s">
        <v>3</v>
      </c>
      <c r="F40" s="7">
        <f>ROUND(((+F66+F65+F64+F63-F62+F61+F59+F57)/F61),2)</f>
        <v>1.96</v>
      </c>
      <c r="G40" s="7" t="s">
        <v>3</v>
      </c>
      <c r="H40" s="7">
        <f>ROUND(((+H66+H65+H64+H63-H62+H61+H59+H57)/H61),2)</f>
        <v>3.09</v>
      </c>
      <c r="I40" s="7" t="s">
        <v>3</v>
      </c>
      <c r="J40" s="7">
        <f>ROUND(((+J66+J65+J64+J63-J62+J61+J59+J57)/J61),2)</f>
        <v>2.9</v>
      </c>
      <c r="K40" s="7" t="s">
        <v>3</v>
      </c>
      <c r="L40" s="7">
        <f>ROUND(((+L66+L65+L64+L63-L62+L61+L59+L57)/L61),2)</f>
        <v>3.68</v>
      </c>
      <c r="M40" s="7" t="s">
        <v>3</v>
      </c>
      <c r="N40" s="27">
        <f>AVERAGE(D40,F40,H40,J40,L40)</f>
        <v>3.1640000000000001</v>
      </c>
      <c r="O40" t="s">
        <v>3</v>
      </c>
    </row>
    <row r="41" spans="1:15" x14ac:dyDescent="0.4">
      <c r="B41" t="s">
        <v>21</v>
      </c>
      <c r="D41" s="7">
        <f>ROUND(((+D66+D65+D64+D63-D62+D61)/D61),2)</f>
        <v>3.55</v>
      </c>
      <c r="E41" s="7" t="s">
        <v>3</v>
      </c>
      <c r="F41" s="7">
        <f>ROUND(((+F66+F65+F64+F63-F62+F61)/F61),2)</f>
        <v>1.84</v>
      </c>
      <c r="G41" s="7" t="s">
        <v>3</v>
      </c>
      <c r="H41" s="7">
        <f>ROUND(((+H66+H65+H64+H63-H62+H61)/H61),2)</f>
        <v>2.76</v>
      </c>
      <c r="I41" s="7" t="s">
        <v>3</v>
      </c>
      <c r="J41" s="7">
        <f>ROUND(((+J66+J65+J64+J63-J62+J61)/J61),2)</f>
        <v>3.17</v>
      </c>
      <c r="K41" s="7" t="s">
        <v>3</v>
      </c>
      <c r="L41" s="7">
        <f>ROUND(((+L66+L65+L64+L63-L62+L61)/L61),2)</f>
        <v>2.81</v>
      </c>
      <c r="M41" s="7" t="s">
        <v>3</v>
      </c>
      <c r="N41" s="27">
        <f>AVERAGE(D41,F41,H41,J41,L41)</f>
        <v>2.8259999999999996</v>
      </c>
      <c r="O41" t="s">
        <v>3</v>
      </c>
    </row>
    <row r="42" spans="1:15" x14ac:dyDescent="0.4">
      <c r="B42" t="s">
        <v>14</v>
      </c>
      <c r="D42" s="7">
        <f>ROUND(((+D66+D65+D64+D63-D62+D61)/(D61+D63+D64+D65)),2)</f>
        <v>3.11</v>
      </c>
      <c r="E42" s="7" t="s">
        <v>3</v>
      </c>
      <c r="F42" s="7">
        <f>ROUND(((+F66+F65+F64+F63-F62+F61)/(F61+F63+F64+F65)),2)</f>
        <v>1.61</v>
      </c>
      <c r="G42" s="7" t="s">
        <v>3</v>
      </c>
      <c r="H42" s="7">
        <f>ROUND(((+H66+H65+H64+H63-H62+H61)/(H61+H63+H64+H65)),2)</f>
        <v>2.63</v>
      </c>
      <c r="I42" s="7" t="s">
        <v>3</v>
      </c>
      <c r="J42" s="7">
        <f>ROUND(((+J66+J65+J64+J63-J62+J61)/(J61+J63+J64+J65)),2)</f>
        <v>3.17</v>
      </c>
      <c r="K42" s="7" t="s">
        <v>3</v>
      </c>
      <c r="L42" s="7">
        <f>ROUND(((+L66+L65+L64+L63-L62+L61)/(L61+L63+L64+L65)),2)</f>
        <v>2.81</v>
      </c>
      <c r="M42" s="7" t="s">
        <v>3</v>
      </c>
      <c r="N42" s="27">
        <f>AVERAGE(D42,F42,H42,J42,L42)</f>
        <v>2.6659999999999999</v>
      </c>
      <c r="O42" t="s">
        <v>3</v>
      </c>
    </row>
    <row r="44" spans="1:15" x14ac:dyDescent="0.4">
      <c r="A44" t="s">
        <v>15</v>
      </c>
    </row>
    <row r="45" spans="1:15" x14ac:dyDescent="0.4">
      <c r="B45" t="s">
        <v>16</v>
      </c>
      <c r="D45" s="13">
        <f>ROUND(D62/D66,3)</f>
        <v>0</v>
      </c>
      <c r="E45" s="13"/>
      <c r="F45" s="13">
        <f>ROUND(F62/F66,3)</f>
        <v>0</v>
      </c>
      <c r="G45" s="13"/>
      <c r="H45" s="13">
        <f>ROUND(H62/H66,3)</f>
        <v>0</v>
      </c>
      <c r="I45" s="13"/>
      <c r="J45" s="13">
        <f>ROUND(J62/J66,3)</f>
        <v>0</v>
      </c>
      <c r="K45" s="13"/>
      <c r="L45" s="13">
        <f>ROUND(L62/L66,3)</f>
        <v>0</v>
      </c>
      <c r="M45" s="3"/>
      <c r="N45" s="6">
        <f t="shared" ref="N45:N50" si="0">AVERAGE(D45,F45,H45,J45,L45)</f>
        <v>0</v>
      </c>
    </row>
    <row r="46" spans="1:15" x14ac:dyDescent="0.4">
      <c r="B46" t="s">
        <v>17</v>
      </c>
      <c r="D46" s="17">
        <f>ROUND((D57+D59)/(D57+D59+D66+D63+D64+D65),3)</f>
        <v>0.20200000000000001</v>
      </c>
      <c r="E46" s="18"/>
      <c r="F46" s="17">
        <f>ROUND((F57+F59)/(F57+F59+F66+F63+F64+F65),3)</f>
        <v>0.123</v>
      </c>
      <c r="G46" s="18"/>
      <c r="H46" s="17">
        <f>ROUND((H57+H59)/(H57+H59+H66+H63+H64+H65),3)</f>
        <v>0.158</v>
      </c>
      <c r="I46" s="18"/>
      <c r="J46" s="17">
        <f>ROUND((J57+J59)/(J57+J59+J66+J63+J64+J65),3)</f>
        <v>-0.14199999999999999</v>
      </c>
      <c r="K46" s="18"/>
      <c r="L46" s="17">
        <f>ROUND((L57+L59)/(L57+L59+L66+L63+L64+L65),3)</f>
        <v>0.32500000000000001</v>
      </c>
      <c r="N46" s="6">
        <f t="shared" si="0"/>
        <v>0.13319999999999999</v>
      </c>
    </row>
    <row r="47" spans="1:15" ht="17.25" x14ac:dyDescent="0.4">
      <c r="B47" s="36" t="s">
        <v>85</v>
      </c>
      <c r="D47" s="13">
        <f>ROUND(((+D82+D83+D84+D85+D86-D87+D88-D90-D91)/(+D89-D87)),3)</f>
        <v>0.67400000000000004</v>
      </c>
      <c r="E47" s="14"/>
      <c r="F47" s="13">
        <f>ROUND(((+F82+F83+F84+F85+F86-F87+F88-F90-F91)/(+F89-F87)),3)</f>
        <v>0.48399999999999999</v>
      </c>
      <c r="G47" s="14"/>
      <c r="H47" s="13">
        <f>ROUND(((+H82+H83+H84+H85+H86-H87+H88-H90-H91)/(+H89-H87)),3)</f>
        <v>0.33</v>
      </c>
      <c r="I47" s="14"/>
      <c r="J47" s="13">
        <f>ROUND(((+J82+J83+J84+J85+J86-J87+J88-J90-J91)/(+J89-J87)),3)</f>
        <v>0.57899999999999996</v>
      </c>
      <c r="K47" s="14"/>
      <c r="L47" s="13">
        <f>ROUND(((+L82+L83+L84+L85+L86-L87+L88-L90-L91)/(+L89-L87)),3)</f>
        <v>0.68600000000000005</v>
      </c>
      <c r="N47" s="6">
        <f t="shared" si="0"/>
        <v>0.55059999999999998</v>
      </c>
    </row>
    <row r="48" spans="1:15" ht="17.25" x14ac:dyDescent="0.4">
      <c r="B48" s="36" t="s">
        <v>86</v>
      </c>
      <c r="D48" s="13">
        <f>ROUND(((+D82+D83+D84+D85+D86-D87+D88)/(AVERAGE(D76,F76)+AVERAGE(D79,F79)+AVERAGE(D80,F80))),3)</f>
        <v>0.16700000000000001</v>
      </c>
      <c r="E48" s="14"/>
      <c r="F48" s="13">
        <f>ROUND(((+F82+F83+F84+F85+F86-F87+F88)/(AVERAGE(F76,H76)+AVERAGE(F79,H79)+AVERAGE(F80,H80))),3)</f>
        <v>0.151</v>
      </c>
      <c r="G48" s="14"/>
      <c r="H48" s="13">
        <f>ROUND(((+H82+H83+H84+H85+H86-H87+H88)/(AVERAGE(H76,J76)+AVERAGE(H79,J79)+AVERAGE(H80,J80))),3)</f>
        <v>0.14299999999999999</v>
      </c>
      <c r="I48" s="14"/>
      <c r="J48" s="13">
        <f>ROUND(((+J82+J83+J84+J85+J86-J87+J88)/(AVERAGE(J76,L76)+AVERAGE(J79,L79)+AVERAGE(J80,L80))),3)</f>
        <v>0.153</v>
      </c>
      <c r="K48" s="14"/>
      <c r="L48" s="13">
        <f>ROUND(((+L82+L83+L84+L85+L86-L87+L88)/(AVERAGE(L76,N76)+AVERAGE(L79,N79)+AVERAGE(L80,N80))),3)</f>
        <v>0.157</v>
      </c>
      <c r="N48" s="6">
        <f t="shared" si="0"/>
        <v>0.1542</v>
      </c>
    </row>
    <row r="49" spans="1:15" ht="17.25" x14ac:dyDescent="0.4">
      <c r="B49" s="36" t="s">
        <v>87</v>
      </c>
      <c r="D49" s="28">
        <f>ROUND(((+D82+D83+D84+D85+D86-D87+D88+D92)/D61),2)</f>
        <v>6.26</v>
      </c>
      <c r="E49" t="s">
        <v>3</v>
      </c>
      <c r="F49" s="28">
        <f>ROUND(((+F82+F83+F84+F85+F86-F87+F88+F92)/F61),2)</f>
        <v>5.23</v>
      </c>
      <c r="G49" t="s">
        <v>3</v>
      </c>
      <c r="H49" s="28">
        <f>ROUND(((+H82+H83+H84+H85+H86-H87+H88+H92)/H61),2)</f>
        <v>4.76</v>
      </c>
      <c r="I49" t="s">
        <v>3</v>
      </c>
      <c r="J49" s="28">
        <f>ROUND(((+J82+J83+J84+J85+J86-J87+J88+J92)/J61),2)</f>
        <v>5.01</v>
      </c>
      <c r="K49" t="s">
        <v>3</v>
      </c>
      <c r="L49" s="28">
        <f>ROUND(((+L82+L83+L84+L85+L86-L87+L88+L92)/L61),2)</f>
        <v>5.41</v>
      </c>
      <c r="M49" t="s">
        <v>3</v>
      </c>
      <c r="N49" s="29">
        <f t="shared" si="0"/>
        <v>5.3339999999999996</v>
      </c>
      <c r="O49" t="s">
        <v>3</v>
      </c>
    </row>
    <row r="50" spans="1:15" ht="17.25" x14ac:dyDescent="0.4">
      <c r="B50" s="36" t="s">
        <v>88</v>
      </c>
      <c r="D50" s="28">
        <f>ROUND(((+D82+D83+D84+D85+D86-D87+D88-D91)/+D90),2)</f>
        <v>4.16</v>
      </c>
      <c r="E50" t="s">
        <v>3</v>
      </c>
      <c r="F50" s="28">
        <f>ROUND(((+F82+F83+F84+F85+F86-F87+F88-F91)/+F90),2)</f>
        <v>3.41</v>
      </c>
      <c r="G50" t="s">
        <v>3</v>
      </c>
      <c r="H50" s="28">
        <f>ROUND(((+H82+H83+H84+H85+H86-H87+H88-H91)/+H90),2)</f>
        <v>3.28</v>
      </c>
      <c r="I50" t="s">
        <v>3</v>
      </c>
      <c r="J50" s="28">
        <f>ROUND(((+J82+J83+J84+J85+J86-J87+J88-J91)/+J90),2)</f>
        <v>3.66</v>
      </c>
      <c r="K50" t="s">
        <v>3</v>
      </c>
      <c r="L50" s="28">
        <f>ROUND(((+L82+L83+L84+L85+L86-L87+L88-L91)/+L90),2)</f>
        <v>4.13</v>
      </c>
      <c r="M50" t="s">
        <v>3</v>
      </c>
      <c r="N50" s="29">
        <f t="shared" si="0"/>
        <v>3.7280000000000002</v>
      </c>
      <c r="O50" t="s">
        <v>3</v>
      </c>
    </row>
    <row r="52" spans="1:15" x14ac:dyDescent="0.4">
      <c r="A52" t="s">
        <v>4</v>
      </c>
    </row>
    <row r="53" spans="1:15" x14ac:dyDescent="0.4">
      <c r="D53" s="38"/>
      <c r="F53" s="38"/>
    </row>
    <row r="54" spans="1:15" x14ac:dyDescent="0.4">
      <c r="A54" s="19" t="s">
        <v>103</v>
      </c>
      <c r="B54" s="19"/>
      <c r="C54" s="19"/>
      <c r="D54" s="38"/>
      <c r="E54" s="20"/>
      <c r="F54" s="38"/>
      <c r="G54" s="20"/>
      <c r="H54" s="20"/>
      <c r="I54" s="20"/>
      <c r="J54" s="20"/>
      <c r="K54" s="20"/>
      <c r="L54" s="20"/>
      <c r="M54" s="20"/>
      <c r="N54" s="20"/>
    </row>
    <row r="55" spans="1:15" x14ac:dyDescent="0.4">
      <c r="A55" s="20"/>
      <c r="B55" s="20"/>
      <c r="C55" s="20"/>
      <c r="D55" s="21">
        <v>2021</v>
      </c>
      <c r="E55" s="19"/>
      <c r="F55" s="21">
        <v>2020</v>
      </c>
      <c r="G55" s="19"/>
      <c r="H55" s="21">
        <v>2019</v>
      </c>
      <c r="I55" s="19"/>
      <c r="J55" s="21">
        <v>2018</v>
      </c>
      <c r="K55" s="19"/>
      <c r="L55" s="21">
        <v>2017</v>
      </c>
      <c r="M55" s="19"/>
      <c r="N55" s="21">
        <v>2016</v>
      </c>
    </row>
    <row r="56" spans="1:15" x14ac:dyDescent="0.4">
      <c r="A56" s="20" t="s">
        <v>22</v>
      </c>
      <c r="B56" s="20"/>
      <c r="C56" s="20"/>
      <c r="D56" s="22">
        <v>2235.5</v>
      </c>
      <c r="E56" s="22"/>
      <c r="F56" s="22">
        <v>1855.4</v>
      </c>
      <c r="G56" s="22"/>
      <c r="H56" s="22">
        <v>1952.4</v>
      </c>
      <c r="I56" s="22"/>
      <c r="J56" s="22">
        <v>1965</v>
      </c>
      <c r="K56" s="22"/>
      <c r="L56" s="22">
        <v>1740.7</v>
      </c>
      <c r="M56" s="22"/>
      <c r="N56" s="22">
        <v>1537.3</v>
      </c>
    </row>
    <row r="57" spans="1:15" x14ac:dyDescent="0.4">
      <c r="A57" s="20" t="s">
        <v>23</v>
      </c>
      <c r="B57" s="20"/>
      <c r="C57" s="20"/>
      <c r="D57" s="22">
        <v>68.5</v>
      </c>
      <c r="E57" s="22"/>
      <c r="F57" s="22">
        <v>12.4</v>
      </c>
      <c r="G57" s="22"/>
      <c r="H57" s="22">
        <v>34.5</v>
      </c>
      <c r="I57" s="22"/>
      <c r="J57" s="22">
        <v>-26.5</v>
      </c>
      <c r="K57" s="22"/>
      <c r="L57" s="22">
        <v>77.599999999999994</v>
      </c>
      <c r="M57" s="22"/>
      <c r="N57" s="22">
        <v>69.5</v>
      </c>
    </row>
    <row r="58" spans="1:15" x14ac:dyDescent="0.4">
      <c r="A58" s="20" t="s">
        <v>24</v>
      </c>
      <c r="B58" s="20"/>
      <c r="C58" s="20"/>
      <c r="D58" s="22">
        <f>1785.3+D57</f>
        <v>1853.8</v>
      </c>
      <c r="E58" s="22"/>
      <c r="F58" s="22">
        <f>1649+F57</f>
        <v>1661.4</v>
      </c>
      <c r="G58" s="22"/>
      <c r="H58" s="22">
        <f>1650.1+H57</f>
        <v>1684.6</v>
      </c>
      <c r="I58" s="22"/>
      <c r="J58" s="22">
        <v>1645.2</v>
      </c>
      <c r="K58" s="22"/>
      <c r="L58" s="22">
        <v>1492.6</v>
      </c>
      <c r="M58" s="22"/>
      <c r="N58" s="22">
        <v>1315.3</v>
      </c>
    </row>
    <row r="59" spans="1:15" x14ac:dyDescent="0.4">
      <c r="A59" s="20" t="s">
        <v>25</v>
      </c>
      <c r="B59" s="20"/>
      <c r="C59" s="20"/>
      <c r="D59" s="22">
        <v>0</v>
      </c>
      <c r="E59" s="22"/>
      <c r="F59" s="22">
        <v>0</v>
      </c>
      <c r="G59" s="22"/>
      <c r="H59" s="22">
        <v>0</v>
      </c>
      <c r="I59" s="22"/>
      <c r="J59" s="22">
        <v>0</v>
      </c>
      <c r="K59" s="22"/>
      <c r="L59" s="22">
        <v>0</v>
      </c>
      <c r="M59" s="22"/>
      <c r="N59" s="22">
        <v>0</v>
      </c>
    </row>
    <row r="60" spans="1:15" x14ac:dyDescent="0.4">
      <c r="A60" s="20" t="s">
        <v>26</v>
      </c>
      <c r="B60" s="20"/>
      <c r="C60" s="20"/>
      <c r="D60" s="22">
        <f>450.2-D57-3.4-0.4</f>
        <v>377.90000000000003</v>
      </c>
      <c r="E60" s="22"/>
      <c r="F60" s="22">
        <f>206.4-F57+0.1-0.1</f>
        <v>194</v>
      </c>
      <c r="G60" s="22"/>
      <c r="H60" s="22">
        <f>302.3-H57+21.2-0.4</f>
        <v>288.60000000000002</v>
      </c>
      <c r="I60" s="22"/>
      <c r="J60" s="22">
        <v>312.60000000000002</v>
      </c>
      <c r="K60" s="22"/>
      <c r="L60" s="22">
        <v>250.7</v>
      </c>
      <c r="M60" s="22"/>
      <c r="N60" s="22">
        <v>221.4</v>
      </c>
    </row>
    <row r="61" spans="1:15" x14ac:dyDescent="0.4">
      <c r="A61" s="20" t="s">
        <v>27</v>
      </c>
      <c r="B61" s="20"/>
      <c r="C61" s="20"/>
      <c r="D61" s="22">
        <v>106.6</v>
      </c>
      <c r="E61" s="22"/>
      <c r="F61" s="22">
        <v>105.5</v>
      </c>
      <c r="G61" s="22"/>
      <c r="H61" s="22">
        <v>104.4</v>
      </c>
      <c r="I61" s="22"/>
      <c r="J61" s="22">
        <v>98.4</v>
      </c>
      <c r="K61" s="22"/>
      <c r="L61" s="22">
        <v>89.1</v>
      </c>
      <c r="M61" s="22"/>
      <c r="N61" s="22">
        <v>77.2</v>
      </c>
    </row>
    <row r="62" spans="1:15" x14ac:dyDescent="0.4">
      <c r="A62" s="20" t="s">
        <v>28</v>
      </c>
      <c r="B62" s="20"/>
      <c r="C62" s="20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1:15" x14ac:dyDescent="0.4">
      <c r="A63" s="20" t="s">
        <v>29</v>
      </c>
      <c r="B63" s="20"/>
      <c r="C63" s="20"/>
      <c r="D63" s="22">
        <v>0</v>
      </c>
      <c r="E63" s="22"/>
      <c r="F63" s="22">
        <v>0</v>
      </c>
      <c r="G63" s="22"/>
      <c r="H63" s="22">
        <v>0</v>
      </c>
      <c r="I63" s="22"/>
      <c r="J63" s="22">
        <v>0</v>
      </c>
      <c r="K63" s="22"/>
      <c r="L63" s="22">
        <v>0</v>
      </c>
      <c r="M63" s="22"/>
      <c r="N63" s="22">
        <v>0</v>
      </c>
    </row>
    <row r="64" spans="1:15" x14ac:dyDescent="0.4">
      <c r="A64" s="20" t="s">
        <v>30</v>
      </c>
      <c r="B64" s="20"/>
      <c r="C64" s="20"/>
      <c r="D64" s="22">
        <v>14.8</v>
      </c>
      <c r="E64" s="22"/>
      <c r="F64" s="22">
        <v>14.8</v>
      </c>
      <c r="G64" s="22"/>
      <c r="H64" s="22">
        <v>5.3</v>
      </c>
      <c r="I64" s="22"/>
      <c r="J64" s="22">
        <v>0</v>
      </c>
      <c r="K64" s="22"/>
      <c r="L64" s="22">
        <v>0</v>
      </c>
      <c r="M64" s="22"/>
      <c r="N64" s="22">
        <v>0</v>
      </c>
    </row>
    <row r="65" spans="1:14" x14ac:dyDescent="0.4">
      <c r="A65" s="20" t="s">
        <v>31</v>
      </c>
      <c r="B65" s="20"/>
      <c r="C65" s="20"/>
      <c r="D65" s="22">
        <v>0</v>
      </c>
      <c r="E65" s="22"/>
      <c r="F65" s="22">
        <v>0</v>
      </c>
      <c r="G65" s="22"/>
      <c r="H65" s="22">
        <v>0</v>
      </c>
      <c r="I65" s="22"/>
      <c r="J65" s="22">
        <v>0</v>
      </c>
      <c r="K65" s="22"/>
      <c r="L65" s="22">
        <v>0</v>
      </c>
      <c r="M65" s="22"/>
      <c r="N65" s="22">
        <v>0</v>
      </c>
    </row>
    <row r="66" spans="1:14" x14ac:dyDescent="0.4">
      <c r="A66" s="20" t="s">
        <v>32</v>
      </c>
      <c r="B66" s="20"/>
      <c r="C66" s="20"/>
      <c r="D66" s="22">
        <v>256.5</v>
      </c>
      <c r="E66" s="22"/>
      <c r="F66" s="22">
        <v>73.7</v>
      </c>
      <c r="G66" s="22"/>
      <c r="H66" s="22">
        <v>178.9</v>
      </c>
      <c r="I66" s="22"/>
      <c r="J66" s="22">
        <v>213.7</v>
      </c>
      <c r="K66" s="22"/>
      <c r="L66" s="22">
        <v>161.19999999999999</v>
      </c>
      <c r="M66" s="22"/>
      <c r="N66" s="22">
        <v>143.69999999999999</v>
      </c>
    </row>
    <row r="67" spans="1:14" x14ac:dyDescent="0.4">
      <c r="A67" s="20" t="s">
        <v>33</v>
      </c>
      <c r="B67" s="20"/>
      <c r="C67" s="20"/>
      <c r="D67" s="22">
        <v>4.97</v>
      </c>
      <c r="E67" s="22"/>
      <c r="F67" s="22">
        <v>1.44</v>
      </c>
      <c r="G67" s="22"/>
      <c r="H67" s="22">
        <v>3.53</v>
      </c>
      <c r="I67" s="22"/>
      <c r="J67" s="22">
        <v>4.3499999999999996</v>
      </c>
      <c r="K67" s="22"/>
      <c r="L67" s="22">
        <v>3.44</v>
      </c>
      <c r="M67" s="22"/>
      <c r="N67" s="22">
        <v>3.26</v>
      </c>
    </row>
    <row r="68" spans="1:14" x14ac:dyDescent="0.4">
      <c r="A68" s="20" t="s">
        <v>34</v>
      </c>
      <c r="B68" s="20"/>
      <c r="C68" s="20"/>
      <c r="D68" s="22">
        <f>2658.2-D71</f>
        <v>2416.1999999999998</v>
      </c>
      <c r="E68" s="22"/>
      <c r="F68" s="22">
        <f>2522.3-F71</f>
        <v>2280.3000000000002</v>
      </c>
      <c r="G68" s="22"/>
      <c r="H68" s="22">
        <f>2543-H71</f>
        <v>2301</v>
      </c>
      <c r="I68" s="22"/>
      <c r="J68" s="22">
        <v>2255.4</v>
      </c>
      <c r="K68" s="22"/>
      <c r="L68" s="22">
        <v>1991.3</v>
      </c>
      <c r="M68" s="22"/>
      <c r="N68" s="22">
        <v>1768.2</v>
      </c>
    </row>
    <row r="69" spans="1:14" x14ac:dyDescent="0.4">
      <c r="A69" s="20" t="s">
        <v>35</v>
      </c>
      <c r="B69" s="20"/>
      <c r="C69" s="20"/>
      <c r="D69" s="22">
        <v>0</v>
      </c>
      <c r="E69" s="22"/>
      <c r="F69" s="22">
        <v>0</v>
      </c>
      <c r="G69" s="22"/>
      <c r="H69" s="22">
        <v>0</v>
      </c>
      <c r="I69" s="22"/>
      <c r="J69" s="22">
        <v>0</v>
      </c>
      <c r="K69" s="22"/>
      <c r="L69" s="22">
        <v>0</v>
      </c>
      <c r="M69" s="22"/>
      <c r="N69" s="22">
        <v>0</v>
      </c>
    </row>
    <row r="70" spans="1:14" x14ac:dyDescent="0.4">
      <c r="A70" s="20" t="s">
        <v>36</v>
      </c>
      <c r="B70" s="20"/>
      <c r="C70" s="20"/>
      <c r="D70" s="22">
        <v>0</v>
      </c>
      <c r="E70" s="22"/>
      <c r="F70" s="22">
        <v>0</v>
      </c>
      <c r="G70" s="22"/>
      <c r="H70" s="22">
        <v>0</v>
      </c>
      <c r="I70" s="22"/>
      <c r="J70" s="22">
        <v>0</v>
      </c>
      <c r="K70" s="22"/>
      <c r="L70" s="22">
        <v>0</v>
      </c>
      <c r="M70" s="22"/>
      <c r="N70" s="22">
        <v>0</v>
      </c>
    </row>
    <row r="71" spans="1:14" x14ac:dyDescent="0.4">
      <c r="A71" s="20" t="s">
        <v>37</v>
      </c>
      <c r="B71" s="20"/>
      <c r="C71" s="20"/>
      <c r="D71" s="22">
        <v>242</v>
      </c>
      <c r="E71" s="22"/>
      <c r="F71" s="22">
        <v>242</v>
      </c>
      <c r="G71" s="22"/>
      <c r="H71" s="22">
        <v>242</v>
      </c>
      <c r="I71" s="22"/>
      <c r="J71" s="22">
        <v>0</v>
      </c>
      <c r="K71" s="22"/>
      <c r="L71" s="22">
        <v>0</v>
      </c>
      <c r="M71" s="22"/>
      <c r="N71" s="22">
        <v>0</v>
      </c>
    </row>
    <row r="72" spans="1:14" x14ac:dyDescent="0.4">
      <c r="A72" s="20" t="s">
        <v>38</v>
      </c>
      <c r="B72" s="20"/>
      <c r="C72" s="20"/>
      <c r="D72" s="22">
        <v>0</v>
      </c>
      <c r="E72" s="22"/>
      <c r="F72" s="22">
        <v>0</v>
      </c>
      <c r="G72" s="22"/>
      <c r="H72" s="22">
        <v>0</v>
      </c>
      <c r="I72" s="22"/>
      <c r="J72" s="22">
        <v>0</v>
      </c>
      <c r="K72" s="22"/>
      <c r="L72" s="22">
        <v>0</v>
      </c>
      <c r="M72" s="22"/>
      <c r="N72" s="22">
        <v>0</v>
      </c>
    </row>
    <row r="73" spans="1:14" x14ac:dyDescent="0.4">
      <c r="A73" s="20" t="s">
        <v>39</v>
      </c>
      <c r="B73" s="20"/>
      <c r="C73" s="20"/>
      <c r="D73" s="22">
        <v>0</v>
      </c>
      <c r="E73" s="22"/>
      <c r="F73" s="22">
        <v>0</v>
      </c>
      <c r="G73" s="22"/>
      <c r="H73" s="22">
        <v>0</v>
      </c>
      <c r="I73" s="22"/>
      <c r="J73" s="22">
        <v>0</v>
      </c>
      <c r="K73" s="22"/>
      <c r="L73" s="22">
        <v>0</v>
      </c>
      <c r="M73" s="22"/>
      <c r="N73" s="22">
        <v>0</v>
      </c>
    </row>
    <row r="74" spans="1:14" x14ac:dyDescent="0.4">
      <c r="A74" s="20" t="s">
        <v>40</v>
      </c>
      <c r="B74" s="20"/>
      <c r="C74" s="20"/>
      <c r="D74" s="22">
        <v>0</v>
      </c>
      <c r="E74" s="22"/>
      <c r="F74" s="22">
        <v>0</v>
      </c>
      <c r="G74" s="22"/>
      <c r="H74" s="22">
        <v>0</v>
      </c>
      <c r="I74" s="22"/>
      <c r="J74" s="22">
        <v>0</v>
      </c>
      <c r="K74" s="22"/>
      <c r="L74" s="22">
        <v>0</v>
      </c>
      <c r="M74" s="22"/>
      <c r="N74" s="22">
        <v>0</v>
      </c>
    </row>
    <row r="75" spans="1:14" x14ac:dyDescent="0.4">
      <c r="A75" s="20" t="s">
        <v>41</v>
      </c>
      <c r="B75" s="20"/>
      <c r="C75" s="20"/>
      <c r="D75" s="22">
        <v>9.8000000000000007</v>
      </c>
      <c r="E75" s="22"/>
      <c r="F75" s="22">
        <v>3.4</v>
      </c>
      <c r="G75" s="22"/>
      <c r="H75" s="22">
        <v>3.4</v>
      </c>
      <c r="I75" s="22"/>
      <c r="J75" s="22">
        <v>7.9</v>
      </c>
      <c r="K75" s="22"/>
      <c r="L75" s="22">
        <v>0</v>
      </c>
      <c r="M75" s="22"/>
      <c r="N75" s="22">
        <v>0</v>
      </c>
    </row>
    <row r="76" spans="1:14" x14ac:dyDescent="0.4">
      <c r="A76" s="20" t="s">
        <v>42</v>
      </c>
      <c r="B76" s="20"/>
      <c r="C76" s="20"/>
      <c r="D76" s="22">
        <v>2939.1</v>
      </c>
      <c r="E76" s="22"/>
      <c r="F76" s="22">
        <v>2423.6999999999998</v>
      </c>
      <c r="G76" s="22"/>
      <c r="H76" s="22">
        <v>2082.6</v>
      </c>
      <c r="I76" s="22"/>
      <c r="J76" s="22">
        <v>1900.1</v>
      </c>
      <c r="K76" s="22"/>
      <c r="L76" s="22">
        <v>1995</v>
      </c>
      <c r="M76" s="22"/>
      <c r="N76" s="22">
        <v>1833.7</v>
      </c>
    </row>
    <row r="77" spans="1:14" x14ac:dyDescent="0.4">
      <c r="A77" s="20" t="s">
        <v>43</v>
      </c>
      <c r="B77" s="20"/>
      <c r="C77" s="20"/>
      <c r="D77" s="22">
        <v>0</v>
      </c>
      <c r="E77" s="22"/>
      <c r="F77" s="22">
        <v>0</v>
      </c>
      <c r="G77" s="22"/>
      <c r="H77" s="22">
        <v>0</v>
      </c>
      <c r="I77" s="22"/>
      <c r="J77" s="22">
        <v>0</v>
      </c>
      <c r="K77" s="22"/>
      <c r="L77" s="22">
        <v>0</v>
      </c>
      <c r="M77" s="22"/>
      <c r="N77" s="22">
        <v>0</v>
      </c>
    </row>
    <row r="78" spans="1:14" x14ac:dyDescent="0.4">
      <c r="A78" s="20" t="s">
        <v>44</v>
      </c>
      <c r="B78" s="20"/>
      <c r="C78" s="20"/>
      <c r="D78" s="22">
        <f>SUM(D68:D77)</f>
        <v>5607.1</v>
      </c>
      <c r="E78" s="22"/>
      <c r="F78" s="22">
        <f>SUM(F68:F77)</f>
        <v>4949.3999999999996</v>
      </c>
      <c r="G78" s="22"/>
      <c r="H78" s="22">
        <f>SUM(H68:H77)</f>
        <v>4629</v>
      </c>
      <c r="I78" s="22"/>
      <c r="J78" s="22">
        <v>4163.3999999999996</v>
      </c>
      <c r="K78" s="22"/>
      <c r="L78" s="22">
        <v>3986.3</v>
      </c>
      <c r="M78" s="22"/>
      <c r="N78" s="22">
        <v>3601.9</v>
      </c>
    </row>
    <row r="79" spans="1:14" x14ac:dyDescent="0.4">
      <c r="A79" s="20" t="s">
        <v>45</v>
      </c>
      <c r="B79" s="20"/>
      <c r="C79" s="20"/>
      <c r="D79" s="22">
        <v>55.8</v>
      </c>
      <c r="E79" s="22"/>
      <c r="F79" s="22">
        <v>60.4</v>
      </c>
      <c r="G79" s="22"/>
      <c r="H79" s="22">
        <v>40</v>
      </c>
      <c r="I79" s="22"/>
      <c r="J79" s="22">
        <v>175.5</v>
      </c>
      <c r="K79" s="22"/>
      <c r="L79" s="22">
        <v>100</v>
      </c>
      <c r="M79" s="22"/>
      <c r="N79" s="22">
        <v>250</v>
      </c>
    </row>
    <row r="80" spans="1:14" x14ac:dyDescent="0.4">
      <c r="A80" s="20" t="s">
        <v>46</v>
      </c>
      <c r="B80" s="20"/>
      <c r="C80" s="20"/>
      <c r="D80" s="22">
        <v>672</v>
      </c>
      <c r="E80" s="22"/>
      <c r="F80" s="22">
        <v>648</v>
      </c>
      <c r="G80" s="22"/>
      <c r="H80" s="22">
        <v>743.2</v>
      </c>
      <c r="I80" s="22"/>
      <c r="J80" s="22">
        <v>553.6</v>
      </c>
      <c r="K80" s="22"/>
      <c r="L80" s="22">
        <v>477.3</v>
      </c>
      <c r="M80" s="22"/>
      <c r="N80" s="22">
        <v>398.7</v>
      </c>
    </row>
    <row r="81" spans="1:14" x14ac:dyDescent="0.4">
      <c r="A81" s="20" t="s">
        <v>47</v>
      </c>
      <c r="B81" s="20"/>
      <c r="C81" s="20"/>
      <c r="D81" s="22">
        <v>0</v>
      </c>
      <c r="E81" s="22"/>
      <c r="F81" s="22">
        <v>0</v>
      </c>
      <c r="G81" s="22"/>
      <c r="H81" s="22">
        <v>0</v>
      </c>
      <c r="I81" s="22"/>
      <c r="J81" s="22">
        <v>0</v>
      </c>
      <c r="K81" s="22"/>
      <c r="L81" s="22">
        <v>0</v>
      </c>
      <c r="M81" s="22"/>
      <c r="N81" s="22">
        <v>0</v>
      </c>
    </row>
    <row r="82" spans="1:14" x14ac:dyDescent="0.4">
      <c r="A82" s="20" t="s">
        <v>48</v>
      </c>
      <c r="B82" s="20"/>
      <c r="C82" s="20"/>
      <c r="D82" s="22">
        <v>271.7</v>
      </c>
      <c r="E82" s="22"/>
      <c r="F82" s="22">
        <v>88.6</v>
      </c>
      <c r="G82" s="22"/>
      <c r="H82" s="22">
        <v>184.6</v>
      </c>
      <c r="I82" s="22"/>
      <c r="J82" s="22">
        <v>214.2</v>
      </c>
      <c r="K82" s="22"/>
      <c r="L82" s="22">
        <v>161.6</v>
      </c>
      <c r="M82" s="22"/>
      <c r="N82" s="22">
        <v>144.19999999999999</v>
      </c>
    </row>
    <row r="83" spans="1:14" x14ac:dyDescent="0.4">
      <c r="A83" s="20" t="s">
        <v>49</v>
      </c>
      <c r="B83" s="20"/>
      <c r="C83" s="20"/>
      <c r="D83" s="22">
        <v>213.1</v>
      </c>
      <c r="E83" s="22"/>
      <c r="F83" s="22">
        <v>197.3</v>
      </c>
      <c r="G83" s="22"/>
      <c r="H83" s="22">
        <v>181.7</v>
      </c>
      <c r="I83" s="22"/>
      <c r="J83" s="22">
        <v>168.4</v>
      </c>
      <c r="K83" s="22"/>
      <c r="L83" s="22">
        <v>154.1</v>
      </c>
      <c r="M83" s="22"/>
      <c r="N83" s="22">
        <v>137.5</v>
      </c>
    </row>
    <row r="84" spans="1:14" x14ac:dyDescent="0.4">
      <c r="A84" s="20" t="s">
        <v>50</v>
      </c>
      <c r="B84" s="20"/>
      <c r="C84" s="20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x14ac:dyDescent="0.4">
      <c r="A85" s="20" t="s">
        <v>51</v>
      </c>
      <c r="B85" s="20"/>
      <c r="C85" s="20"/>
      <c r="D85" s="22">
        <v>67</v>
      </c>
      <c r="E85" s="22"/>
      <c r="F85" s="22">
        <v>9</v>
      </c>
      <c r="G85" s="22"/>
      <c r="H85" s="22">
        <v>31.8</v>
      </c>
      <c r="I85" s="22"/>
      <c r="J85" s="22">
        <v>-28.7</v>
      </c>
      <c r="K85" s="22"/>
      <c r="L85" s="22">
        <v>77</v>
      </c>
      <c r="M85" s="22"/>
      <c r="N85" s="22">
        <v>68.8</v>
      </c>
    </row>
    <row r="86" spans="1:14" x14ac:dyDescent="0.4">
      <c r="A86" s="20" t="s">
        <v>52</v>
      </c>
      <c r="B86" s="20"/>
      <c r="C86" s="20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 x14ac:dyDescent="0.4">
      <c r="A87" s="20" t="s">
        <v>53</v>
      </c>
      <c r="B87" s="20"/>
      <c r="C87" s="20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1:14" x14ac:dyDescent="0.4">
      <c r="A88" s="20" t="s">
        <v>69</v>
      </c>
      <c r="B88" s="20"/>
      <c r="C88" s="20"/>
      <c r="D88" s="22">
        <v>17.3</v>
      </c>
      <c r="E88" s="22"/>
      <c r="F88" s="22">
        <f>148.6+8.2</f>
        <v>156.79999999999998</v>
      </c>
      <c r="G88" s="22"/>
      <c r="H88" s="22">
        <v>-4</v>
      </c>
      <c r="I88" s="22"/>
      <c r="J88" s="22">
        <v>44.2</v>
      </c>
      <c r="K88" s="22"/>
      <c r="L88" s="22">
        <v>4.2</v>
      </c>
      <c r="M88" s="22"/>
      <c r="N88" s="22">
        <v>4.9000000000000004</v>
      </c>
    </row>
    <row r="89" spans="1:14" x14ac:dyDescent="0.4">
      <c r="A89" s="20" t="s">
        <v>54</v>
      </c>
      <c r="B89" s="20"/>
      <c r="C89" s="20"/>
      <c r="D89" s="22">
        <v>624.79999999999995</v>
      </c>
      <c r="E89" s="22"/>
      <c r="F89" s="22">
        <v>638.4</v>
      </c>
      <c r="G89" s="22"/>
      <c r="H89" s="22">
        <v>823.3</v>
      </c>
      <c r="I89" s="22"/>
      <c r="J89" s="22">
        <v>499.4</v>
      </c>
      <c r="K89" s="22"/>
      <c r="L89" s="22">
        <v>438.1</v>
      </c>
      <c r="M89" s="22"/>
      <c r="N89" s="22">
        <v>293.3</v>
      </c>
    </row>
    <row r="90" spans="1:14" x14ac:dyDescent="0.4">
      <c r="A90" s="20" t="s">
        <v>55</v>
      </c>
      <c r="B90" s="20"/>
      <c r="C90" s="20"/>
      <c r="D90" s="22">
        <v>133.19999999999999</v>
      </c>
      <c r="E90" s="22"/>
      <c r="F90" s="22">
        <v>128</v>
      </c>
      <c r="G90" s="22"/>
      <c r="H90" s="22">
        <v>119</v>
      </c>
      <c r="I90" s="22"/>
      <c r="J90" s="22">
        <v>108.7</v>
      </c>
      <c r="K90" s="22"/>
      <c r="L90" s="22">
        <v>96.2</v>
      </c>
      <c r="M90" s="22"/>
      <c r="N90" s="22">
        <v>85.2</v>
      </c>
    </row>
    <row r="91" spans="1:14" x14ac:dyDescent="0.4">
      <c r="A91" s="20" t="s">
        <v>56</v>
      </c>
      <c r="B91" s="20"/>
      <c r="C91" s="20"/>
      <c r="D91" s="22">
        <v>14.8</v>
      </c>
      <c r="E91" s="22"/>
      <c r="F91" s="22">
        <v>14.8</v>
      </c>
      <c r="G91" s="22"/>
      <c r="H91" s="22">
        <v>3.4</v>
      </c>
      <c r="I91" s="22"/>
      <c r="J91" s="22">
        <v>0</v>
      </c>
      <c r="K91" s="22"/>
      <c r="L91" s="22">
        <v>0</v>
      </c>
      <c r="M91" s="22"/>
      <c r="N91" s="22">
        <v>0</v>
      </c>
    </row>
    <row r="92" spans="1:14" x14ac:dyDescent="0.4">
      <c r="A92" s="20" t="s">
        <v>57</v>
      </c>
      <c r="B92" s="20"/>
      <c r="C92" s="20"/>
      <c r="D92" s="22">
        <v>98.7</v>
      </c>
      <c r="E92" s="22"/>
      <c r="F92" s="22">
        <v>100</v>
      </c>
      <c r="G92" s="22"/>
      <c r="H92" s="22">
        <v>102.4</v>
      </c>
      <c r="I92" s="22"/>
      <c r="J92" s="22">
        <v>95.1</v>
      </c>
      <c r="K92" s="22"/>
      <c r="L92" s="22">
        <v>85.5</v>
      </c>
      <c r="M92" s="22"/>
      <c r="N92" s="22">
        <v>72.5</v>
      </c>
    </row>
    <row r="93" spans="1:14" x14ac:dyDescent="0.4">
      <c r="A93" s="20" t="s">
        <v>58</v>
      </c>
      <c r="B93" s="20"/>
      <c r="C93" s="20"/>
      <c r="D93" s="22">
        <v>1.5</v>
      </c>
      <c r="E93" s="22"/>
      <c r="F93" s="22">
        <v>2.9</v>
      </c>
      <c r="G93" s="22"/>
      <c r="H93" s="22">
        <v>2.7</v>
      </c>
      <c r="I93" s="22"/>
      <c r="J93" s="22">
        <v>1.5</v>
      </c>
      <c r="K93" s="22"/>
      <c r="L93" s="22">
        <v>1.3</v>
      </c>
      <c r="M93" s="22"/>
      <c r="N93" s="22">
        <v>-2.9</v>
      </c>
    </row>
    <row r="94" spans="1:14" x14ac:dyDescent="0.4">
      <c r="A94" s="20" t="s">
        <v>67</v>
      </c>
      <c r="B94" s="20"/>
      <c r="C94" s="20"/>
      <c r="D94" s="22">
        <v>1</v>
      </c>
      <c r="E94" s="22"/>
      <c r="F94" s="22">
        <v>1</v>
      </c>
      <c r="G94" s="22"/>
      <c r="H94" s="22">
        <v>1</v>
      </c>
      <c r="I94" s="22"/>
      <c r="J94" s="22">
        <v>1</v>
      </c>
      <c r="K94" s="22"/>
      <c r="L94" s="22">
        <v>1</v>
      </c>
      <c r="M94" s="22"/>
      <c r="N94" s="22">
        <v>1</v>
      </c>
    </row>
    <row r="95" spans="1:14" x14ac:dyDescent="0.4">
      <c r="A95" s="20" t="s">
        <v>68</v>
      </c>
      <c r="B95" s="20"/>
      <c r="C95" s="20"/>
      <c r="D95" s="22">
        <v>1</v>
      </c>
      <c r="E95" s="22"/>
      <c r="F95" s="22">
        <v>1</v>
      </c>
      <c r="G95" s="22"/>
      <c r="H95" s="22">
        <v>1</v>
      </c>
      <c r="I95" s="22"/>
      <c r="J95" s="22">
        <v>1</v>
      </c>
      <c r="K95" s="22"/>
      <c r="L95" s="22">
        <v>1</v>
      </c>
      <c r="M95" s="22"/>
      <c r="N95" s="22">
        <v>1</v>
      </c>
    </row>
    <row r="96" spans="1:14" x14ac:dyDescent="0.4">
      <c r="A96" s="20" t="s">
        <v>59</v>
      </c>
      <c r="B96" s="20"/>
      <c r="C96" s="20"/>
      <c r="D96" s="22">
        <v>135.9</v>
      </c>
      <c r="E96" s="22"/>
      <c r="F96" s="22">
        <v>128.4</v>
      </c>
      <c r="G96" s="22"/>
      <c r="H96" s="22">
        <v>120.5</v>
      </c>
      <c r="I96" s="22"/>
      <c r="J96" s="22">
        <v>112.1</v>
      </c>
      <c r="K96" s="22"/>
      <c r="L96" s="22">
        <v>99.2</v>
      </c>
      <c r="M96" s="22"/>
      <c r="N96" s="22">
        <v>87.5</v>
      </c>
    </row>
    <row r="97" spans="1:14" x14ac:dyDescent="0.4">
      <c r="A97" s="20" t="s">
        <v>60</v>
      </c>
      <c r="B97" s="20"/>
      <c r="C97" s="20"/>
      <c r="D97" s="22">
        <v>2.6</v>
      </c>
      <c r="E97" s="22"/>
      <c r="F97" s="22">
        <v>2.4900000000000002</v>
      </c>
      <c r="G97" s="22"/>
      <c r="H97" s="22">
        <v>2.37</v>
      </c>
      <c r="I97" s="22"/>
      <c r="J97" s="22">
        <v>2.25</v>
      </c>
      <c r="K97" s="22"/>
      <c r="L97" s="22">
        <v>2.1</v>
      </c>
      <c r="M97" s="22"/>
      <c r="N97" s="22">
        <v>1.96</v>
      </c>
    </row>
    <row r="98" spans="1:14" x14ac:dyDescent="0.4">
      <c r="A98" s="20" t="s">
        <v>61</v>
      </c>
      <c r="B98" s="20"/>
      <c r="C98" s="20"/>
      <c r="D98" s="22">
        <v>2.6</v>
      </c>
      <c r="E98" s="22"/>
      <c r="F98" s="22">
        <v>2.4900000000000002</v>
      </c>
      <c r="G98" s="22"/>
      <c r="H98" s="22">
        <v>2.37</v>
      </c>
      <c r="I98" s="22"/>
      <c r="J98" s="22">
        <v>2.2130000000000001</v>
      </c>
      <c r="K98" s="22"/>
      <c r="L98" s="22">
        <v>2.0649999999999999</v>
      </c>
      <c r="M98" s="22"/>
      <c r="N98" s="22">
        <v>1.93</v>
      </c>
    </row>
    <row r="99" spans="1:14" x14ac:dyDescent="0.4">
      <c r="A99" s="20" t="s">
        <v>62</v>
      </c>
      <c r="B99" s="20"/>
      <c r="C99" s="20"/>
      <c r="D99" s="22">
        <v>77.95</v>
      </c>
      <c r="E99" s="22"/>
      <c r="F99" s="22">
        <v>87.96</v>
      </c>
      <c r="G99" s="22"/>
      <c r="H99" s="22">
        <v>88</v>
      </c>
      <c r="I99" s="22"/>
      <c r="J99" s="22">
        <v>81.13</v>
      </c>
      <c r="K99" s="22"/>
      <c r="L99" s="22">
        <v>82.85</v>
      </c>
      <c r="M99" s="22"/>
      <c r="N99" s="22">
        <v>71.204999999999998</v>
      </c>
    </row>
    <row r="100" spans="1:14" x14ac:dyDescent="0.4">
      <c r="A100" s="20" t="s">
        <v>63</v>
      </c>
      <c r="B100" s="20"/>
      <c r="C100" s="20"/>
      <c r="D100" s="22">
        <v>59.29</v>
      </c>
      <c r="E100" s="22"/>
      <c r="F100" s="22">
        <v>50.58</v>
      </c>
      <c r="G100" s="22"/>
      <c r="H100" s="22">
        <v>71.67</v>
      </c>
      <c r="I100" s="22"/>
      <c r="J100" s="22">
        <v>60.085000000000001</v>
      </c>
      <c r="K100" s="22"/>
      <c r="L100" s="22">
        <v>62.325000000000003</v>
      </c>
      <c r="M100" s="22"/>
      <c r="N100" s="22">
        <v>57.098999999999997</v>
      </c>
    </row>
    <row r="101" spans="1:14" x14ac:dyDescent="0.4">
      <c r="A101" s="20" t="s">
        <v>64</v>
      </c>
      <c r="B101" s="20"/>
      <c r="C101" s="20"/>
      <c r="D101" s="22">
        <v>65.22</v>
      </c>
      <c r="E101" s="22"/>
      <c r="F101" s="22">
        <v>64.040000000000006</v>
      </c>
      <c r="G101" s="22"/>
      <c r="H101" s="22">
        <v>83.309997999999993</v>
      </c>
      <c r="I101" s="22"/>
      <c r="J101" s="22">
        <v>74.08</v>
      </c>
      <c r="K101" s="22"/>
      <c r="L101" s="22">
        <v>75.150000000000006</v>
      </c>
      <c r="M101" s="22"/>
      <c r="N101" s="22">
        <v>64.55</v>
      </c>
    </row>
    <row r="102" spans="1:14" x14ac:dyDescent="0.4">
      <c r="A102" s="20" t="s">
        <v>65</v>
      </c>
      <c r="B102" s="20"/>
      <c r="C102" s="20"/>
      <c r="D102" s="22">
        <v>51.684882999999999</v>
      </c>
      <c r="E102" s="22"/>
      <c r="F102" s="22">
        <v>51.611789000000002</v>
      </c>
      <c r="G102" s="22"/>
      <c r="H102" s="22">
        <v>50.973514999999999</v>
      </c>
      <c r="I102" s="22"/>
      <c r="J102" s="22">
        <v>50.671999999999997</v>
      </c>
      <c r="K102" s="22"/>
      <c r="L102" s="22">
        <v>48.262999999999998</v>
      </c>
      <c r="M102" s="22"/>
      <c r="N102" s="22">
        <v>45.651000000000003</v>
      </c>
    </row>
    <row r="103" spans="1:14" x14ac:dyDescent="0.4">
      <c r="A103" s="20" t="s">
        <v>76</v>
      </c>
      <c r="B103" s="20"/>
      <c r="C103" s="20"/>
      <c r="D103" s="22">
        <v>3.6</v>
      </c>
      <c r="E103" s="22"/>
      <c r="F103" s="22">
        <v>-41.2</v>
      </c>
      <c r="G103" s="22"/>
      <c r="H103" s="22">
        <v>-31.3</v>
      </c>
      <c r="I103" s="22"/>
      <c r="J103" s="22">
        <v>6.4</v>
      </c>
      <c r="K103" s="22"/>
      <c r="L103" s="22">
        <v>3.2</v>
      </c>
      <c r="M103" s="22"/>
      <c r="N103" s="22">
        <v>-4.2</v>
      </c>
    </row>
    <row r="104" spans="1:14" x14ac:dyDescent="0.4">
      <c r="A104" t="s">
        <v>71</v>
      </c>
    </row>
    <row r="105" spans="1:14" x14ac:dyDescent="0.4">
      <c r="B105" t="s">
        <v>70</v>
      </c>
      <c r="D105" s="15">
        <f>D67/D94</f>
        <v>4.97</v>
      </c>
      <c r="F105" s="15">
        <f>F67/F94</f>
        <v>1.44</v>
      </c>
      <c r="H105" s="15">
        <f>H67/H94</f>
        <v>3.53</v>
      </c>
      <c r="J105" s="15">
        <f>J67/J94</f>
        <v>4.3499999999999996</v>
      </c>
      <c r="L105" s="15">
        <f>L67/L94</f>
        <v>3.44</v>
      </c>
      <c r="N105" s="15">
        <f>N67/N94</f>
        <v>3.26</v>
      </c>
    </row>
    <row r="106" spans="1:14" x14ac:dyDescent="0.4">
      <c r="B106" t="s">
        <v>60</v>
      </c>
      <c r="D106" s="15">
        <f>D97/D94</f>
        <v>2.6</v>
      </c>
      <c r="F106" s="15">
        <f>F97/F94</f>
        <v>2.4900000000000002</v>
      </c>
      <c r="H106" s="15">
        <f>H97/H94</f>
        <v>2.37</v>
      </c>
      <c r="J106" s="15">
        <f>J97/J94</f>
        <v>2.25</v>
      </c>
      <c r="L106" s="15">
        <f>L97/L94</f>
        <v>2.1</v>
      </c>
      <c r="N106" s="15">
        <f>N97/N94</f>
        <v>1.96</v>
      </c>
    </row>
    <row r="107" spans="1:14" x14ac:dyDescent="0.4">
      <c r="B107" t="s">
        <v>61</v>
      </c>
      <c r="D107" s="15">
        <f>D98/D94</f>
        <v>2.6</v>
      </c>
      <c r="F107" s="15">
        <f>F98/F94</f>
        <v>2.4900000000000002</v>
      </c>
      <c r="H107" s="15">
        <f>H98/H94</f>
        <v>2.37</v>
      </c>
      <c r="J107" s="15">
        <f>J98/J94</f>
        <v>2.2130000000000001</v>
      </c>
      <c r="L107" s="15">
        <f>L98/L94</f>
        <v>2.0649999999999999</v>
      </c>
      <c r="N107" s="15">
        <f>N98/N94</f>
        <v>1.93</v>
      </c>
    </row>
    <row r="108" spans="1:14" x14ac:dyDescent="0.4">
      <c r="B108" t="s">
        <v>62</v>
      </c>
      <c r="D108" s="15">
        <f>D99/D94</f>
        <v>77.95</v>
      </c>
      <c r="F108" s="15">
        <f>F99/F94</f>
        <v>87.96</v>
      </c>
      <c r="H108" s="15">
        <f>H99/H94</f>
        <v>88</v>
      </c>
      <c r="J108" s="15">
        <f>J99/J94</f>
        <v>81.13</v>
      </c>
      <c r="L108" s="15">
        <f>L99/L94</f>
        <v>82.85</v>
      </c>
      <c r="N108" s="15">
        <f>N99/N94</f>
        <v>71.204999999999998</v>
      </c>
    </row>
    <row r="109" spans="1:14" x14ac:dyDescent="0.4">
      <c r="B109" t="s">
        <v>63</v>
      </c>
      <c r="D109" s="15">
        <f>D100/D94</f>
        <v>59.29</v>
      </c>
      <c r="F109" s="15">
        <f>F100/F94</f>
        <v>50.58</v>
      </c>
      <c r="H109" s="15">
        <f>H100/H94</f>
        <v>71.67</v>
      </c>
      <c r="J109" s="15">
        <f>J100/J94</f>
        <v>60.085000000000001</v>
      </c>
      <c r="L109" s="15">
        <f>L100/L94</f>
        <v>62.325000000000003</v>
      </c>
      <c r="N109" s="15">
        <f>N100/N94</f>
        <v>57.098999999999997</v>
      </c>
    </row>
    <row r="110" spans="1:14" x14ac:dyDescent="0.4">
      <c r="B110" t="s">
        <v>64</v>
      </c>
      <c r="D110" s="15">
        <f>D101/D94</f>
        <v>65.22</v>
      </c>
      <c r="F110" s="15">
        <f>F101/F94</f>
        <v>64.040000000000006</v>
      </c>
      <c r="H110" s="15">
        <f>H101/H94</f>
        <v>83.309997999999993</v>
      </c>
      <c r="J110" s="15">
        <f>J101/J94</f>
        <v>74.08</v>
      </c>
      <c r="L110" s="15">
        <f>L101/L94</f>
        <v>75.150000000000006</v>
      </c>
      <c r="N110" s="15">
        <f>N101/N94</f>
        <v>64.55</v>
      </c>
    </row>
    <row r="111" spans="1:14" x14ac:dyDescent="0.4">
      <c r="B111" t="s">
        <v>65</v>
      </c>
      <c r="D111" s="16">
        <f>D102*D94</f>
        <v>51.684882999999999</v>
      </c>
      <c r="E111" s="16"/>
      <c r="F111" s="16">
        <f>F102*F94</f>
        <v>51.611789000000002</v>
      </c>
      <c r="G111" s="16"/>
      <c r="H111" s="16">
        <f>H102*H94</f>
        <v>50.973514999999999</v>
      </c>
      <c r="I111" s="16"/>
      <c r="J111" s="16">
        <f>J102*J94</f>
        <v>50.671999999999997</v>
      </c>
      <c r="K111" s="16"/>
      <c r="L111" s="16">
        <f>L102*L94</f>
        <v>48.262999999999998</v>
      </c>
      <c r="M111" s="16"/>
      <c r="N111" s="16">
        <f>N102*N94</f>
        <v>45.651000000000003</v>
      </c>
    </row>
    <row r="112" spans="1:14" x14ac:dyDescent="0.4">
      <c r="B112" t="s">
        <v>66</v>
      </c>
      <c r="D112" s="15">
        <f>ROUND(D68/D111,2)</f>
        <v>46.75</v>
      </c>
      <c r="F112" s="15">
        <f>ROUND(F68/F111,2)</f>
        <v>44.18</v>
      </c>
      <c r="H112" s="15">
        <f>ROUND(H68/H111,2)</f>
        <v>45.14</v>
      </c>
      <c r="J112" s="15">
        <f>ROUND(J68/J111,2)</f>
        <v>44.51</v>
      </c>
      <c r="L112" s="15">
        <f>ROUND(L68/L111,2)</f>
        <v>41.26</v>
      </c>
      <c r="N112" s="15">
        <f>ROUND(N68/N111,2)</f>
        <v>38.729999999999997</v>
      </c>
    </row>
  </sheetData>
  <mergeCells count="4">
    <mergeCell ref="D6:L6"/>
    <mergeCell ref="A1:O1"/>
    <mergeCell ref="A2:O2"/>
    <mergeCell ref="A3:O3"/>
  </mergeCells>
  <phoneticPr fontId="0" type="noConversion"/>
  <pageMargins left="1.25" right="0" top="1.5" bottom="1" header="0.5" footer="0.5"/>
  <pageSetup scale="61" orientation="portrait" r:id="rId1"/>
  <headerFooter alignWithMargins="0"/>
  <rowBreaks count="1" manualBreakCount="1">
    <brk id="52" max="16383" man="1"/>
  </row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 A C T I V E ! 1 5 6 7 5 8 2 5 . 1 < / d o c u m e n t i d >  
     < s e n d e r i d > K E A B E T < / s e n d e r i d >  
     < s e n d e r e m a i l > B K E A T I N G @ G U N S T E R . C O M < / s e n d e r e m a i l >  
     < l a s t m o d i f i e d > 2 0 2 2 - 0 6 - 0 3 T 1 0 : 2 4 : 1 4 . 0 0 0 0 0 0 0 - 0 4 : 0 0 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Page 1</vt:lpstr>
      <vt:lpstr>Atmos</vt:lpstr>
      <vt:lpstr>Chesapeake</vt:lpstr>
      <vt:lpstr>NJ Res</vt:lpstr>
      <vt:lpstr>NISource</vt:lpstr>
      <vt:lpstr>Northwest</vt:lpstr>
      <vt:lpstr>One Gas</vt:lpstr>
      <vt:lpstr>Southwest</vt:lpstr>
      <vt:lpstr>Spire</vt:lpstr>
      <vt:lpstr>'Page 1'!Print_Area</vt:lpstr>
    </vt:vector>
  </TitlesOfParts>
  <Company>DellComputerCorporation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Paul</cp:lastModifiedBy>
  <cp:lastPrinted>2009-12-08T20:08:52Z</cp:lastPrinted>
  <dcterms:created xsi:type="dcterms:W3CDTF">2001-03-03T20:55:32Z</dcterms:created>
  <dcterms:modified xsi:type="dcterms:W3CDTF">2022-06-03T14:24:14Z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{04D34D7E-9ED1-434E-AF91-B28BBA8682BC}</vt:lpwstr>
  </property>
</Properties>
</file>