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329DCD9D-85D1-4C36-8CFC-19C3748EEBE7}" xr6:coauthVersionLast="47" xr6:coauthVersionMax="47" xr10:uidLastSave="{00000000-0000-0000-0000-000000000000}"/>
  <bookViews>
    <workbookView xWindow="-98" yWindow="-98" windowWidth="28996" windowHeight="15796" tabRatio="945" xr2:uid="{00000000-000D-0000-FFFF-FFFF00000000}"/>
  </bookViews>
  <sheets>
    <sheet name="Page 1" sheetId="14" r:id="rId1"/>
    <sheet name="Alliant" sheetId="18" r:id="rId2"/>
    <sheet name="Ameren" sheetId="57" r:id="rId3"/>
    <sheet name="American" sheetId="41" r:id="rId4"/>
    <sheet name="AWW" sheetId="56" r:id="rId5"/>
    <sheet name="CenterPoint" sheetId="25" r:id="rId6"/>
    <sheet name="CMS Energy" sheetId="29" r:id="rId7"/>
    <sheet name="ConEd" sheetId="30" r:id="rId8"/>
    <sheet name="Dominion" sheetId="20" r:id="rId9"/>
    <sheet name="DTE" sheetId="21" r:id="rId10"/>
    <sheet name="Duke" sheetId="31" r:id="rId11"/>
    <sheet name="Edison" sheetId="32" r:id="rId12"/>
    <sheet name="Entergy" sheetId="33" r:id="rId13"/>
    <sheet name="Evergy" sheetId="51" r:id="rId14"/>
    <sheet name="Eversource" sheetId="58" r:id="rId15"/>
    <sheet name="Exelon" sheetId="22" r:id="rId16"/>
    <sheet name="FirstEnergy" sheetId="23" r:id="rId17"/>
    <sheet name="NextEra" sheetId="34" r:id="rId18"/>
    <sheet name="NiSource" sheetId="47" r:id="rId19"/>
    <sheet name="NRG" sheetId="55" r:id="rId20"/>
    <sheet name="Pinnacle" sheetId="39" r:id="rId21"/>
    <sheet name="PPL" sheetId="38" r:id="rId22"/>
    <sheet name="PublicServ" sheetId="40" r:id="rId23"/>
    <sheet name="Sempra" sheetId="49" r:id="rId24"/>
    <sheet name="Southern" sheetId="42" r:id="rId25"/>
    <sheet name="WEC" sheetId="54" r:id="rId26"/>
    <sheet name="Xcel" sheetId="17" r:id="rId2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8" i="17" l="1"/>
  <c r="D62" i="17"/>
  <c r="D60" i="17" s="1"/>
  <c r="D58" i="17"/>
  <c r="F58" i="17"/>
  <c r="H58" i="17"/>
  <c r="F62" i="17"/>
  <c r="F60" i="17" s="1"/>
  <c r="H62" i="17"/>
  <c r="H60" i="17" s="1"/>
  <c r="F78" i="17"/>
  <c r="H78" i="17"/>
  <c r="F88" i="17"/>
  <c r="H88" i="17"/>
  <c r="D62" i="54"/>
  <c r="D88" i="54"/>
  <c r="D60" i="54"/>
  <c r="D58" i="54"/>
  <c r="F58" i="54"/>
  <c r="H58" i="54"/>
  <c r="F60" i="54"/>
  <c r="H60" i="54"/>
  <c r="F62" i="54"/>
  <c r="H62" i="54"/>
  <c r="F78" i="54"/>
  <c r="H78" i="54"/>
  <c r="F88" i="54"/>
  <c r="H88" i="54"/>
  <c r="D88" i="42"/>
  <c r="D60" i="42"/>
  <c r="D58" i="42"/>
  <c r="J8" i="42"/>
  <c r="L8" i="42"/>
  <c r="F9" i="42"/>
  <c r="H9" i="42"/>
  <c r="J9" i="42"/>
  <c r="L9" i="42"/>
  <c r="J10" i="42"/>
  <c r="J27" i="42" s="1"/>
  <c r="L10" i="42"/>
  <c r="L26" i="42" s="1"/>
  <c r="F16" i="42"/>
  <c r="H16" i="42"/>
  <c r="J16" i="42"/>
  <c r="J20" i="42"/>
  <c r="J23" i="42" s="1"/>
  <c r="L20" i="42"/>
  <c r="L23" i="42" s="1"/>
  <c r="J21" i="42"/>
  <c r="L21" i="42"/>
  <c r="J22" i="42"/>
  <c r="L22" i="42"/>
  <c r="J25" i="42"/>
  <c r="L25" i="42"/>
  <c r="J26" i="42"/>
  <c r="F30" i="42"/>
  <c r="H30" i="42"/>
  <c r="J30" i="42"/>
  <c r="L30" i="42"/>
  <c r="F32" i="42"/>
  <c r="H32" i="42"/>
  <c r="J32" i="42"/>
  <c r="L32" i="42"/>
  <c r="F35" i="42"/>
  <c r="H35" i="42"/>
  <c r="J35" i="42"/>
  <c r="L35" i="42"/>
  <c r="F36" i="42"/>
  <c r="H36" i="42"/>
  <c r="J36" i="42"/>
  <c r="L36" i="42"/>
  <c r="F37" i="42"/>
  <c r="H37" i="42"/>
  <c r="J37" i="42"/>
  <c r="L37" i="42"/>
  <c r="F40" i="42"/>
  <c r="H40" i="42"/>
  <c r="J40" i="42"/>
  <c r="L40" i="42"/>
  <c r="F41" i="42"/>
  <c r="H41" i="42"/>
  <c r="J41" i="42"/>
  <c r="L41" i="42"/>
  <c r="F42" i="42"/>
  <c r="H42" i="42"/>
  <c r="J42" i="42"/>
  <c r="L42" i="42"/>
  <c r="F45" i="42"/>
  <c r="H45" i="42"/>
  <c r="J45" i="42"/>
  <c r="L45" i="42"/>
  <c r="F46" i="42"/>
  <c r="H46" i="42"/>
  <c r="J46" i="42"/>
  <c r="L46" i="42"/>
  <c r="J47" i="42"/>
  <c r="L47" i="42"/>
  <c r="J48" i="42"/>
  <c r="L48" i="42"/>
  <c r="J49" i="42"/>
  <c r="L49" i="42"/>
  <c r="F50" i="42"/>
  <c r="H50" i="42"/>
  <c r="J50" i="42"/>
  <c r="L50" i="42"/>
  <c r="F58" i="42"/>
  <c r="H58" i="42"/>
  <c r="F60" i="42"/>
  <c r="H60" i="42"/>
  <c r="F78" i="42"/>
  <c r="F8" i="42" s="1"/>
  <c r="H78" i="42"/>
  <c r="H8" i="42" s="1"/>
  <c r="F88" i="42"/>
  <c r="F47" i="42" s="1"/>
  <c r="H88" i="42"/>
  <c r="H47" i="42" s="1"/>
  <c r="D88" i="49"/>
  <c r="D68" i="49"/>
  <c r="D71" i="49"/>
  <c r="D60" i="49"/>
  <c r="D58" i="49"/>
  <c r="J8" i="49"/>
  <c r="L8" i="49"/>
  <c r="F9" i="49"/>
  <c r="H9" i="49"/>
  <c r="J9" i="49"/>
  <c r="L9" i="49"/>
  <c r="J10" i="49"/>
  <c r="J27" i="49" s="1"/>
  <c r="L10" i="49"/>
  <c r="L26" i="49" s="1"/>
  <c r="F16" i="49"/>
  <c r="H16" i="49"/>
  <c r="J20" i="49"/>
  <c r="J23" i="49" s="1"/>
  <c r="L20" i="49"/>
  <c r="L23" i="49" s="1"/>
  <c r="J21" i="49"/>
  <c r="L21" i="49"/>
  <c r="J22" i="49"/>
  <c r="L22" i="49"/>
  <c r="J25" i="49"/>
  <c r="L25" i="49"/>
  <c r="J26" i="49"/>
  <c r="J30" i="49"/>
  <c r="L30" i="49"/>
  <c r="F32" i="49"/>
  <c r="H32" i="49"/>
  <c r="J32" i="49"/>
  <c r="L32" i="49"/>
  <c r="F35" i="49"/>
  <c r="H35" i="49"/>
  <c r="J35" i="49"/>
  <c r="L35" i="49"/>
  <c r="F36" i="49"/>
  <c r="H36" i="49"/>
  <c r="J36" i="49"/>
  <c r="L36" i="49"/>
  <c r="F37" i="49"/>
  <c r="H37" i="49"/>
  <c r="J37" i="49"/>
  <c r="L37" i="49"/>
  <c r="F40" i="49"/>
  <c r="H40" i="49"/>
  <c r="J40" i="49"/>
  <c r="L40" i="49"/>
  <c r="F41" i="49"/>
  <c r="H41" i="49"/>
  <c r="J41" i="49"/>
  <c r="L41" i="49"/>
  <c r="F42" i="49"/>
  <c r="H42" i="49"/>
  <c r="J42" i="49"/>
  <c r="L42" i="49"/>
  <c r="F45" i="49"/>
  <c r="H45" i="49"/>
  <c r="J45" i="49"/>
  <c r="F46" i="49"/>
  <c r="H46" i="49"/>
  <c r="J46" i="49"/>
  <c r="L46" i="49"/>
  <c r="J47" i="49"/>
  <c r="L47" i="49"/>
  <c r="J48" i="49"/>
  <c r="L48" i="49"/>
  <c r="J49" i="49"/>
  <c r="L49" i="49"/>
  <c r="J50" i="49"/>
  <c r="L50" i="49"/>
  <c r="F58" i="49"/>
  <c r="H58" i="49"/>
  <c r="F60" i="49"/>
  <c r="H60" i="49"/>
  <c r="F68" i="49"/>
  <c r="H68" i="49"/>
  <c r="F71" i="49"/>
  <c r="H71" i="49"/>
  <c r="F78" i="49"/>
  <c r="F8" i="49" s="1"/>
  <c r="H78" i="49"/>
  <c r="H8" i="49" s="1"/>
  <c r="F88" i="49"/>
  <c r="F47" i="49" s="1"/>
  <c r="H88" i="49"/>
  <c r="H47" i="49" s="1"/>
  <c r="D88" i="40"/>
  <c r="D62" i="40"/>
  <c r="F102" i="40"/>
  <c r="D102" i="40"/>
  <c r="D60" i="40"/>
  <c r="D58" i="40"/>
  <c r="F58" i="40"/>
  <c r="H58" i="40"/>
  <c r="F60" i="40"/>
  <c r="H60" i="40"/>
  <c r="F62" i="40"/>
  <c r="H62" i="40"/>
  <c r="F78" i="40"/>
  <c r="H78" i="40"/>
  <c r="F88" i="40"/>
  <c r="H88" i="40"/>
  <c r="H102" i="40"/>
  <c r="D88" i="38"/>
  <c r="D60" i="38"/>
  <c r="D58" i="38"/>
  <c r="F58" i="38"/>
  <c r="H58" i="38"/>
  <c r="F60" i="38"/>
  <c r="H60" i="38"/>
  <c r="F78" i="38"/>
  <c r="H78" i="38"/>
  <c r="F88" i="38"/>
  <c r="H88" i="38"/>
  <c r="D88" i="39"/>
  <c r="D102" i="39"/>
  <c r="D60" i="39"/>
  <c r="D62" i="39"/>
  <c r="D58" i="39"/>
  <c r="F58" i="39"/>
  <c r="H58" i="39"/>
  <c r="F60" i="39"/>
  <c r="H60" i="39"/>
  <c r="F62" i="39"/>
  <c r="H62" i="39"/>
  <c r="F78" i="39"/>
  <c r="H78" i="39"/>
  <c r="F88" i="39"/>
  <c r="H88" i="39"/>
  <c r="F102" i="39"/>
  <c r="H102" i="39"/>
  <c r="D88" i="55"/>
  <c r="D84" i="55"/>
  <c r="D79" i="55"/>
  <c r="D102" i="55"/>
  <c r="D60" i="55"/>
  <c r="D58" i="55"/>
  <c r="J8" i="55"/>
  <c r="L8" i="55"/>
  <c r="F9" i="55"/>
  <c r="H9" i="55"/>
  <c r="J9" i="55"/>
  <c r="L9" i="55"/>
  <c r="J10" i="55"/>
  <c r="L10" i="55"/>
  <c r="F16" i="55"/>
  <c r="H16" i="55"/>
  <c r="J16" i="55"/>
  <c r="J23" i="55"/>
  <c r="L23" i="55"/>
  <c r="J28" i="55"/>
  <c r="L28" i="55"/>
  <c r="F30" i="55"/>
  <c r="F32" i="55"/>
  <c r="H32" i="55"/>
  <c r="J32" i="55"/>
  <c r="L32" i="55"/>
  <c r="F35" i="55"/>
  <c r="H35" i="55"/>
  <c r="J35" i="55"/>
  <c r="F36" i="55"/>
  <c r="H36" i="55"/>
  <c r="J36" i="55"/>
  <c r="F37" i="55"/>
  <c r="H37" i="55"/>
  <c r="J37" i="55"/>
  <c r="F40" i="55"/>
  <c r="H40" i="55"/>
  <c r="J40" i="55"/>
  <c r="F41" i="55"/>
  <c r="H41" i="55"/>
  <c r="J41" i="55"/>
  <c r="F42" i="55"/>
  <c r="H42" i="55"/>
  <c r="J42" i="55"/>
  <c r="F45" i="55"/>
  <c r="H45" i="55"/>
  <c r="J45" i="55"/>
  <c r="L45" i="55"/>
  <c r="F46" i="55"/>
  <c r="J46" i="55"/>
  <c r="L46" i="55"/>
  <c r="L47" i="55"/>
  <c r="H48" i="55"/>
  <c r="J48" i="55"/>
  <c r="L48" i="55"/>
  <c r="H49" i="55"/>
  <c r="J49" i="55"/>
  <c r="L49" i="55"/>
  <c r="J50" i="55"/>
  <c r="F58" i="55"/>
  <c r="H58" i="55"/>
  <c r="F60" i="55"/>
  <c r="H60" i="55"/>
  <c r="F78" i="55"/>
  <c r="F8" i="55" s="1"/>
  <c r="H78" i="55"/>
  <c r="H8" i="55" s="1"/>
  <c r="F79" i="55"/>
  <c r="H79" i="55"/>
  <c r="F84" i="55"/>
  <c r="F49" i="55" s="1"/>
  <c r="H84" i="55"/>
  <c r="H50" i="55" s="1"/>
  <c r="F88" i="55"/>
  <c r="H88" i="55"/>
  <c r="F102" i="55"/>
  <c r="H102" i="55"/>
  <c r="D45" i="47"/>
  <c r="D88" i="47"/>
  <c r="D78" i="47"/>
  <c r="D68" i="47"/>
  <c r="D62" i="47"/>
  <c r="D60" i="47"/>
  <c r="D58" i="47"/>
  <c r="F22" i="42" l="1"/>
  <c r="F21" i="42"/>
  <c r="F10" i="42"/>
  <c r="F20" i="42"/>
  <c r="F23" i="42" s="1"/>
  <c r="H22" i="42"/>
  <c r="H10" i="42"/>
  <c r="H20" i="42"/>
  <c r="H21" i="42"/>
  <c r="J28" i="42"/>
  <c r="H49" i="42"/>
  <c r="H48" i="42"/>
  <c r="F49" i="42"/>
  <c r="F48" i="42"/>
  <c r="L27" i="42"/>
  <c r="L28" i="42" s="1"/>
  <c r="F10" i="49"/>
  <c r="F20" i="49"/>
  <c r="F21" i="49"/>
  <c r="H22" i="49"/>
  <c r="F22" i="49"/>
  <c r="L28" i="49"/>
  <c r="H10" i="49"/>
  <c r="H20" i="49"/>
  <c r="H21" i="49"/>
  <c r="J28" i="49"/>
  <c r="H30" i="49"/>
  <c r="H49" i="49"/>
  <c r="F30" i="49"/>
  <c r="F49" i="49"/>
  <c r="H48" i="49"/>
  <c r="F48" i="49"/>
  <c r="L27" i="49"/>
  <c r="H50" i="49"/>
  <c r="F27" i="49"/>
  <c r="F50" i="49"/>
  <c r="H10" i="55"/>
  <c r="H21" i="55"/>
  <c r="H22" i="55"/>
  <c r="H25" i="55"/>
  <c r="F22" i="55"/>
  <c r="F10" i="55"/>
  <c r="F25" i="55" s="1"/>
  <c r="F21" i="55"/>
  <c r="H20" i="55"/>
  <c r="H23" i="55" s="1"/>
  <c r="F48" i="55"/>
  <c r="F20" i="55"/>
  <c r="F23" i="55" s="1"/>
  <c r="F50" i="55"/>
  <c r="D30" i="47"/>
  <c r="D16" i="47"/>
  <c r="J8" i="47"/>
  <c r="L8" i="47"/>
  <c r="F9" i="47"/>
  <c r="H9" i="47"/>
  <c r="J9" i="47"/>
  <c r="L9" i="47"/>
  <c r="J10" i="47"/>
  <c r="J27" i="47" s="1"/>
  <c r="L10" i="47"/>
  <c r="L27" i="47" s="1"/>
  <c r="H16" i="47"/>
  <c r="J20" i="47"/>
  <c r="J23" i="47" s="1"/>
  <c r="L20" i="47"/>
  <c r="L23" i="47" s="1"/>
  <c r="J21" i="47"/>
  <c r="L21" i="47"/>
  <c r="J22" i="47"/>
  <c r="L22" i="47"/>
  <c r="L25" i="47"/>
  <c r="L28" i="47" s="1"/>
  <c r="J26" i="47"/>
  <c r="L26" i="47"/>
  <c r="H30" i="47"/>
  <c r="L30" i="47"/>
  <c r="J32" i="47"/>
  <c r="L32" i="47"/>
  <c r="F35" i="47"/>
  <c r="H35" i="47"/>
  <c r="J35" i="47"/>
  <c r="L35" i="47"/>
  <c r="F36" i="47"/>
  <c r="H36" i="47"/>
  <c r="J36" i="47"/>
  <c r="L36" i="47"/>
  <c r="F37" i="47"/>
  <c r="H37" i="47"/>
  <c r="J37" i="47"/>
  <c r="L37" i="47"/>
  <c r="J40" i="47"/>
  <c r="L40" i="47"/>
  <c r="F41" i="47"/>
  <c r="H41" i="47"/>
  <c r="J41" i="47"/>
  <c r="L41" i="47"/>
  <c r="J42" i="47"/>
  <c r="L42" i="47"/>
  <c r="L45" i="47"/>
  <c r="F46" i="47"/>
  <c r="H46" i="47"/>
  <c r="J46" i="47"/>
  <c r="L46" i="47"/>
  <c r="F47" i="47"/>
  <c r="H47" i="47"/>
  <c r="J47" i="47"/>
  <c r="L47" i="47"/>
  <c r="F48" i="47"/>
  <c r="H48" i="47"/>
  <c r="J48" i="47"/>
  <c r="L48" i="47"/>
  <c r="J49" i="47"/>
  <c r="L49" i="47"/>
  <c r="J50" i="47"/>
  <c r="L50" i="47"/>
  <c r="F58" i="47"/>
  <c r="F32" i="47" s="1"/>
  <c r="H58" i="47"/>
  <c r="H32" i="47" s="1"/>
  <c r="F60" i="47"/>
  <c r="H60" i="47"/>
  <c r="F62" i="47"/>
  <c r="F42" i="47" s="1"/>
  <c r="H62" i="47"/>
  <c r="H42" i="47" s="1"/>
  <c r="F68" i="47"/>
  <c r="F78" i="47" s="1"/>
  <c r="F8" i="47" s="1"/>
  <c r="H68" i="47"/>
  <c r="H78" i="47"/>
  <c r="H8" i="47" s="1"/>
  <c r="F88" i="47"/>
  <c r="F49" i="47" s="1"/>
  <c r="H88" i="47"/>
  <c r="H49" i="47" s="1"/>
  <c r="D89" i="34"/>
  <c r="D88" i="34"/>
  <c r="D80" i="34"/>
  <c r="D60" i="34"/>
  <c r="D58" i="34"/>
  <c r="F58" i="34"/>
  <c r="H58" i="34"/>
  <c r="F60" i="34"/>
  <c r="H60" i="34"/>
  <c r="H75" i="34"/>
  <c r="H78" i="34" s="1"/>
  <c r="F78" i="34"/>
  <c r="F80" i="34"/>
  <c r="H80" i="34"/>
  <c r="F88" i="34"/>
  <c r="H88" i="34"/>
  <c r="F89" i="34"/>
  <c r="H89" i="34"/>
  <c r="D88" i="23"/>
  <c r="D60" i="23"/>
  <c r="D58" i="23"/>
  <c r="J8" i="23"/>
  <c r="L8" i="23"/>
  <c r="F9" i="23"/>
  <c r="H9" i="23"/>
  <c r="J9" i="23"/>
  <c r="L9" i="23"/>
  <c r="J10" i="23"/>
  <c r="J27" i="23" s="1"/>
  <c r="L10" i="23"/>
  <c r="L26" i="23" s="1"/>
  <c r="F16" i="23"/>
  <c r="H16" i="23"/>
  <c r="J20" i="23"/>
  <c r="J23" i="23" s="1"/>
  <c r="L20" i="23"/>
  <c r="L23" i="23" s="1"/>
  <c r="J21" i="23"/>
  <c r="L21" i="23"/>
  <c r="J22" i="23"/>
  <c r="L22" i="23"/>
  <c r="L25" i="23"/>
  <c r="J26" i="23"/>
  <c r="F30" i="23"/>
  <c r="H30" i="23"/>
  <c r="J30" i="23"/>
  <c r="H32" i="23"/>
  <c r="J32" i="23"/>
  <c r="L32" i="23"/>
  <c r="F35" i="23"/>
  <c r="H35" i="23"/>
  <c r="J35" i="23"/>
  <c r="F36" i="23"/>
  <c r="H36" i="23"/>
  <c r="J36" i="23"/>
  <c r="F37" i="23"/>
  <c r="H37" i="23"/>
  <c r="J37" i="23"/>
  <c r="F40" i="23"/>
  <c r="H40" i="23"/>
  <c r="J40" i="23"/>
  <c r="F41" i="23"/>
  <c r="H41" i="23"/>
  <c r="J41" i="23"/>
  <c r="F42" i="23"/>
  <c r="H42" i="23"/>
  <c r="J42" i="23"/>
  <c r="F45" i="23"/>
  <c r="H45" i="23"/>
  <c r="J45" i="23"/>
  <c r="L45" i="23"/>
  <c r="F46" i="23"/>
  <c r="H46" i="23"/>
  <c r="J46" i="23"/>
  <c r="F47" i="23"/>
  <c r="H47" i="23"/>
  <c r="J47" i="23"/>
  <c r="L47" i="23"/>
  <c r="F48" i="23"/>
  <c r="H48" i="23"/>
  <c r="J48" i="23"/>
  <c r="L48" i="23"/>
  <c r="J49" i="23"/>
  <c r="L49" i="23"/>
  <c r="J50" i="23"/>
  <c r="L50" i="23"/>
  <c r="F58" i="23"/>
  <c r="H58" i="23"/>
  <c r="F60" i="23"/>
  <c r="H60" i="23"/>
  <c r="F78" i="23"/>
  <c r="F8" i="23" s="1"/>
  <c r="H78" i="23"/>
  <c r="H8" i="23" s="1"/>
  <c r="F88" i="23"/>
  <c r="F49" i="23" s="1"/>
  <c r="H88" i="23"/>
  <c r="H49" i="23" s="1"/>
  <c r="D62" i="22"/>
  <c r="D88" i="22"/>
  <c r="D102" i="22"/>
  <c r="D76" i="22"/>
  <c r="D61" i="22"/>
  <c r="D60" i="22"/>
  <c r="D58" i="22"/>
  <c r="F58" i="22"/>
  <c r="H58" i="22"/>
  <c r="F60" i="22"/>
  <c r="H60" i="22"/>
  <c r="F61" i="22"/>
  <c r="H61" i="22"/>
  <c r="F62" i="22"/>
  <c r="H62" i="22"/>
  <c r="F76" i="22"/>
  <c r="H76" i="22"/>
  <c r="F78" i="22"/>
  <c r="H78" i="22"/>
  <c r="F88" i="22"/>
  <c r="H88" i="22"/>
  <c r="F102" i="22"/>
  <c r="H102" i="22"/>
  <c r="D88" i="58"/>
  <c r="D79" i="58"/>
  <c r="D76" i="58"/>
  <c r="D60" i="58"/>
  <c r="D58" i="58"/>
  <c r="F58" i="58"/>
  <c r="H58" i="58"/>
  <c r="F60" i="58"/>
  <c r="H60" i="58"/>
  <c r="F76" i="58"/>
  <c r="H76" i="58"/>
  <c r="F78" i="58"/>
  <c r="H78" i="58"/>
  <c r="F79" i="58"/>
  <c r="H79" i="58"/>
  <c r="F88" i="58"/>
  <c r="H88" i="58"/>
  <c r="D92" i="51"/>
  <c r="D88" i="51"/>
  <c r="D84" i="51"/>
  <c r="D80" i="51"/>
  <c r="D60" i="51"/>
  <c r="D58" i="51"/>
  <c r="F58" i="51"/>
  <c r="H58" i="51"/>
  <c r="F60" i="51"/>
  <c r="H60" i="51"/>
  <c r="H76" i="51"/>
  <c r="F78" i="51"/>
  <c r="H78" i="51"/>
  <c r="F79" i="51"/>
  <c r="H79" i="51"/>
  <c r="F80" i="51"/>
  <c r="H80" i="51"/>
  <c r="F84" i="51"/>
  <c r="H84" i="51"/>
  <c r="F88" i="51"/>
  <c r="H88" i="51"/>
  <c r="F92" i="51"/>
  <c r="H92" i="51"/>
  <c r="D88" i="33"/>
  <c r="D69" i="33"/>
  <c r="D102" i="33"/>
  <c r="D62" i="33"/>
  <c r="D60" i="33"/>
  <c r="D58" i="33"/>
  <c r="J8" i="33"/>
  <c r="L8" i="33"/>
  <c r="F9" i="33"/>
  <c r="H9" i="33"/>
  <c r="J9" i="33"/>
  <c r="L9" i="33"/>
  <c r="J10" i="33"/>
  <c r="J27" i="33" s="1"/>
  <c r="L10" i="33"/>
  <c r="L26" i="33" s="1"/>
  <c r="F16" i="33"/>
  <c r="H16" i="33"/>
  <c r="J16" i="33"/>
  <c r="J20" i="33"/>
  <c r="J23" i="33" s="1"/>
  <c r="L20" i="33"/>
  <c r="L23" i="33" s="1"/>
  <c r="J21" i="33"/>
  <c r="L21" i="33"/>
  <c r="J22" i="33"/>
  <c r="L22" i="33"/>
  <c r="J25" i="33"/>
  <c r="L25" i="33"/>
  <c r="J26" i="33"/>
  <c r="F30" i="33"/>
  <c r="H30" i="33"/>
  <c r="J30" i="33"/>
  <c r="L30" i="33"/>
  <c r="F32" i="33"/>
  <c r="H32" i="33"/>
  <c r="J32" i="33"/>
  <c r="L32" i="33"/>
  <c r="F35" i="33"/>
  <c r="H35" i="33"/>
  <c r="J35" i="33"/>
  <c r="L35" i="33"/>
  <c r="F36" i="33"/>
  <c r="H36" i="33"/>
  <c r="J36" i="33"/>
  <c r="L36" i="33"/>
  <c r="F37" i="33"/>
  <c r="H37" i="33"/>
  <c r="J37" i="33"/>
  <c r="L37" i="33"/>
  <c r="F40" i="33"/>
  <c r="H40" i="33"/>
  <c r="J40" i="33"/>
  <c r="L40" i="33"/>
  <c r="J41" i="33"/>
  <c r="L41" i="33"/>
  <c r="J42" i="33"/>
  <c r="L42" i="33"/>
  <c r="J45" i="33"/>
  <c r="L45" i="33"/>
  <c r="F46" i="33"/>
  <c r="H46" i="33"/>
  <c r="L46" i="33"/>
  <c r="J47" i="33"/>
  <c r="L47" i="33"/>
  <c r="J48" i="33"/>
  <c r="L48" i="33"/>
  <c r="J49" i="33"/>
  <c r="L49" i="33"/>
  <c r="J50" i="33"/>
  <c r="L50" i="33"/>
  <c r="F58" i="33"/>
  <c r="H58" i="33"/>
  <c r="F60" i="33"/>
  <c r="H60" i="33"/>
  <c r="F62" i="33"/>
  <c r="F41" i="33" s="1"/>
  <c r="H62" i="33"/>
  <c r="H41" i="33" s="1"/>
  <c r="F69" i="33"/>
  <c r="H69" i="33"/>
  <c r="F78" i="33"/>
  <c r="F8" i="33" s="1"/>
  <c r="H78" i="33"/>
  <c r="H8" i="33" s="1"/>
  <c r="F88" i="33"/>
  <c r="F47" i="33" s="1"/>
  <c r="H88" i="33"/>
  <c r="H47" i="33" s="1"/>
  <c r="F102" i="33"/>
  <c r="H102" i="33"/>
  <c r="D62" i="32"/>
  <c r="D91" i="32"/>
  <c r="D88" i="32"/>
  <c r="D68" i="32"/>
  <c r="D71" i="32"/>
  <c r="D64" i="32"/>
  <c r="D60" i="32"/>
  <c r="D58" i="32"/>
  <c r="J8" i="32"/>
  <c r="L8" i="32"/>
  <c r="F9" i="32"/>
  <c r="H9" i="32"/>
  <c r="J9" i="32"/>
  <c r="L9" i="32"/>
  <c r="J10" i="32"/>
  <c r="J27" i="32" s="1"/>
  <c r="L10" i="32"/>
  <c r="L26" i="32" s="1"/>
  <c r="F16" i="32"/>
  <c r="H16" i="32"/>
  <c r="L16" i="32"/>
  <c r="J20" i="32"/>
  <c r="J23" i="32" s="1"/>
  <c r="L20" i="32"/>
  <c r="L23" i="32" s="1"/>
  <c r="J21" i="32"/>
  <c r="L21" i="32"/>
  <c r="J22" i="32"/>
  <c r="L22" i="32"/>
  <c r="J25" i="32"/>
  <c r="L25" i="32"/>
  <c r="J26" i="32"/>
  <c r="L27" i="32"/>
  <c r="F30" i="32"/>
  <c r="H30" i="32"/>
  <c r="L30" i="32"/>
  <c r="H32" i="32"/>
  <c r="J32" i="32"/>
  <c r="L32" i="32"/>
  <c r="F35" i="32"/>
  <c r="H35" i="32"/>
  <c r="L35" i="32"/>
  <c r="F36" i="32"/>
  <c r="H36" i="32"/>
  <c r="J36" i="32"/>
  <c r="L36" i="32"/>
  <c r="F37" i="32"/>
  <c r="H37" i="32"/>
  <c r="J37" i="32"/>
  <c r="L37" i="32"/>
  <c r="F40" i="32"/>
  <c r="H40" i="32"/>
  <c r="L40" i="32"/>
  <c r="F41" i="32"/>
  <c r="J41" i="32"/>
  <c r="L41" i="32"/>
  <c r="J42" i="32"/>
  <c r="L42" i="32"/>
  <c r="L45" i="32"/>
  <c r="F46" i="32"/>
  <c r="H46" i="32"/>
  <c r="L46" i="32"/>
  <c r="F47" i="32"/>
  <c r="H47" i="32"/>
  <c r="J47" i="32"/>
  <c r="L47" i="32"/>
  <c r="J48" i="32"/>
  <c r="L48" i="32"/>
  <c r="F49" i="32"/>
  <c r="H49" i="32"/>
  <c r="J49" i="32"/>
  <c r="L49" i="32"/>
  <c r="F50" i="32"/>
  <c r="H50" i="32"/>
  <c r="J50" i="32"/>
  <c r="L50" i="32"/>
  <c r="F58" i="32"/>
  <c r="H58" i="32"/>
  <c r="F60" i="32"/>
  <c r="H60" i="32"/>
  <c r="F62" i="32"/>
  <c r="F42" i="32" s="1"/>
  <c r="H62" i="32"/>
  <c r="H41" i="32" s="1"/>
  <c r="F78" i="32"/>
  <c r="F8" i="32" s="1"/>
  <c r="H78" i="32"/>
  <c r="H8" i="32" s="1"/>
  <c r="F88" i="32"/>
  <c r="F48" i="32" s="1"/>
  <c r="H88" i="32"/>
  <c r="H48" i="32" s="1"/>
  <c r="D62" i="31"/>
  <c r="D88" i="31"/>
  <c r="D68" i="31"/>
  <c r="F66" i="31"/>
  <c r="D66" i="31"/>
  <c r="D60" i="31"/>
  <c r="D58" i="31"/>
  <c r="F58" i="31"/>
  <c r="H58" i="31"/>
  <c r="F60" i="31"/>
  <c r="H60" i="31"/>
  <c r="F62" i="31"/>
  <c r="H62" i="31"/>
  <c r="F71" i="31"/>
  <c r="F68" i="31" s="1"/>
  <c r="F78" i="31" s="1"/>
  <c r="H71" i="31"/>
  <c r="H68" i="31" s="1"/>
  <c r="H78" i="31" s="1"/>
  <c r="F88" i="31"/>
  <c r="H88" i="31"/>
  <c r="D89" i="21"/>
  <c r="D88" i="21"/>
  <c r="D60" i="21"/>
  <c r="D66" i="21"/>
  <c r="D58" i="21"/>
  <c r="F58" i="21"/>
  <c r="H58" i="21"/>
  <c r="F60" i="21"/>
  <c r="H60" i="21"/>
  <c r="F78" i="21"/>
  <c r="H78" i="21"/>
  <c r="F88" i="21"/>
  <c r="H88" i="21"/>
  <c r="F89" i="21"/>
  <c r="H89" i="21"/>
  <c r="H14" i="20"/>
  <c r="H15" i="20"/>
  <c r="F14" i="20"/>
  <c r="F15" i="20"/>
  <c r="D16" i="20"/>
  <c r="D15" i="20"/>
  <c r="D14" i="20"/>
  <c r="D13" i="20"/>
  <c r="D88" i="20"/>
  <c r="D68" i="20"/>
  <c r="D71" i="20"/>
  <c r="F60" i="20"/>
  <c r="F66" i="20"/>
  <c r="D66" i="20"/>
  <c r="D60" i="20"/>
  <c r="D58" i="20"/>
  <c r="F58" i="20"/>
  <c r="H58" i="20"/>
  <c r="H60" i="20"/>
  <c r="F68" i="20"/>
  <c r="H68" i="20"/>
  <c r="H78" i="20" s="1"/>
  <c r="F78" i="20"/>
  <c r="F80" i="20"/>
  <c r="F88" i="20"/>
  <c r="H88" i="20"/>
  <c r="D88" i="30"/>
  <c r="H102" i="30"/>
  <c r="J102" i="30"/>
  <c r="F102" i="30"/>
  <c r="D102" i="30"/>
  <c r="D60" i="30"/>
  <c r="F60" i="30"/>
  <c r="D58" i="30"/>
  <c r="D62" i="30"/>
  <c r="D61" i="30"/>
  <c r="F58" i="30"/>
  <c r="H58" i="30"/>
  <c r="H60" i="30"/>
  <c r="F61" i="30"/>
  <c r="H61" i="30"/>
  <c r="F62" i="30"/>
  <c r="H62" i="30"/>
  <c r="F78" i="30"/>
  <c r="H78" i="30"/>
  <c r="F80" i="30"/>
  <c r="F88" i="30"/>
  <c r="H88" i="30"/>
  <c r="D88" i="29"/>
  <c r="D76" i="29"/>
  <c r="D66" i="29"/>
  <c r="D62" i="29"/>
  <c r="D61" i="29"/>
  <c r="D60" i="29"/>
  <c r="D58" i="29"/>
  <c r="F58" i="29"/>
  <c r="H58" i="29"/>
  <c r="F60" i="29"/>
  <c r="H60" i="29"/>
  <c r="F61" i="29"/>
  <c r="H61" i="29"/>
  <c r="F62" i="29"/>
  <c r="H62" i="29"/>
  <c r="F76" i="29"/>
  <c r="H76" i="29"/>
  <c r="F78" i="29"/>
  <c r="H78" i="29"/>
  <c r="F88" i="29"/>
  <c r="H88" i="29"/>
  <c r="D50" i="25"/>
  <c r="D49" i="25"/>
  <c r="D48" i="25"/>
  <c r="D47" i="25"/>
  <c r="D46" i="25"/>
  <c r="D45" i="25"/>
  <c r="D42" i="25"/>
  <c r="D41" i="25"/>
  <c r="D40" i="25"/>
  <c r="D37" i="25"/>
  <c r="D36" i="25"/>
  <c r="D35" i="25"/>
  <c r="D32" i="25"/>
  <c r="D30" i="25"/>
  <c r="D27" i="25"/>
  <c r="D28" i="25" s="1"/>
  <c r="D26" i="25"/>
  <c r="D25" i="25"/>
  <c r="D22" i="25"/>
  <c r="D21" i="25"/>
  <c r="D23" i="25" s="1"/>
  <c r="D20" i="25"/>
  <c r="D16" i="25"/>
  <c r="D15" i="25"/>
  <c r="D14" i="25"/>
  <c r="D13" i="25"/>
  <c r="D88" i="25"/>
  <c r="D79" i="25"/>
  <c r="D68" i="25"/>
  <c r="D62" i="25"/>
  <c r="F66" i="25"/>
  <c r="D66" i="25"/>
  <c r="D60" i="25"/>
  <c r="D61" i="25"/>
  <c r="D58" i="25"/>
  <c r="J8" i="25"/>
  <c r="L8" i="25"/>
  <c r="F9" i="25"/>
  <c r="H9" i="25"/>
  <c r="J9" i="25"/>
  <c r="L9" i="25"/>
  <c r="J10" i="25"/>
  <c r="J26" i="25" s="1"/>
  <c r="L10" i="25"/>
  <c r="L26" i="25" s="1"/>
  <c r="H16" i="25"/>
  <c r="J16" i="25"/>
  <c r="L16" i="25"/>
  <c r="J20" i="25"/>
  <c r="J23" i="25" s="1"/>
  <c r="L20" i="25"/>
  <c r="L23" i="25" s="1"/>
  <c r="J21" i="25"/>
  <c r="L21" i="25"/>
  <c r="J22" i="25"/>
  <c r="L22" i="25"/>
  <c r="J25" i="25"/>
  <c r="L25" i="25"/>
  <c r="J30" i="25"/>
  <c r="F32" i="25"/>
  <c r="H32" i="25"/>
  <c r="J32" i="25"/>
  <c r="L32" i="25"/>
  <c r="J35" i="25"/>
  <c r="L35" i="25"/>
  <c r="J36" i="25"/>
  <c r="L36" i="25"/>
  <c r="J37" i="25"/>
  <c r="L37" i="25"/>
  <c r="H40" i="25"/>
  <c r="J40" i="25"/>
  <c r="L40" i="25"/>
  <c r="H41" i="25"/>
  <c r="J41" i="25"/>
  <c r="L41" i="25"/>
  <c r="L42" i="25"/>
  <c r="L45" i="25"/>
  <c r="F46" i="25"/>
  <c r="H46" i="25"/>
  <c r="J46" i="25"/>
  <c r="J47" i="25"/>
  <c r="L47" i="25"/>
  <c r="J48" i="25"/>
  <c r="L48" i="25"/>
  <c r="J49" i="25"/>
  <c r="L49" i="25"/>
  <c r="J50" i="25"/>
  <c r="L50" i="25"/>
  <c r="F58" i="25"/>
  <c r="H58" i="25"/>
  <c r="F60" i="25"/>
  <c r="H60" i="25"/>
  <c r="F61" i="25"/>
  <c r="H61" i="25"/>
  <c r="H42" i="25" s="1"/>
  <c r="F62" i="25"/>
  <c r="H62" i="25"/>
  <c r="H45" i="25" s="1"/>
  <c r="J62" i="25"/>
  <c r="J42" i="25" s="1"/>
  <c r="F71" i="25"/>
  <c r="F68" i="25" s="1"/>
  <c r="H71" i="25"/>
  <c r="H68" i="25" s="1"/>
  <c r="F79" i="25"/>
  <c r="H79" i="25"/>
  <c r="F84" i="25"/>
  <c r="F49" i="25" s="1"/>
  <c r="F88" i="25"/>
  <c r="F48" i="25" s="1"/>
  <c r="H88" i="25"/>
  <c r="H49" i="25" s="1"/>
  <c r="D62" i="56"/>
  <c r="F88" i="56"/>
  <c r="D88" i="56"/>
  <c r="D102" i="56"/>
  <c r="D78" i="56"/>
  <c r="F78" i="56"/>
  <c r="D60" i="56"/>
  <c r="F60" i="56"/>
  <c r="D58" i="56"/>
  <c r="F58" i="56"/>
  <c r="H58" i="56"/>
  <c r="H60" i="56"/>
  <c r="F62" i="56"/>
  <c r="H62" i="56"/>
  <c r="H88" i="56"/>
  <c r="F102" i="56"/>
  <c r="H102" i="56"/>
  <c r="D88" i="41"/>
  <c r="D84" i="41"/>
  <c r="D102" i="41"/>
  <c r="D60" i="41"/>
  <c r="D58" i="41"/>
  <c r="F58" i="41"/>
  <c r="H58" i="41"/>
  <c r="F60" i="41"/>
  <c r="H60" i="41"/>
  <c r="F78" i="41"/>
  <c r="H78" i="41"/>
  <c r="H83" i="41"/>
  <c r="F84" i="41"/>
  <c r="H84" i="41"/>
  <c r="F88" i="41"/>
  <c r="H88" i="41"/>
  <c r="F102" i="41"/>
  <c r="H102" i="41"/>
  <c r="D88" i="57"/>
  <c r="D84" i="57"/>
  <c r="D60" i="57"/>
  <c r="D58" i="57"/>
  <c r="F58" i="57"/>
  <c r="H58" i="57"/>
  <c r="F60" i="57"/>
  <c r="H60" i="57"/>
  <c r="F78" i="57"/>
  <c r="H78" i="57"/>
  <c r="F84" i="57"/>
  <c r="H84" i="57"/>
  <c r="F88" i="57"/>
  <c r="H88" i="57"/>
  <c r="H23" i="42" l="1"/>
  <c r="H27" i="42"/>
  <c r="H25" i="42"/>
  <c r="H26" i="42"/>
  <c r="F27" i="42"/>
  <c r="F25" i="42"/>
  <c r="F26" i="42"/>
  <c r="H23" i="49"/>
  <c r="H26" i="49"/>
  <c r="H25" i="49"/>
  <c r="H27" i="49"/>
  <c r="F23" i="49"/>
  <c r="F25" i="49"/>
  <c r="F26" i="49"/>
  <c r="F26" i="55"/>
  <c r="F28" i="55" s="1"/>
  <c r="F27" i="55"/>
  <c r="H26" i="55"/>
  <c r="H28" i="55" s="1"/>
  <c r="H27" i="55"/>
  <c r="H20" i="47"/>
  <c r="H10" i="47"/>
  <c r="H21" i="47"/>
  <c r="H22" i="47"/>
  <c r="F20" i="47"/>
  <c r="F10" i="47"/>
  <c r="F21" i="47"/>
  <c r="F22" i="47"/>
  <c r="H40" i="47"/>
  <c r="F40" i="47"/>
  <c r="J25" i="47"/>
  <c r="J28" i="47" s="1"/>
  <c r="H50" i="47"/>
  <c r="F50" i="47"/>
  <c r="H45" i="47"/>
  <c r="H22" i="23"/>
  <c r="H10" i="23"/>
  <c r="H20" i="23"/>
  <c r="H21" i="23"/>
  <c r="F22" i="23"/>
  <c r="F21" i="23"/>
  <c r="F10" i="23"/>
  <c r="F20" i="23"/>
  <c r="F23" i="23" s="1"/>
  <c r="F32" i="23"/>
  <c r="J25" i="23"/>
  <c r="J28" i="23" s="1"/>
  <c r="H50" i="23"/>
  <c r="F50" i="23"/>
  <c r="L27" i="23"/>
  <c r="L28" i="23" s="1"/>
  <c r="H22" i="33"/>
  <c r="H21" i="33"/>
  <c r="H10" i="33"/>
  <c r="H20" i="33"/>
  <c r="H23" i="33" s="1"/>
  <c r="F22" i="33"/>
  <c r="F21" i="33"/>
  <c r="F10" i="33"/>
  <c r="F20" i="33"/>
  <c r="F23" i="33" s="1"/>
  <c r="L28" i="33"/>
  <c r="J28" i="33"/>
  <c r="F50" i="33"/>
  <c r="H45" i="33"/>
  <c r="H49" i="33"/>
  <c r="F45" i="33"/>
  <c r="F49" i="33"/>
  <c r="H42" i="33"/>
  <c r="H48" i="33"/>
  <c r="F42" i="33"/>
  <c r="F48" i="33"/>
  <c r="L27" i="33"/>
  <c r="H50" i="33"/>
  <c r="H21" i="32"/>
  <c r="H22" i="32"/>
  <c r="H10" i="32"/>
  <c r="H20" i="32"/>
  <c r="H23" i="32" s="1"/>
  <c r="L28" i="32"/>
  <c r="J28" i="32"/>
  <c r="F22" i="32"/>
  <c r="F21" i="32"/>
  <c r="F10" i="32"/>
  <c r="F20" i="32"/>
  <c r="F23" i="32" s="1"/>
  <c r="F32" i="32"/>
  <c r="H45" i="32"/>
  <c r="F45" i="32"/>
  <c r="H42" i="32"/>
  <c r="F78" i="25"/>
  <c r="F8" i="25" s="1"/>
  <c r="F20" i="25" s="1"/>
  <c r="L28" i="25"/>
  <c r="H30" i="25"/>
  <c r="H78" i="25"/>
  <c r="H8" i="25" s="1"/>
  <c r="J28" i="25"/>
  <c r="F47" i="25"/>
  <c r="H37" i="25"/>
  <c r="H50" i="25"/>
  <c r="H47" i="25"/>
  <c r="L27" i="25"/>
  <c r="H48" i="25"/>
  <c r="J45" i="25"/>
  <c r="H36" i="25"/>
  <c r="J27" i="25"/>
  <c r="F50" i="25"/>
  <c r="H35" i="25"/>
  <c r="D89" i="18"/>
  <c r="D60" i="18"/>
  <c r="D58" i="18"/>
  <c r="F58" i="18"/>
  <c r="H58" i="18"/>
  <c r="F60" i="18"/>
  <c r="H60" i="18"/>
  <c r="F78" i="18"/>
  <c r="H78" i="18"/>
  <c r="F89" i="18"/>
  <c r="H89" i="18"/>
  <c r="H28" i="42" l="1"/>
  <c r="F28" i="42"/>
  <c r="H28" i="49"/>
  <c r="F28" i="49"/>
  <c r="F23" i="47"/>
  <c r="F25" i="47"/>
  <c r="F27" i="47"/>
  <c r="F26" i="47"/>
  <c r="H25" i="47"/>
  <c r="H26" i="47"/>
  <c r="H27" i="47"/>
  <c r="H23" i="47"/>
  <c r="F27" i="23"/>
  <c r="F26" i="23"/>
  <c r="F25" i="23"/>
  <c r="F28" i="23" s="1"/>
  <c r="H23" i="23"/>
  <c r="H26" i="23"/>
  <c r="H27" i="23"/>
  <c r="H25" i="23"/>
  <c r="F27" i="33"/>
  <c r="F26" i="33"/>
  <c r="F25" i="33"/>
  <c r="F28" i="33" s="1"/>
  <c r="H27" i="33"/>
  <c r="H26" i="33"/>
  <c r="H25" i="33"/>
  <c r="H28" i="33" s="1"/>
  <c r="F27" i="32"/>
  <c r="F25" i="32"/>
  <c r="F26" i="32"/>
  <c r="H27" i="32"/>
  <c r="H26" i="32"/>
  <c r="H25" i="32"/>
  <c r="H28" i="32" s="1"/>
  <c r="H10" i="25"/>
  <c r="H21" i="25"/>
  <c r="H22" i="25"/>
  <c r="F22" i="25"/>
  <c r="F21" i="25"/>
  <c r="F23" i="25" s="1"/>
  <c r="F10" i="25"/>
  <c r="H20" i="25"/>
  <c r="H23" i="25" s="1"/>
  <c r="D46" i="55"/>
  <c r="N30" i="55"/>
  <c r="D16" i="31"/>
  <c r="D71" i="31"/>
  <c r="H28" i="47" l="1"/>
  <c r="F28" i="47"/>
  <c r="H28" i="23"/>
  <c r="F28" i="32"/>
  <c r="F26" i="25"/>
  <c r="F27" i="25"/>
  <c r="F25" i="25"/>
  <c r="F28" i="25" s="1"/>
  <c r="H26" i="25"/>
  <c r="H27" i="25"/>
  <c r="H25" i="25"/>
  <c r="H28" i="25" s="1"/>
  <c r="F48" i="21"/>
  <c r="D49" i="20"/>
  <c r="D106" i="30"/>
  <c r="D107" i="30"/>
  <c r="D9" i="30"/>
  <c r="D41" i="29"/>
  <c r="D32" i="29"/>
  <c r="N37" i="25"/>
  <c r="D78" i="25"/>
  <c r="D8" i="25" s="1"/>
  <c r="N32" i="25"/>
  <c r="D47" i="56"/>
  <c r="D32" i="56"/>
  <c r="N32" i="56" s="1"/>
  <c r="F8" i="41"/>
  <c r="F48" i="57"/>
  <c r="D47" i="18"/>
  <c r="D32" i="18"/>
  <c r="D78" i="17"/>
  <c r="D78" i="54"/>
  <c r="D16" i="49"/>
  <c r="D78" i="42"/>
  <c r="D8" i="42" s="1"/>
  <c r="D50" i="49"/>
  <c r="D78" i="49"/>
  <c r="D47" i="40"/>
  <c r="D78" i="40"/>
  <c r="D78" i="38"/>
  <c r="D42" i="39"/>
  <c r="D16" i="55"/>
  <c r="D78" i="39"/>
  <c r="D8" i="39" s="1"/>
  <c r="D48" i="55"/>
  <c r="N48" i="55" s="1"/>
  <c r="D78" i="55"/>
  <c r="D8" i="55" s="1"/>
  <c r="D22" i="55" s="1"/>
  <c r="D78" i="34"/>
  <c r="D8" i="34" s="1"/>
  <c r="D78" i="23"/>
  <c r="D78" i="22"/>
  <c r="D78" i="58"/>
  <c r="D8" i="58" s="1"/>
  <c r="D46" i="33"/>
  <c r="D78" i="51"/>
  <c r="D8" i="51" s="1"/>
  <c r="D46" i="32"/>
  <c r="D45" i="32"/>
  <c r="D40" i="32"/>
  <c r="D35" i="32"/>
  <c r="D30" i="32"/>
  <c r="D16" i="32"/>
  <c r="D78" i="33"/>
  <c r="D8" i="33" s="1"/>
  <c r="D21" i="33" s="1"/>
  <c r="D47" i="32"/>
  <c r="N47" i="32" s="1"/>
  <c r="D78" i="32"/>
  <c r="D78" i="31"/>
  <c r="D78" i="21"/>
  <c r="D78" i="20"/>
  <c r="D8" i="20" s="1"/>
  <c r="D20" i="20" s="1"/>
  <c r="D78" i="30"/>
  <c r="D8" i="30" s="1"/>
  <c r="D78" i="29"/>
  <c r="D8" i="29" s="1"/>
  <c r="D50" i="41"/>
  <c r="D78" i="41"/>
  <c r="D50" i="57"/>
  <c r="D49" i="57"/>
  <c r="D78" i="57"/>
  <c r="D8" i="57" s="1"/>
  <c r="D78" i="18"/>
  <c r="F8" i="17"/>
  <c r="F20" i="17" s="1"/>
  <c r="H8" i="17"/>
  <c r="H20" i="17" s="1"/>
  <c r="J8" i="17"/>
  <c r="J22" i="17" s="1"/>
  <c r="L8" i="17"/>
  <c r="L20" i="17" s="1"/>
  <c r="F9" i="17"/>
  <c r="H9" i="17"/>
  <c r="H10" i="17"/>
  <c r="J9" i="17"/>
  <c r="L9" i="17"/>
  <c r="L10" i="17" s="1"/>
  <c r="F10" i="17"/>
  <c r="F27" i="17" s="1"/>
  <c r="F16" i="17"/>
  <c r="H16" i="17"/>
  <c r="J16" i="17"/>
  <c r="L16" i="17"/>
  <c r="H21" i="17"/>
  <c r="L21" i="17"/>
  <c r="F22" i="17"/>
  <c r="H22" i="17"/>
  <c r="L22" i="17"/>
  <c r="F30" i="17"/>
  <c r="H30" i="17"/>
  <c r="J30" i="17"/>
  <c r="L30" i="17"/>
  <c r="F32" i="17"/>
  <c r="H32" i="17"/>
  <c r="J32" i="17"/>
  <c r="L32" i="17"/>
  <c r="F35" i="17"/>
  <c r="H35" i="17"/>
  <c r="J35" i="17"/>
  <c r="L35" i="17"/>
  <c r="F36" i="17"/>
  <c r="H36" i="17"/>
  <c r="J36" i="17"/>
  <c r="L36" i="17"/>
  <c r="F37" i="17"/>
  <c r="H37" i="17"/>
  <c r="J37" i="17"/>
  <c r="L37" i="17"/>
  <c r="F40" i="17"/>
  <c r="H40" i="17"/>
  <c r="J40" i="17"/>
  <c r="L40" i="17"/>
  <c r="F41" i="17"/>
  <c r="H41" i="17"/>
  <c r="J41" i="17"/>
  <c r="L41" i="17"/>
  <c r="F42" i="17"/>
  <c r="H42" i="17"/>
  <c r="J42" i="17"/>
  <c r="L42" i="17"/>
  <c r="F45" i="17"/>
  <c r="H45" i="17"/>
  <c r="J45" i="17"/>
  <c r="L45" i="17"/>
  <c r="F46" i="17"/>
  <c r="H46" i="17"/>
  <c r="J46" i="17"/>
  <c r="L46" i="17"/>
  <c r="F47" i="17"/>
  <c r="H47" i="17"/>
  <c r="J47" i="17"/>
  <c r="L47" i="17"/>
  <c r="F48" i="17"/>
  <c r="H48" i="17"/>
  <c r="J48" i="17"/>
  <c r="L48" i="17"/>
  <c r="F49" i="17"/>
  <c r="H49" i="17"/>
  <c r="J49" i="17"/>
  <c r="L49" i="17"/>
  <c r="F50" i="17"/>
  <c r="H50" i="17"/>
  <c r="J50" i="17"/>
  <c r="L50" i="17"/>
  <c r="F8" i="54"/>
  <c r="F20" i="54" s="1"/>
  <c r="H8" i="54"/>
  <c r="H20" i="54" s="1"/>
  <c r="J8" i="54"/>
  <c r="J20" i="54" s="1"/>
  <c r="L8" i="54"/>
  <c r="L20" i="54" s="1"/>
  <c r="F9" i="54"/>
  <c r="H9" i="54"/>
  <c r="J9" i="54"/>
  <c r="L9" i="54"/>
  <c r="L10" i="54" s="1"/>
  <c r="F16" i="54"/>
  <c r="H16" i="54"/>
  <c r="J16" i="54"/>
  <c r="L16" i="54"/>
  <c r="H22" i="54"/>
  <c r="F30" i="54"/>
  <c r="H30" i="54"/>
  <c r="J30" i="54"/>
  <c r="L30" i="54"/>
  <c r="F32" i="54"/>
  <c r="H32" i="54"/>
  <c r="J32" i="54"/>
  <c r="L32" i="54"/>
  <c r="F35" i="54"/>
  <c r="H35" i="54"/>
  <c r="J35" i="54"/>
  <c r="L35" i="54"/>
  <c r="F36" i="54"/>
  <c r="H36" i="54"/>
  <c r="J36" i="54"/>
  <c r="L36" i="54"/>
  <c r="F37" i="54"/>
  <c r="H37" i="54"/>
  <c r="J37" i="54"/>
  <c r="L37" i="54"/>
  <c r="F40" i="54"/>
  <c r="H40" i="54"/>
  <c r="J40" i="54"/>
  <c r="L40" i="54"/>
  <c r="F41" i="54"/>
  <c r="H41" i="54"/>
  <c r="J41" i="54"/>
  <c r="L41" i="54"/>
  <c r="F42" i="54"/>
  <c r="H42" i="54"/>
  <c r="J42" i="54"/>
  <c r="L42" i="54"/>
  <c r="N42" i="54" s="1"/>
  <c r="F45" i="54"/>
  <c r="H45" i="54"/>
  <c r="J45" i="54"/>
  <c r="L45" i="54"/>
  <c r="F46" i="54"/>
  <c r="H46" i="54"/>
  <c r="J46" i="54"/>
  <c r="L46" i="54"/>
  <c r="F47" i="54"/>
  <c r="H47" i="54"/>
  <c r="J47" i="54"/>
  <c r="L47" i="54"/>
  <c r="F48" i="54"/>
  <c r="H48" i="54"/>
  <c r="J48" i="54"/>
  <c r="L48" i="54"/>
  <c r="F49" i="54"/>
  <c r="H49" i="54"/>
  <c r="J49" i="54"/>
  <c r="L49" i="54"/>
  <c r="F50" i="54"/>
  <c r="H50" i="54"/>
  <c r="J50" i="54"/>
  <c r="L50" i="54"/>
  <c r="F8" i="40"/>
  <c r="F21" i="40" s="1"/>
  <c r="H8" i="40"/>
  <c r="H22" i="40" s="1"/>
  <c r="J8" i="40"/>
  <c r="L8" i="40"/>
  <c r="L22" i="40" s="1"/>
  <c r="F9" i="40"/>
  <c r="H9" i="40"/>
  <c r="J9" i="40"/>
  <c r="L9" i="40"/>
  <c r="L10" i="40" s="1"/>
  <c r="F16" i="40"/>
  <c r="H16" i="40"/>
  <c r="J16" i="40"/>
  <c r="L16" i="40"/>
  <c r="L20" i="40"/>
  <c r="L21" i="40"/>
  <c r="F22" i="40"/>
  <c r="F30" i="40"/>
  <c r="H30" i="40"/>
  <c r="J30" i="40"/>
  <c r="L30" i="40"/>
  <c r="F32" i="40"/>
  <c r="H32" i="40"/>
  <c r="J32" i="40"/>
  <c r="L32" i="40"/>
  <c r="F35" i="40"/>
  <c r="H35" i="40"/>
  <c r="J35" i="40"/>
  <c r="L35" i="40"/>
  <c r="F36" i="40"/>
  <c r="H36" i="40"/>
  <c r="J36" i="40"/>
  <c r="L36" i="40"/>
  <c r="F37" i="40"/>
  <c r="H37" i="40"/>
  <c r="J37" i="40"/>
  <c r="L37" i="40"/>
  <c r="F40" i="40"/>
  <c r="H40" i="40"/>
  <c r="J40" i="40"/>
  <c r="L40" i="40"/>
  <c r="F41" i="40"/>
  <c r="H41" i="40"/>
  <c r="J41" i="40"/>
  <c r="L41" i="40"/>
  <c r="F42" i="40"/>
  <c r="H42" i="40"/>
  <c r="J42" i="40"/>
  <c r="L42" i="40"/>
  <c r="F45" i="40"/>
  <c r="H45" i="40"/>
  <c r="J45" i="40"/>
  <c r="L45" i="40"/>
  <c r="F46" i="40"/>
  <c r="H46" i="40"/>
  <c r="J46" i="40"/>
  <c r="L46" i="40"/>
  <c r="F47" i="40"/>
  <c r="H47" i="40"/>
  <c r="J47" i="40"/>
  <c r="L47" i="40"/>
  <c r="F48" i="40"/>
  <c r="H48" i="40"/>
  <c r="J48" i="40"/>
  <c r="L48" i="40"/>
  <c r="F49" i="40"/>
  <c r="H49" i="40"/>
  <c r="J49" i="40"/>
  <c r="L49" i="40"/>
  <c r="F50" i="40"/>
  <c r="H50" i="40"/>
  <c r="J50" i="40"/>
  <c r="L50" i="40"/>
  <c r="F8" i="38"/>
  <c r="F22" i="38" s="1"/>
  <c r="H8" i="38"/>
  <c r="H22" i="38" s="1"/>
  <c r="J8" i="38"/>
  <c r="J22" i="38" s="1"/>
  <c r="L8" i="38"/>
  <c r="F9" i="38"/>
  <c r="H9" i="38"/>
  <c r="H10" i="38" s="1"/>
  <c r="J9" i="38"/>
  <c r="L9" i="38"/>
  <c r="F10" i="38"/>
  <c r="F25" i="38" s="1"/>
  <c r="F16" i="38"/>
  <c r="H16" i="38"/>
  <c r="J16" i="38"/>
  <c r="L16" i="38"/>
  <c r="F21" i="38"/>
  <c r="H21" i="38"/>
  <c r="L21" i="38"/>
  <c r="L22" i="38"/>
  <c r="F30" i="38"/>
  <c r="H30" i="38"/>
  <c r="J30" i="38"/>
  <c r="L30" i="38"/>
  <c r="F32" i="38"/>
  <c r="H32" i="38"/>
  <c r="J32" i="38"/>
  <c r="L32" i="38"/>
  <c r="F35" i="38"/>
  <c r="H35" i="38"/>
  <c r="J35" i="38"/>
  <c r="L35" i="38"/>
  <c r="F36" i="38"/>
  <c r="H36" i="38"/>
  <c r="J36" i="38"/>
  <c r="L36" i="38"/>
  <c r="F37" i="38"/>
  <c r="H37" i="38"/>
  <c r="J37" i="38"/>
  <c r="L37" i="38"/>
  <c r="F40" i="38"/>
  <c r="H40" i="38"/>
  <c r="J40" i="38"/>
  <c r="L40" i="38"/>
  <c r="F41" i="38"/>
  <c r="H41" i="38"/>
  <c r="J41" i="38"/>
  <c r="L41" i="38"/>
  <c r="F42" i="38"/>
  <c r="H42" i="38"/>
  <c r="J42" i="38"/>
  <c r="L42" i="38"/>
  <c r="F45" i="38"/>
  <c r="H45" i="38"/>
  <c r="J45" i="38"/>
  <c r="L45" i="38"/>
  <c r="F46" i="38"/>
  <c r="H46" i="38"/>
  <c r="J46" i="38"/>
  <c r="L46" i="38"/>
  <c r="F47" i="38"/>
  <c r="H47" i="38"/>
  <c r="J47" i="38"/>
  <c r="L47" i="38"/>
  <c r="F48" i="38"/>
  <c r="H48" i="38"/>
  <c r="J48" i="38"/>
  <c r="L48" i="38"/>
  <c r="F49" i="38"/>
  <c r="H49" i="38"/>
  <c r="J49" i="38"/>
  <c r="L49" i="38"/>
  <c r="F50" i="38"/>
  <c r="H50" i="38"/>
  <c r="J50" i="38"/>
  <c r="L50" i="38"/>
  <c r="F8" i="39"/>
  <c r="F20" i="39" s="1"/>
  <c r="H8" i="39"/>
  <c r="H20" i="39" s="1"/>
  <c r="J8" i="39"/>
  <c r="J22" i="39" s="1"/>
  <c r="L8" i="39"/>
  <c r="L20" i="39" s="1"/>
  <c r="F9" i="39"/>
  <c r="H9" i="39"/>
  <c r="J9" i="39"/>
  <c r="L9" i="39"/>
  <c r="L10" i="39" s="1"/>
  <c r="J10" i="39"/>
  <c r="J25" i="39" s="1"/>
  <c r="F16" i="39"/>
  <c r="H16" i="39"/>
  <c r="J16" i="39"/>
  <c r="L16" i="39"/>
  <c r="J21" i="39"/>
  <c r="L21" i="39"/>
  <c r="F30" i="39"/>
  <c r="H30" i="39"/>
  <c r="J30" i="39"/>
  <c r="L30" i="39"/>
  <c r="F32" i="39"/>
  <c r="H32" i="39"/>
  <c r="J32" i="39"/>
  <c r="L32" i="39"/>
  <c r="F35" i="39"/>
  <c r="H35" i="39"/>
  <c r="J35" i="39"/>
  <c r="L35" i="39"/>
  <c r="F36" i="39"/>
  <c r="H36" i="39"/>
  <c r="J36" i="39"/>
  <c r="L36" i="39"/>
  <c r="F37" i="39"/>
  <c r="H37" i="39"/>
  <c r="J37" i="39"/>
  <c r="L37" i="39"/>
  <c r="F40" i="39"/>
  <c r="H40" i="39"/>
  <c r="J40" i="39"/>
  <c r="L40" i="39"/>
  <c r="F41" i="39"/>
  <c r="H41" i="39"/>
  <c r="J41" i="39"/>
  <c r="L41" i="39"/>
  <c r="F42" i="39"/>
  <c r="H42" i="39"/>
  <c r="J42" i="39"/>
  <c r="L42" i="39"/>
  <c r="F45" i="39"/>
  <c r="H45" i="39"/>
  <c r="J45" i="39"/>
  <c r="L45" i="39"/>
  <c r="F46" i="39"/>
  <c r="H46" i="39"/>
  <c r="J46" i="39"/>
  <c r="L46" i="39"/>
  <c r="F47" i="39"/>
  <c r="H47" i="39"/>
  <c r="J47" i="39"/>
  <c r="L47" i="39"/>
  <c r="F48" i="39"/>
  <c r="H48" i="39"/>
  <c r="J48" i="39"/>
  <c r="L48" i="39"/>
  <c r="F49" i="39"/>
  <c r="H49" i="39"/>
  <c r="J49" i="39"/>
  <c r="L49" i="39"/>
  <c r="F50" i="39"/>
  <c r="H50" i="39"/>
  <c r="J50" i="39"/>
  <c r="L50" i="39"/>
  <c r="N46" i="55"/>
  <c r="N47" i="55"/>
  <c r="F8" i="34"/>
  <c r="F21" i="34" s="1"/>
  <c r="H8" i="34"/>
  <c r="H22" i="34" s="1"/>
  <c r="J8" i="34"/>
  <c r="J22" i="34" s="1"/>
  <c r="L8" i="34"/>
  <c r="L10" i="34" s="1"/>
  <c r="L27" i="34" s="1"/>
  <c r="F9" i="34"/>
  <c r="H9" i="34"/>
  <c r="J9" i="34"/>
  <c r="L9" i="34"/>
  <c r="F16" i="34"/>
  <c r="H16" i="34"/>
  <c r="J16" i="34"/>
  <c r="L16" i="34"/>
  <c r="H20" i="34"/>
  <c r="L20" i="34"/>
  <c r="H21" i="34"/>
  <c r="J21" i="34"/>
  <c r="L21" i="34"/>
  <c r="F30" i="34"/>
  <c r="H30" i="34"/>
  <c r="J30" i="34"/>
  <c r="L30" i="34"/>
  <c r="F32" i="34"/>
  <c r="H32" i="34"/>
  <c r="J32" i="34"/>
  <c r="L32" i="34"/>
  <c r="F35" i="34"/>
  <c r="H35" i="34"/>
  <c r="J35" i="34"/>
  <c r="L35" i="34"/>
  <c r="F36" i="34"/>
  <c r="H36" i="34"/>
  <c r="J36" i="34"/>
  <c r="L36" i="34"/>
  <c r="F37" i="34"/>
  <c r="H37" i="34"/>
  <c r="J37" i="34"/>
  <c r="L37" i="34"/>
  <c r="F40" i="34"/>
  <c r="H40" i="34"/>
  <c r="J40" i="34"/>
  <c r="L40" i="34"/>
  <c r="F41" i="34"/>
  <c r="H41" i="34"/>
  <c r="J41" i="34"/>
  <c r="L41" i="34"/>
  <c r="F42" i="34"/>
  <c r="H42" i="34"/>
  <c r="J42" i="34"/>
  <c r="L42" i="34"/>
  <c r="F45" i="34"/>
  <c r="H45" i="34"/>
  <c r="J45" i="34"/>
  <c r="L45" i="34"/>
  <c r="F46" i="34"/>
  <c r="H46" i="34"/>
  <c r="J46" i="34"/>
  <c r="L46" i="34"/>
  <c r="F47" i="34"/>
  <c r="H47" i="34"/>
  <c r="J47" i="34"/>
  <c r="L47" i="34"/>
  <c r="F48" i="34"/>
  <c r="H48" i="34"/>
  <c r="J48" i="34"/>
  <c r="L48" i="34"/>
  <c r="F49" i="34"/>
  <c r="H49" i="34"/>
  <c r="J49" i="34"/>
  <c r="L49" i="34"/>
  <c r="F50" i="34"/>
  <c r="H50" i="34"/>
  <c r="J50" i="34"/>
  <c r="L50" i="34"/>
  <c r="F8" i="22"/>
  <c r="F10" i="22" s="1"/>
  <c r="H8" i="22"/>
  <c r="H20" i="22" s="1"/>
  <c r="J8" i="22"/>
  <c r="J20" i="22" s="1"/>
  <c r="L8" i="22"/>
  <c r="F9" i="22"/>
  <c r="H9" i="22"/>
  <c r="J9" i="22"/>
  <c r="L9" i="22"/>
  <c r="F16" i="22"/>
  <c r="H16" i="22"/>
  <c r="J16" i="22"/>
  <c r="L16" i="22"/>
  <c r="L20" i="22"/>
  <c r="L21" i="22"/>
  <c r="H22" i="22"/>
  <c r="F30" i="22"/>
  <c r="H30" i="22"/>
  <c r="J30" i="22"/>
  <c r="L30" i="22"/>
  <c r="F32" i="22"/>
  <c r="H32" i="22"/>
  <c r="J32" i="22"/>
  <c r="L32" i="22"/>
  <c r="F35" i="22"/>
  <c r="H35" i="22"/>
  <c r="J35" i="22"/>
  <c r="L35" i="22"/>
  <c r="F36" i="22"/>
  <c r="H36" i="22"/>
  <c r="J36" i="22"/>
  <c r="L36" i="22"/>
  <c r="F37" i="22"/>
  <c r="H37" i="22"/>
  <c r="J37" i="22"/>
  <c r="L37" i="22"/>
  <c r="F40" i="22"/>
  <c r="H40" i="22"/>
  <c r="J40" i="22"/>
  <c r="L40" i="22"/>
  <c r="F41" i="22"/>
  <c r="H41" i="22"/>
  <c r="J41" i="22"/>
  <c r="L41" i="22"/>
  <c r="F42" i="22"/>
  <c r="H42" i="22"/>
  <c r="J42" i="22"/>
  <c r="L42" i="22"/>
  <c r="F45" i="22"/>
  <c r="H45" i="22"/>
  <c r="J45" i="22"/>
  <c r="L45" i="22"/>
  <c r="F46" i="22"/>
  <c r="H46" i="22"/>
  <c r="J46" i="22"/>
  <c r="L46" i="22"/>
  <c r="F47" i="22"/>
  <c r="H47" i="22"/>
  <c r="J47" i="22"/>
  <c r="L47" i="22"/>
  <c r="F48" i="22"/>
  <c r="H48" i="22"/>
  <c r="J48" i="22"/>
  <c r="L48" i="22"/>
  <c r="F49" i="22"/>
  <c r="H49" i="22"/>
  <c r="J49" i="22"/>
  <c r="L49" i="22"/>
  <c r="F50" i="22"/>
  <c r="H50" i="22"/>
  <c r="J50" i="22"/>
  <c r="L50" i="22"/>
  <c r="F8" i="58"/>
  <c r="F21" i="58" s="1"/>
  <c r="H8" i="58"/>
  <c r="H21" i="58" s="1"/>
  <c r="J8" i="58"/>
  <c r="J21" i="58" s="1"/>
  <c r="L8" i="58"/>
  <c r="F9" i="58"/>
  <c r="H9" i="58"/>
  <c r="H10" i="58" s="1"/>
  <c r="J9" i="58"/>
  <c r="L9" i="58"/>
  <c r="F16" i="58"/>
  <c r="H16" i="58"/>
  <c r="J16" i="58"/>
  <c r="L16" i="58"/>
  <c r="F30" i="58"/>
  <c r="H30" i="58"/>
  <c r="J30" i="58"/>
  <c r="L30" i="58"/>
  <c r="F32" i="58"/>
  <c r="H32" i="58"/>
  <c r="J32" i="58"/>
  <c r="L32" i="58"/>
  <c r="F35" i="58"/>
  <c r="H35" i="58"/>
  <c r="J35" i="58"/>
  <c r="L35" i="58"/>
  <c r="F36" i="58"/>
  <c r="H36" i="58"/>
  <c r="J36" i="58"/>
  <c r="L36" i="58"/>
  <c r="F37" i="58"/>
  <c r="H37" i="58"/>
  <c r="J37" i="58"/>
  <c r="L37" i="58"/>
  <c r="F40" i="58"/>
  <c r="H40" i="58"/>
  <c r="J40" i="58"/>
  <c r="L40" i="58"/>
  <c r="F41" i="58"/>
  <c r="H41" i="58"/>
  <c r="J41" i="58"/>
  <c r="L41" i="58"/>
  <c r="F42" i="58"/>
  <c r="H42" i="58"/>
  <c r="J42" i="58"/>
  <c r="L42" i="58"/>
  <c r="F45" i="58"/>
  <c r="H45" i="58"/>
  <c r="J45" i="58"/>
  <c r="L45" i="58"/>
  <c r="F46" i="58"/>
  <c r="H46" i="58"/>
  <c r="J46" i="58"/>
  <c r="L46" i="58"/>
  <c r="F47" i="58"/>
  <c r="H47" i="58"/>
  <c r="J47" i="58"/>
  <c r="L47" i="58"/>
  <c r="F48" i="58"/>
  <c r="H48" i="58"/>
  <c r="J48" i="58"/>
  <c r="L48" i="58"/>
  <c r="F49" i="58"/>
  <c r="H49" i="58"/>
  <c r="J49" i="58"/>
  <c r="L49" i="58"/>
  <c r="F50" i="58"/>
  <c r="H50" i="58"/>
  <c r="J50" i="58"/>
  <c r="L50" i="58"/>
  <c r="F8" i="51"/>
  <c r="F10" i="51" s="1"/>
  <c r="H8" i="51"/>
  <c r="H21" i="51" s="1"/>
  <c r="J8" i="51"/>
  <c r="J21" i="51" s="1"/>
  <c r="L8" i="51"/>
  <c r="L21" i="51" s="1"/>
  <c r="F9" i="51"/>
  <c r="H9" i="51"/>
  <c r="J9" i="51"/>
  <c r="L9" i="51"/>
  <c r="F16" i="51"/>
  <c r="H16" i="51"/>
  <c r="J16" i="51"/>
  <c r="L16" i="51"/>
  <c r="F30" i="51"/>
  <c r="H30" i="51"/>
  <c r="J30" i="51"/>
  <c r="L30" i="51"/>
  <c r="F32" i="51"/>
  <c r="H32" i="51"/>
  <c r="J32" i="51"/>
  <c r="L32" i="51"/>
  <c r="F35" i="51"/>
  <c r="H35" i="51"/>
  <c r="J35" i="51"/>
  <c r="L35" i="51"/>
  <c r="F36" i="51"/>
  <c r="H36" i="51"/>
  <c r="J36" i="51"/>
  <c r="L36" i="51"/>
  <c r="F37" i="51"/>
  <c r="H37" i="51"/>
  <c r="J37" i="51"/>
  <c r="L37" i="51"/>
  <c r="F40" i="51"/>
  <c r="H40" i="51"/>
  <c r="J40" i="51"/>
  <c r="L40" i="51"/>
  <c r="F41" i="51"/>
  <c r="H41" i="51"/>
  <c r="J41" i="51"/>
  <c r="L41" i="51"/>
  <c r="F42" i="51"/>
  <c r="H42" i="51"/>
  <c r="J42" i="51"/>
  <c r="L42" i="51"/>
  <c r="F45" i="51"/>
  <c r="H45" i="51"/>
  <c r="J45" i="51"/>
  <c r="L45" i="51"/>
  <c r="F46" i="51"/>
  <c r="H46" i="51"/>
  <c r="J46" i="51"/>
  <c r="L46" i="51"/>
  <c r="F47" i="51"/>
  <c r="H47" i="51"/>
  <c r="J47" i="51"/>
  <c r="L47" i="51"/>
  <c r="F48" i="51"/>
  <c r="H48" i="51"/>
  <c r="J48" i="51"/>
  <c r="L48" i="51"/>
  <c r="F49" i="51"/>
  <c r="H49" i="51"/>
  <c r="J49" i="51"/>
  <c r="L49" i="51"/>
  <c r="F50" i="51"/>
  <c r="H50" i="51"/>
  <c r="J50" i="51"/>
  <c r="L50" i="51"/>
  <c r="N35" i="32"/>
  <c r="F8" i="31"/>
  <c r="F20" i="31" s="1"/>
  <c r="H8" i="31"/>
  <c r="H22" i="31" s="1"/>
  <c r="J8" i="31"/>
  <c r="J20" i="31" s="1"/>
  <c r="L8" i="31"/>
  <c r="L22" i="31" s="1"/>
  <c r="F9" i="31"/>
  <c r="H9" i="31"/>
  <c r="J9" i="31"/>
  <c r="L9" i="31"/>
  <c r="J10" i="31"/>
  <c r="J25" i="31" s="1"/>
  <c r="J27" i="31"/>
  <c r="F16" i="31"/>
  <c r="H16" i="31"/>
  <c r="J16" i="31"/>
  <c r="L16" i="31"/>
  <c r="F30" i="31"/>
  <c r="H30" i="31"/>
  <c r="J30" i="31"/>
  <c r="L30" i="31"/>
  <c r="F32" i="31"/>
  <c r="H32" i="31"/>
  <c r="J32" i="31"/>
  <c r="L32" i="31"/>
  <c r="F35" i="31"/>
  <c r="H35" i="31"/>
  <c r="J35" i="31"/>
  <c r="L35" i="31"/>
  <c r="F36" i="31"/>
  <c r="H36" i="31"/>
  <c r="J36" i="31"/>
  <c r="L36" i="31"/>
  <c r="F37" i="31"/>
  <c r="H37" i="31"/>
  <c r="J37" i="31"/>
  <c r="L37" i="31"/>
  <c r="F40" i="31"/>
  <c r="H40" i="31"/>
  <c r="J40" i="31"/>
  <c r="L40" i="31"/>
  <c r="F41" i="31"/>
  <c r="H41" i="31"/>
  <c r="J41" i="31"/>
  <c r="L41" i="31"/>
  <c r="F42" i="31"/>
  <c r="H42" i="31"/>
  <c r="J42" i="31"/>
  <c r="L42" i="31"/>
  <c r="F45" i="31"/>
  <c r="H45" i="31"/>
  <c r="J45" i="31"/>
  <c r="L45" i="31"/>
  <c r="F46" i="31"/>
  <c r="H46" i="31"/>
  <c r="J46" i="31"/>
  <c r="L46" i="31"/>
  <c r="F47" i="31"/>
  <c r="H47" i="31"/>
  <c r="J47" i="31"/>
  <c r="L47" i="31"/>
  <c r="F48" i="31"/>
  <c r="H48" i="31"/>
  <c r="J48" i="31"/>
  <c r="L48" i="31"/>
  <c r="F49" i="31"/>
  <c r="H49" i="31"/>
  <c r="J49" i="31"/>
  <c r="L49" i="31"/>
  <c r="F50" i="31"/>
  <c r="H50" i="31"/>
  <c r="J50" i="31"/>
  <c r="L50" i="31"/>
  <c r="F8" i="21"/>
  <c r="F20" i="21" s="1"/>
  <c r="H8" i="21"/>
  <c r="H20" i="21" s="1"/>
  <c r="J8" i="21"/>
  <c r="J22" i="21" s="1"/>
  <c r="L8" i="21"/>
  <c r="L22" i="21" s="1"/>
  <c r="F9" i="21"/>
  <c r="H9" i="21"/>
  <c r="J9" i="21"/>
  <c r="L9" i="21"/>
  <c r="F16" i="21"/>
  <c r="H16" i="21"/>
  <c r="J16" i="21"/>
  <c r="L16" i="21"/>
  <c r="J20" i="21"/>
  <c r="L20" i="21"/>
  <c r="J21" i="21"/>
  <c r="F30" i="21"/>
  <c r="H30" i="21"/>
  <c r="J30" i="21"/>
  <c r="L30" i="21"/>
  <c r="F32" i="21"/>
  <c r="H32" i="21"/>
  <c r="J32" i="21"/>
  <c r="L32" i="21"/>
  <c r="F35" i="21"/>
  <c r="H35" i="21"/>
  <c r="J35" i="21"/>
  <c r="L35" i="21"/>
  <c r="F36" i="21"/>
  <c r="H36" i="21"/>
  <c r="J36" i="21"/>
  <c r="L36" i="21"/>
  <c r="F37" i="21"/>
  <c r="H37" i="21"/>
  <c r="J37" i="21"/>
  <c r="L37" i="21"/>
  <c r="F40" i="21"/>
  <c r="H40" i="21"/>
  <c r="J40" i="21"/>
  <c r="L40" i="21"/>
  <c r="F41" i="21"/>
  <c r="H41" i="21"/>
  <c r="J41" i="21"/>
  <c r="L41" i="21"/>
  <c r="F42" i="21"/>
  <c r="H42" i="21"/>
  <c r="J42" i="21"/>
  <c r="L42" i="21"/>
  <c r="F45" i="21"/>
  <c r="H45" i="21"/>
  <c r="J45" i="21"/>
  <c r="L45" i="21"/>
  <c r="F46" i="21"/>
  <c r="H46" i="21"/>
  <c r="J46" i="21"/>
  <c r="L46" i="21"/>
  <c r="H47" i="21"/>
  <c r="J47" i="21"/>
  <c r="L47" i="21"/>
  <c r="H48" i="21"/>
  <c r="J48" i="21"/>
  <c r="L48" i="21"/>
  <c r="F49" i="21"/>
  <c r="H49" i="21"/>
  <c r="J49" i="21"/>
  <c r="L49" i="21"/>
  <c r="H50" i="21"/>
  <c r="J50" i="21"/>
  <c r="L50" i="21"/>
  <c r="F8" i="20"/>
  <c r="F20" i="20" s="1"/>
  <c r="H8" i="20"/>
  <c r="H20" i="20" s="1"/>
  <c r="J8" i="20"/>
  <c r="J20" i="20" s="1"/>
  <c r="L8" i="20"/>
  <c r="L20" i="20" s="1"/>
  <c r="F9" i="20"/>
  <c r="H9" i="20"/>
  <c r="J9" i="20"/>
  <c r="L9" i="20"/>
  <c r="J16" i="20"/>
  <c r="L16" i="20"/>
  <c r="N16" i="20" s="1"/>
  <c r="L21" i="20"/>
  <c r="F30" i="20"/>
  <c r="H30" i="20"/>
  <c r="J30" i="20"/>
  <c r="L30" i="20"/>
  <c r="F32" i="20"/>
  <c r="H32" i="20"/>
  <c r="J32" i="20"/>
  <c r="L32" i="20"/>
  <c r="F35" i="20"/>
  <c r="H35" i="20"/>
  <c r="J35" i="20"/>
  <c r="L35" i="20"/>
  <c r="F36" i="20"/>
  <c r="H36" i="20"/>
  <c r="J36" i="20"/>
  <c r="L36" i="20"/>
  <c r="F37" i="20"/>
  <c r="H37" i="20"/>
  <c r="J37" i="20"/>
  <c r="L37" i="20"/>
  <c r="F40" i="20"/>
  <c r="H40" i="20"/>
  <c r="J40" i="20"/>
  <c r="L40" i="20"/>
  <c r="F41" i="20"/>
  <c r="H41" i="20"/>
  <c r="J41" i="20"/>
  <c r="L41" i="20"/>
  <c r="F42" i="20"/>
  <c r="H42" i="20"/>
  <c r="J42" i="20"/>
  <c r="L42" i="20"/>
  <c r="F45" i="20"/>
  <c r="H45" i="20"/>
  <c r="J45" i="20"/>
  <c r="L45" i="20"/>
  <c r="F46" i="20"/>
  <c r="H46" i="20"/>
  <c r="J46" i="20"/>
  <c r="L46" i="20"/>
  <c r="F47" i="20"/>
  <c r="H47" i="20"/>
  <c r="J47" i="20"/>
  <c r="L47" i="20"/>
  <c r="F48" i="20"/>
  <c r="H48" i="20"/>
  <c r="J48" i="20"/>
  <c r="L48" i="20"/>
  <c r="F49" i="20"/>
  <c r="H49" i="20"/>
  <c r="J49" i="20"/>
  <c r="L49" i="20"/>
  <c r="F50" i="20"/>
  <c r="H50" i="20"/>
  <c r="J50" i="20"/>
  <c r="L50" i="20"/>
  <c r="F8" i="30"/>
  <c r="F22" i="30" s="1"/>
  <c r="H8" i="30"/>
  <c r="H22" i="30" s="1"/>
  <c r="J8" i="30"/>
  <c r="J22" i="30" s="1"/>
  <c r="L8" i="30"/>
  <c r="L20" i="30" s="1"/>
  <c r="F9" i="30"/>
  <c r="H9" i="30"/>
  <c r="J9" i="30"/>
  <c r="L9" i="30"/>
  <c r="F16" i="30"/>
  <c r="H16" i="30"/>
  <c r="J16" i="30"/>
  <c r="L16" i="30"/>
  <c r="F20" i="30"/>
  <c r="H20" i="30"/>
  <c r="F21" i="30"/>
  <c r="H21" i="30"/>
  <c r="L21" i="30"/>
  <c r="F30" i="30"/>
  <c r="H30" i="30"/>
  <c r="J30" i="30"/>
  <c r="L30" i="30"/>
  <c r="F32" i="30"/>
  <c r="H32" i="30"/>
  <c r="J32" i="30"/>
  <c r="L32" i="30"/>
  <c r="F35" i="30"/>
  <c r="H35" i="30"/>
  <c r="J35" i="30"/>
  <c r="L35" i="30"/>
  <c r="F36" i="30"/>
  <c r="H36" i="30"/>
  <c r="J36" i="30"/>
  <c r="L36" i="30"/>
  <c r="F37" i="30"/>
  <c r="H37" i="30"/>
  <c r="J37" i="30"/>
  <c r="L37" i="30"/>
  <c r="F40" i="30"/>
  <c r="H40" i="30"/>
  <c r="J40" i="30"/>
  <c r="L40" i="30"/>
  <c r="F41" i="30"/>
  <c r="H41" i="30"/>
  <c r="J41" i="30"/>
  <c r="L41" i="30"/>
  <c r="F42" i="30"/>
  <c r="H42" i="30"/>
  <c r="J42" i="30"/>
  <c r="L42" i="30"/>
  <c r="F45" i="30"/>
  <c r="H45" i="30"/>
  <c r="J45" i="30"/>
  <c r="L45" i="30"/>
  <c r="F46" i="30"/>
  <c r="H46" i="30"/>
  <c r="J46" i="30"/>
  <c r="L46" i="30"/>
  <c r="F47" i="30"/>
  <c r="H47" i="30"/>
  <c r="J47" i="30"/>
  <c r="L47" i="30"/>
  <c r="F48" i="30"/>
  <c r="H48" i="30"/>
  <c r="J48" i="30"/>
  <c r="L48" i="30"/>
  <c r="F49" i="30"/>
  <c r="H49" i="30"/>
  <c r="J49" i="30"/>
  <c r="L49" i="30"/>
  <c r="F50" i="30"/>
  <c r="H50" i="30"/>
  <c r="J50" i="30"/>
  <c r="L50" i="30"/>
  <c r="F8" i="29"/>
  <c r="F21" i="29" s="1"/>
  <c r="H8" i="29"/>
  <c r="H22" i="29" s="1"/>
  <c r="J8" i="29"/>
  <c r="J21" i="29" s="1"/>
  <c r="L8" i="29"/>
  <c r="L21" i="29" s="1"/>
  <c r="F9" i="29"/>
  <c r="H9" i="29"/>
  <c r="J9" i="29"/>
  <c r="L9" i="29"/>
  <c r="F16" i="29"/>
  <c r="H16" i="29"/>
  <c r="J16" i="29"/>
  <c r="L16" i="29"/>
  <c r="F30" i="29"/>
  <c r="H30" i="29"/>
  <c r="J30" i="29"/>
  <c r="L30" i="29"/>
  <c r="F32" i="29"/>
  <c r="H32" i="29"/>
  <c r="J32" i="29"/>
  <c r="L32" i="29"/>
  <c r="F35" i="29"/>
  <c r="H35" i="29"/>
  <c r="J35" i="29"/>
  <c r="L35" i="29"/>
  <c r="F36" i="29"/>
  <c r="H36" i="29"/>
  <c r="J36" i="29"/>
  <c r="L36" i="29"/>
  <c r="F37" i="29"/>
  <c r="H37" i="29"/>
  <c r="J37" i="29"/>
  <c r="L37" i="29"/>
  <c r="F40" i="29"/>
  <c r="H40" i="29"/>
  <c r="J40" i="29"/>
  <c r="L40" i="29"/>
  <c r="F41" i="29"/>
  <c r="H41" i="29"/>
  <c r="J41" i="29"/>
  <c r="L41" i="29"/>
  <c r="F42" i="29"/>
  <c r="H42" i="29"/>
  <c r="J42" i="29"/>
  <c r="L42" i="29"/>
  <c r="F45" i="29"/>
  <c r="H45" i="29"/>
  <c r="J45" i="29"/>
  <c r="L45" i="29"/>
  <c r="F46" i="29"/>
  <c r="H46" i="29"/>
  <c r="J46" i="29"/>
  <c r="L46" i="29"/>
  <c r="F47" i="29"/>
  <c r="H47" i="29"/>
  <c r="J47" i="29"/>
  <c r="L47" i="29"/>
  <c r="F48" i="29"/>
  <c r="H48" i="29"/>
  <c r="J48" i="29"/>
  <c r="L48" i="29"/>
  <c r="F49" i="29"/>
  <c r="H49" i="29"/>
  <c r="J49" i="29"/>
  <c r="L49" i="29"/>
  <c r="F50" i="29"/>
  <c r="H50" i="29"/>
  <c r="J50" i="29"/>
  <c r="L50" i="29"/>
  <c r="N40" i="25"/>
  <c r="F8" i="56"/>
  <c r="F10" i="56" s="1"/>
  <c r="H8" i="56"/>
  <c r="H21" i="56" s="1"/>
  <c r="J8" i="56"/>
  <c r="L8" i="56"/>
  <c r="L21" i="56" s="1"/>
  <c r="F9" i="56"/>
  <c r="H9" i="56"/>
  <c r="J9" i="56"/>
  <c r="L9" i="56"/>
  <c r="F16" i="56"/>
  <c r="H16" i="56"/>
  <c r="J16" i="56"/>
  <c r="L16" i="56"/>
  <c r="F30" i="56"/>
  <c r="H30" i="56"/>
  <c r="J30" i="56"/>
  <c r="L30" i="56"/>
  <c r="F32" i="56"/>
  <c r="H32" i="56"/>
  <c r="J32" i="56"/>
  <c r="L32" i="56"/>
  <c r="F35" i="56"/>
  <c r="H35" i="56"/>
  <c r="J35" i="56"/>
  <c r="L35" i="56"/>
  <c r="F36" i="56"/>
  <c r="H36" i="56"/>
  <c r="J36" i="56"/>
  <c r="L36" i="56"/>
  <c r="F37" i="56"/>
  <c r="H37" i="56"/>
  <c r="J37" i="56"/>
  <c r="L37" i="56"/>
  <c r="F40" i="56"/>
  <c r="H40" i="56"/>
  <c r="J40" i="56"/>
  <c r="L40" i="56"/>
  <c r="F41" i="56"/>
  <c r="H41" i="56"/>
  <c r="J41" i="56"/>
  <c r="L41" i="56"/>
  <c r="F42" i="56"/>
  <c r="H42" i="56"/>
  <c r="J42" i="56"/>
  <c r="L42" i="56"/>
  <c r="F45" i="56"/>
  <c r="H45" i="56"/>
  <c r="J45" i="56"/>
  <c r="L45" i="56"/>
  <c r="F46" i="56"/>
  <c r="H46" i="56"/>
  <c r="J46" i="56"/>
  <c r="L46" i="56"/>
  <c r="F47" i="56"/>
  <c r="H47" i="56"/>
  <c r="J47" i="56"/>
  <c r="L47" i="56"/>
  <c r="F48" i="56"/>
  <c r="H48" i="56"/>
  <c r="J48" i="56"/>
  <c r="L48" i="56"/>
  <c r="F49" i="56"/>
  <c r="H49" i="56"/>
  <c r="J49" i="56"/>
  <c r="L49" i="56"/>
  <c r="F50" i="56"/>
  <c r="H50" i="56"/>
  <c r="J50" i="56"/>
  <c r="L50" i="56"/>
  <c r="H8" i="41"/>
  <c r="H22" i="41" s="1"/>
  <c r="J8" i="41"/>
  <c r="J21" i="41" s="1"/>
  <c r="L8" i="41"/>
  <c r="L21" i="41" s="1"/>
  <c r="F9" i="41"/>
  <c r="H9" i="41"/>
  <c r="J9" i="41"/>
  <c r="L9" i="41"/>
  <c r="H10" i="41"/>
  <c r="H26" i="41" s="1"/>
  <c r="F16" i="41"/>
  <c r="H16" i="41"/>
  <c r="J16" i="41"/>
  <c r="L16" i="41"/>
  <c r="F30" i="41"/>
  <c r="H30" i="41"/>
  <c r="J30" i="41"/>
  <c r="L30" i="41"/>
  <c r="F32" i="41"/>
  <c r="H32" i="41"/>
  <c r="J32" i="41"/>
  <c r="L32" i="41"/>
  <c r="F35" i="41"/>
  <c r="H35" i="41"/>
  <c r="J35" i="41"/>
  <c r="L35" i="41"/>
  <c r="F36" i="41"/>
  <c r="H36" i="41"/>
  <c r="J36" i="41"/>
  <c r="L36" i="41"/>
  <c r="F37" i="41"/>
  <c r="H37" i="41"/>
  <c r="J37" i="41"/>
  <c r="L37" i="41"/>
  <c r="F40" i="41"/>
  <c r="H40" i="41"/>
  <c r="J40" i="41"/>
  <c r="L40" i="41"/>
  <c r="F41" i="41"/>
  <c r="H41" i="41"/>
  <c r="J41" i="41"/>
  <c r="L41" i="41"/>
  <c r="F42" i="41"/>
  <c r="H42" i="41"/>
  <c r="J42" i="41"/>
  <c r="L42" i="41"/>
  <c r="F45" i="41"/>
  <c r="H45" i="41"/>
  <c r="J45" i="41"/>
  <c r="L45" i="41"/>
  <c r="F46" i="41"/>
  <c r="H46" i="41"/>
  <c r="J46" i="41"/>
  <c r="L46" i="41"/>
  <c r="F47" i="41"/>
  <c r="H47" i="41"/>
  <c r="J47" i="41"/>
  <c r="L47" i="41"/>
  <c r="F48" i="41"/>
  <c r="H48" i="41"/>
  <c r="J48" i="41"/>
  <c r="L48" i="41"/>
  <c r="F49" i="41"/>
  <c r="H49" i="41"/>
  <c r="J49" i="41"/>
  <c r="L49" i="41"/>
  <c r="F50" i="41"/>
  <c r="H50" i="41"/>
  <c r="J50" i="41"/>
  <c r="L50" i="41"/>
  <c r="L5" i="18"/>
  <c r="J5" i="18"/>
  <c r="J5" i="14" s="1"/>
  <c r="H5" i="18"/>
  <c r="F5" i="18"/>
  <c r="F5" i="14" s="1"/>
  <c r="D5" i="18"/>
  <c r="D5" i="14" s="1"/>
  <c r="F8" i="57"/>
  <c r="F21" i="57" s="1"/>
  <c r="H8" i="57"/>
  <c r="J8" i="57"/>
  <c r="J21" i="57" s="1"/>
  <c r="L8" i="57"/>
  <c r="L20" i="57" s="1"/>
  <c r="F9" i="57"/>
  <c r="H9" i="57"/>
  <c r="J9" i="57"/>
  <c r="J10" i="57" s="1"/>
  <c r="L9" i="57"/>
  <c r="F16" i="57"/>
  <c r="H16" i="57"/>
  <c r="J16" i="57"/>
  <c r="L16" i="57"/>
  <c r="H20" i="57"/>
  <c r="H23" i="57" s="1"/>
  <c r="J20" i="57"/>
  <c r="H21" i="57"/>
  <c r="F22" i="57"/>
  <c r="H22" i="57"/>
  <c r="F30" i="57"/>
  <c r="H30" i="57"/>
  <c r="J30" i="57"/>
  <c r="L30" i="57"/>
  <c r="F32" i="57"/>
  <c r="H32" i="57"/>
  <c r="J32" i="57"/>
  <c r="L32" i="57"/>
  <c r="F35" i="57"/>
  <c r="H35" i="57"/>
  <c r="J35" i="57"/>
  <c r="L35" i="57"/>
  <c r="F36" i="57"/>
  <c r="H36" i="57"/>
  <c r="J36" i="57"/>
  <c r="L36" i="57"/>
  <c r="F37" i="57"/>
  <c r="H37" i="57"/>
  <c r="J37" i="57"/>
  <c r="L37" i="57"/>
  <c r="F40" i="57"/>
  <c r="H40" i="57"/>
  <c r="J40" i="57"/>
  <c r="L40" i="57"/>
  <c r="F41" i="57"/>
  <c r="H41" i="57"/>
  <c r="J41" i="57"/>
  <c r="L41" i="57"/>
  <c r="F42" i="57"/>
  <c r="H42" i="57"/>
  <c r="J42" i="57"/>
  <c r="L42" i="57"/>
  <c r="F45" i="57"/>
  <c r="H45" i="57"/>
  <c r="J45" i="57"/>
  <c r="L45" i="57"/>
  <c r="F46" i="57"/>
  <c r="H46" i="57"/>
  <c r="J46" i="57"/>
  <c r="L46" i="57"/>
  <c r="F47" i="57"/>
  <c r="H47" i="57"/>
  <c r="J47" i="57"/>
  <c r="L47" i="57"/>
  <c r="H48" i="57"/>
  <c r="J48" i="57"/>
  <c r="L48" i="57"/>
  <c r="H49" i="57"/>
  <c r="J49" i="57"/>
  <c r="L49" i="57"/>
  <c r="F50" i="57"/>
  <c r="H50" i="57"/>
  <c r="J50" i="57"/>
  <c r="L50" i="57"/>
  <c r="F8" i="18"/>
  <c r="F22" i="18" s="1"/>
  <c r="H8" i="18"/>
  <c r="H21" i="18" s="1"/>
  <c r="J8" i="18"/>
  <c r="L8" i="18"/>
  <c r="L20" i="18" s="1"/>
  <c r="F9" i="18"/>
  <c r="H9" i="18"/>
  <c r="J9" i="18"/>
  <c r="L9" i="18"/>
  <c r="F16" i="18"/>
  <c r="H16" i="18"/>
  <c r="J16" i="18"/>
  <c r="L16" i="18"/>
  <c r="F21" i="18"/>
  <c r="J22" i="18"/>
  <c r="F30" i="18"/>
  <c r="H30" i="18"/>
  <c r="J30" i="18"/>
  <c r="L30" i="18"/>
  <c r="F32" i="18"/>
  <c r="H32" i="18"/>
  <c r="J32" i="18"/>
  <c r="L32" i="18"/>
  <c r="F35" i="18"/>
  <c r="H35" i="18"/>
  <c r="J35" i="18"/>
  <c r="L35" i="18"/>
  <c r="F36" i="18"/>
  <c r="H36" i="18"/>
  <c r="J36" i="18"/>
  <c r="L36" i="18"/>
  <c r="F37" i="18"/>
  <c r="H37" i="18"/>
  <c r="J37" i="18"/>
  <c r="L37" i="18"/>
  <c r="F40" i="18"/>
  <c r="H40" i="18"/>
  <c r="J40" i="18"/>
  <c r="L40" i="18"/>
  <c r="F41" i="18"/>
  <c r="H41" i="18"/>
  <c r="J41" i="18"/>
  <c r="L41" i="18"/>
  <c r="F42" i="18"/>
  <c r="H42" i="18"/>
  <c r="J42" i="18"/>
  <c r="L42" i="18"/>
  <c r="F45" i="18"/>
  <c r="H45" i="18"/>
  <c r="J45" i="18"/>
  <c r="L45" i="18"/>
  <c r="F46" i="18"/>
  <c r="H46" i="18"/>
  <c r="J46" i="18"/>
  <c r="L46" i="18"/>
  <c r="F47" i="18"/>
  <c r="H47" i="18"/>
  <c r="J47" i="18"/>
  <c r="L47" i="18"/>
  <c r="F48" i="18"/>
  <c r="H48" i="18"/>
  <c r="J48" i="18"/>
  <c r="L48" i="18"/>
  <c r="F49" i="18"/>
  <c r="H49" i="18"/>
  <c r="J49" i="18"/>
  <c r="L49" i="18"/>
  <c r="F50" i="18"/>
  <c r="H50" i="18"/>
  <c r="J50" i="18"/>
  <c r="L50" i="18"/>
  <c r="D16" i="42"/>
  <c r="N16" i="42" s="1"/>
  <c r="D49" i="49"/>
  <c r="N49" i="49" s="1"/>
  <c r="D48" i="49"/>
  <c r="N48" i="49" s="1"/>
  <c r="D47" i="49"/>
  <c r="D46" i="49"/>
  <c r="D45" i="49"/>
  <c r="D32" i="55"/>
  <c r="D35" i="55"/>
  <c r="D36" i="55"/>
  <c r="N36" i="55" s="1"/>
  <c r="D37" i="55"/>
  <c r="N37" i="55" s="1"/>
  <c r="D40" i="55"/>
  <c r="D41" i="55"/>
  <c r="N41" i="55" s="1"/>
  <c r="D42" i="55"/>
  <c r="N42" i="55" s="1"/>
  <c r="D45" i="55"/>
  <c r="N45" i="55" s="1"/>
  <c r="N16" i="55"/>
  <c r="D50" i="23"/>
  <c r="N50" i="23" s="1"/>
  <c r="D49" i="23"/>
  <c r="D48" i="23"/>
  <c r="D47" i="23"/>
  <c r="N47" i="23" s="1"/>
  <c r="D46" i="23"/>
  <c r="N46" i="23" s="1"/>
  <c r="D45" i="23"/>
  <c r="D42" i="23"/>
  <c r="D41" i="23"/>
  <c r="D40" i="23"/>
  <c r="N40" i="23" s="1"/>
  <c r="D37" i="23"/>
  <c r="N37" i="23" s="1"/>
  <c r="D36" i="23"/>
  <c r="N36" i="23" s="1"/>
  <c r="D35" i="23"/>
  <c r="N35" i="23" s="1"/>
  <c r="D30" i="23"/>
  <c r="D16" i="23"/>
  <c r="N16" i="23" s="1"/>
  <c r="N111" i="58"/>
  <c r="N112" i="58"/>
  <c r="L111" i="58"/>
  <c r="L112" i="58" s="1"/>
  <c r="J111" i="58"/>
  <c r="J112" i="58" s="1"/>
  <c r="H111" i="58"/>
  <c r="H112" i="58"/>
  <c r="F111" i="58"/>
  <c r="F112" i="58" s="1"/>
  <c r="D111" i="58"/>
  <c r="D112" i="58" s="1"/>
  <c r="N110" i="58"/>
  <c r="L110" i="58"/>
  <c r="J110" i="58"/>
  <c r="H110" i="58"/>
  <c r="F110" i="58"/>
  <c r="D110" i="58"/>
  <c r="N109" i="58"/>
  <c r="L109" i="58"/>
  <c r="J109" i="58"/>
  <c r="H109" i="58"/>
  <c r="F109" i="58"/>
  <c r="D109" i="58"/>
  <c r="N108" i="58"/>
  <c r="L108" i="58"/>
  <c r="L14" i="58" s="1"/>
  <c r="J108" i="58"/>
  <c r="J15" i="58" s="1"/>
  <c r="H108" i="58"/>
  <c r="F108" i="58"/>
  <c r="F13" i="58" s="1"/>
  <c r="D108" i="58"/>
  <c r="D13" i="58" s="1"/>
  <c r="N107" i="58"/>
  <c r="L107" i="58"/>
  <c r="J107" i="58"/>
  <c r="H107" i="58"/>
  <c r="F107" i="58"/>
  <c r="D107" i="58"/>
  <c r="N106" i="58"/>
  <c r="L106" i="58"/>
  <c r="J106" i="58"/>
  <c r="H106" i="58"/>
  <c r="H15" i="58"/>
  <c r="F106" i="58"/>
  <c r="D106" i="58"/>
  <c r="N105" i="58"/>
  <c r="L105" i="58"/>
  <c r="J105" i="58"/>
  <c r="J13" i="58"/>
  <c r="H105" i="58"/>
  <c r="F105" i="58"/>
  <c r="D105" i="58"/>
  <c r="D50" i="58"/>
  <c r="D49" i="58"/>
  <c r="N49" i="58" s="1"/>
  <c r="D48" i="58"/>
  <c r="N48" i="58" s="1"/>
  <c r="D47" i="58"/>
  <c r="D46" i="58"/>
  <c r="D45" i="58"/>
  <c r="N45" i="58" s="1"/>
  <c r="D42" i="58"/>
  <c r="D41" i="58"/>
  <c r="D40" i="58"/>
  <c r="D37" i="58"/>
  <c r="N37" i="58" s="1"/>
  <c r="D36" i="58"/>
  <c r="D35" i="58"/>
  <c r="N35" i="58" s="1"/>
  <c r="D30" i="58"/>
  <c r="N30" i="58" s="1"/>
  <c r="D16" i="58"/>
  <c r="N16" i="58" s="1"/>
  <c r="D9" i="58"/>
  <c r="L5" i="58"/>
  <c r="J5" i="58"/>
  <c r="H5" i="58"/>
  <c r="F5" i="58"/>
  <c r="D5" i="58"/>
  <c r="A3" i="58"/>
  <c r="A1" i="58"/>
  <c r="N111" i="57"/>
  <c r="N112" i="57" s="1"/>
  <c r="L111" i="57"/>
  <c r="L112" i="57" s="1"/>
  <c r="J111" i="57"/>
  <c r="J112" i="57" s="1"/>
  <c r="H111" i="57"/>
  <c r="H112" i="57"/>
  <c r="F111" i="57"/>
  <c r="F112" i="57" s="1"/>
  <c r="D111" i="57"/>
  <c r="D112" i="57" s="1"/>
  <c r="N110" i="57"/>
  <c r="L110" i="57"/>
  <c r="J110" i="57"/>
  <c r="H110" i="57"/>
  <c r="F110" i="57"/>
  <c r="N109" i="57"/>
  <c r="L109" i="57"/>
  <c r="J109" i="57"/>
  <c r="H109" i="57"/>
  <c r="F109" i="57"/>
  <c r="N108" i="57"/>
  <c r="L108" i="57"/>
  <c r="J108" i="57"/>
  <c r="H108" i="57"/>
  <c r="F108" i="57"/>
  <c r="N107" i="57"/>
  <c r="L107" i="57"/>
  <c r="J107" i="57"/>
  <c r="H107" i="57"/>
  <c r="F107" i="57"/>
  <c r="D107" i="57"/>
  <c r="N106" i="57"/>
  <c r="L106" i="57"/>
  <c r="J106" i="57"/>
  <c r="J15" i="57" s="1"/>
  <c r="H106" i="57"/>
  <c r="F106" i="57"/>
  <c r="D106" i="57"/>
  <c r="D15" i="57" s="1"/>
  <c r="N105" i="57"/>
  <c r="L105" i="57"/>
  <c r="J105" i="57"/>
  <c r="H105" i="57"/>
  <c r="F105" i="57"/>
  <c r="D105" i="57"/>
  <c r="D13" i="57" s="1"/>
  <c r="D48" i="57"/>
  <c r="D47" i="57"/>
  <c r="D46" i="57"/>
  <c r="D45" i="57"/>
  <c r="D42" i="57"/>
  <c r="N42" i="57" s="1"/>
  <c r="D41" i="57"/>
  <c r="N41" i="57" s="1"/>
  <c r="D40" i="57"/>
  <c r="D37" i="57"/>
  <c r="D36" i="57"/>
  <c r="D35" i="57"/>
  <c r="N35" i="57" s="1"/>
  <c r="D32" i="57"/>
  <c r="D30" i="57"/>
  <c r="D16" i="57"/>
  <c r="N16" i="57" s="1"/>
  <c r="D9" i="57"/>
  <c r="L5" i="57"/>
  <c r="J5" i="57"/>
  <c r="H5" i="57"/>
  <c r="F5" i="57"/>
  <c r="D5" i="57"/>
  <c r="A3" i="57"/>
  <c r="A1" i="57"/>
  <c r="N111" i="56"/>
  <c r="N112" i="56" s="1"/>
  <c r="L111" i="56"/>
  <c r="L112" i="56"/>
  <c r="J111" i="56"/>
  <c r="J112" i="56" s="1"/>
  <c r="J14" i="56" s="1"/>
  <c r="H111" i="56"/>
  <c r="H112" i="56" s="1"/>
  <c r="F111" i="56"/>
  <c r="F112" i="56" s="1"/>
  <c r="D111" i="56"/>
  <c r="D112" i="56" s="1"/>
  <c r="N110" i="56"/>
  <c r="L110" i="56"/>
  <c r="J110" i="56"/>
  <c r="H110" i="56"/>
  <c r="F110" i="56"/>
  <c r="D110" i="56"/>
  <c r="N109" i="56"/>
  <c r="L109" i="56"/>
  <c r="J109" i="56"/>
  <c r="H109" i="56"/>
  <c r="F109" i="56"/>
  <c r="D109" i="56"/>
  <c r="D15" i="56" s="1"/>
  <c r="N108" i="56"/>
  <c r="L108" i="56"/>
  <c r="J108" i="56"/>
  <c r="H108" i="56"/>
  <c r="F108" i="56"/>
  <c r="D108" i="56"/>
  <c r="N107" i="56"/>
  <c r="L107" i="56"/>
  <c r="J107" i="56"/>
  <c r="H107" i="56"/>
  <c r="F107" i="56"/>
  <c r="D107" i="56"/>
  <c r="N106" i="56"/>
  <c r="L106" i="56"/>
  <c r="J106" i="56"/>
  <c r="H106" i="56"/>
  <c r="F106" i="56"/>
  <c r="D106" i="56"/>
  <c r="N105" i="56"/>
  <c r="L105" i="56"/>
  <c r="J105" i="56"/>
  <c r="H105" i="56"/>
  <c r="H13" i="56" s="1"/>
  <c r="F105" i="56"/>
  <c r="D105" i="56"/>
  <c r="D50" i="56"/>
  <c r="D49" i="56"/>
  <c r="D48" i="56"/>
  <c r="D46" i="56"/>
  <c r="D45" i="56"/>
  <c r="N45" i="56" s="1"/>
  <c r="D42" i="56"/>
  <c r="N42" i="56" s="1"/>
  <c r="D41" i="56"/>
  <c r="D40" i="56"/>
  <c r="N40" i="56" s="1"/>
  <c r="D37" i="56"/>
  <c r="D36" i="56"/>
  <c r="D35" i="56"/>
  <c r="D30" i="56"/>
  <c r="D16" i="56"/>
  <c r="D9" i="56"/>
  <c r="D8" i="56"/>
  <c r="D22" i="56" s="1"/>
  <c r="L5" i="56"/>
  <c r="J5" i="56"/>
  <c r="H5" i="56"/>
  <c r="F5" i="56"/>
  <c r="D5" i="56"/>
  <c r="A3" i="56"/>
  <c r="A1" i="56"/>
  <c r="A1" i="20"/>
  <c r="D45" i="33"/>
  <c r="N45" i="33" s="1"/>
  <c r="D16" i="33"/>
  <c r="N16" i="33" s="1"/>
  <c r="D47" i="17"/>
  <c r="N30" i="32"/>
  <c r="N40" i="32"/>
  <c r="D50" i="32"/>
  <c r="D49" i="32"/>
  <c r="N49" i="32" s="1"/>
  <c r="D48" i="32"/>
  <c r="D42" i="32"/>
  <c r="D41" i="32"/>
  <c r="N41" i="32" s="1"/>
  <c r="D37" i="32"/>
  <c r="N37" i="32" s="1"/>
  <c r="D36" i="32"/>
  <c r="D32" i="32"/>
  <c r="N32" i="32" s="1"/>
  <c r="N16" i="32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09" i="18"/>
  <c r="H109" i="18"/>
  <c r="J109" i="18"/>
  <c r="L109" i="18"/>
  <c r="N109" i="18"/>
  <c r="F110" i="18"/>
  <c r="H110" i="18"/>
  <c r="J110" i="18"/>
  <c r="L110" i="18"/>
  <c r="N110" i="18"/>
  <c r="F111" i="18"/>
  <c r="F112" i="18" s="1"/>
  <c r="H111" i="18"/>
  <c r="H112" i="18" s="1"/>
  <c r="J111" i="18"/>
  <c r="J112" i="18" s="1"/>
  <c r="L111" i="18"/>
  <c r="L112" i="18" s="1"/>
  <c r="N111" i="18"/>
  <c r="N112" i="18" s="1"/>
  <c r="D111" i="18"/>
  <c r="D112" i="18" s="1"/>
  <c r="D110" i="18"/>
  <c r="D109" i="18"/>
  <c r="D108" i="18"/>
  <c r="D107" i="18"/>
  <c r="D106" i="18"/>
  <c r="D105" i="18"/>
  <c r="D50" i="18"/>
  <c r="D49" i="18"/>
  <c r="D48" i="18"/>
  <c r="D46" i="18"/>
  <c r="D45" i="18"/>
  <c r="D42" i="18"/>
  <c r="D41" i="18"/>
  <c r="D40" i="18"/>
  <c r="D37" i="18"/>
  <c r="D36" i="18"/>
  <c r="D35" i="18"/>
  <c r="D30" i="18"/>
  <c r="D16" i="18"/>
  <c r="D9" i="18"/>
  <c r="D8" i="18"/>
  <c r="D21" i="18" s="1"/>
  <c r="L5" i="14"/>
  <c r="H5" i="14"/>
  <c r="A3" i="18"/>
  <c r="A1" i="18"/>
  <c r="N111" i="41"/>
  <c r="N112" i="41" s="1"/>
  <c r="L111" i="41"/>
  <c r="L112" i="41" s="1"/>
  <c r="J111" i="41"/>
  <c r="J112" i="41"/>
  <c r="H111" i="41"/>
  <c r="H112" i="41" s="1"/>
  <c r="F111" i="41"/>
  <c r="F112" i="41" s="1"/>
  <c r="D111" i="41"/>
  <c r="D112" i="41" s="1"/>
  <c r="N110" i="41"/>
  <c r="L110" i="41"/>
  <c r="J110" i="41"/>
  <c r="H110" i="41"/>
  <c r="F110" i="41"/>
  <c r="D110" i="41"/>
  <c r="N109" i="41"/>
  <c r="L109" i="41"/>
  <c r="J109" i="41"/>
  <c r="H109" i="41"/>
  <c r="F109" i="41"/>
  <c r="D109" i="41"/>
  <c r="N108" i="41"/>
  <c r="L108" i="41"/>
  <c r="J108" i="41"/>
  <c r="H108" i="41"/>
  <c r="F108" i="41"/>
  <c r="D108" i="41"/>
  <c r="N107" i="41"/>
  <c r="L107" i="41"/>
  <c r="J107" i="41"/>
  <c r="H107" i="41"/>
  <c r="F107" i="41"/>
  <c r="D107" i="41"/>
  <c r="N106" i="41"/>
  <c r="L106" i="41"/>
  <c r="J106" i="41"/>
  <c r="J15" i="41"/>
  <c r="H106" i="41"/>
  <c r="F106" i="41"/>
  <c r="F15" i="41" s="1"/>
  <c r="D106" i="41"/>
  <c r="N105" i="41"/>
  <c r="L105" i="41"/>
  <c r="J105" i="41"/>
  <c r="H105" i="41"/>
  <c r="F105" i="41"/>
  <c r="D105" i="41"/>
  <c r="D46" i="41"/>
  <c r="D45" i="41"/>
  <c r="D42" i="41"/>
  <c r="D41" i="41"/>
  <c r="D40" i="41"/>
  <c r="N40" i="41" s="1"/>
  <c r="D37" i="41"/>
  <c r="N37" i="41" s="1"/>
  <c r="D36" i="41"/>
  <c r="D35" i="41"/>
  <c r="N35" i="41" s="1"/>
  <c r="D32" i="41"/>
  <c r="D30" i="41"/>
  <c r="N30" i="41" s="1"/>
  <c r="D16" i="41"/>
  <c r="D9" i="41"/>
  <c r="D8" i="41"/>
  <c r="D10" i="41" s="1"/>
  <c r="L5" i="41"/>
  <c r="J5" i="41"/>
  <c r="H5" i="41"/>
  <c r="F5" i="41"/>
  <c r="D5" i="41"/>
  <c r="A3" i="41"/>
  <c r="A1" i="41"/>
  <c r="N111" i="25"/>
  <c r="N112" i="25" s="1"/>
  <c r="L111" i="25"/>
  <c r="L112" i="25"/>
  <c r="J111" i="25"/>
  <c r="J112" i="25" s="1"/>
  <c r="H111" i="25"/>
  <c r="H112" i="25" s="1"/>
  <c r="F111" i="25"/>
  <c r="D111" i="25"/>
  <c r="N110" i="25"/>
  <c r="L110" i="25"/>
  <c r="J110" i="25"/>
  <c r="H110" i="25"/>
  <c r="F110" i="25"/>
  <c r="D110" i="25"/>
  <c r="N109" i="25"/>
  <c r="L109" i="25"/>
  <c r="J109" i="25"/>
  <c r="H109" i="25"/>
  <c r="F109" i="25"/>
  <c r="D109" i="25"/>
  <c r="N108" i="25"/>
  <c r="L108" i="25"/>
  <c r="L14" i="25" s="1"/>
  <c r="J108" i="25"/>
  <c r="J14" i="25" s="1"/>
  <c r="H108" i="25"/>
  <c r="F108" i="25"/>
  <c r="D108" i="25"/>
  <c r="N107" i="25"/>
  <c r="L107" i="25"/>
  <c r="J107" i="25"/>
  <c r="H107" i="25"/>
  <c r="F107" i="25"/>
  <c r="D107" i="25"/>
  <c r="N106" i="25"/>
  <c r="L106" i="25"/>
  <c r="J106" i="25"/>
  <c r="H106" i="25"/>
  <c r="F106" i="25"/>
  <c r="D106" i="25"/>
  <c r="N105" i="25"/>
  <c r="L105" i="25"/>
  <c r="J105" i="25"/>
  <c r="H105" i="25"/>
  <c r="H13" i="25" s="1"/>
  <c r="F105" i="25"/>
  <c r="D105" i="25"/>
  <c r="N50" i="25"/>
  <c r="N46" i="25"/>
  <c r="N41" i="25"/>
  <c r="N36" i="25"/>
  <c r="D9" i="25"/>
  <c r="L5" i="25"/>
  <c r="J5" i="25"/>
  <c r="H5" i="25"/>
  <c r="F5" i="25"/>
  <c r="D5" i="25"/>
  <c r="A3" i="25"/>
  <c r="A1" i="25"/>
  <c r="N111" i="29"/>
  <c r="N112" i="29" s="1"/>
  <c r="L111" i="29"/>
  <c r="L112" i="29" s="1"/>
  <c r="J111" i="29"/>
  <c r="J112" i="29" s="1"/>
  <c r="H111" i="29"/>
  <c r="H112" i="29" s="1"/>
  <c r="F111" i="29"/>
  <c r="F112" i="29" s="1"/>
  <c r="D111" i="29"/>
  <c r="D112" i="29" s="1"/>
  <c r="N110" i="29"/>
  <c r="L110" i="29"/>
  <c r="J110" i="29"/>
  <c r="H110" i="29"/>
  <c r="F110" i="29"/>
  <c r="D110" i="29"/>
  <c r="N109" i="29"/>
  <c r="L109" i="29"/>
  <c r="J109" i="29"/>
  <c r="H109" i="29"/>
  <c r="F109" i="29"/>
  <c r="D109" i="29"/>
  <c r="D13" i="29" s="1"/>
  <c r="N108" i="29"/>
  <c r="L108" i="29"/>
  <c r="J108" i="29"/>
  <c r="H108" i="29"/>
  <c r="F108" i="29"/>
  <c r="D108" i="29"/>
  <c r="N107" i="29"/>
  <c r="L107" i="29"/>
  <c r="J107" i="29"/>
  <c r="H107" i="29"/>
  <c r="F107" i="29"/>
  <c r="D107" i="29"/>
  <c r="N106" i="29"/>
  <c r="L106" i="29"/>
  <c r="L15" i="29" s="1"/>
  <c r="J106" i="29"/>
  <c r="H106" i="29"/>
  <c r="F106" i="29"/>
  <c r="D106" i="29"/>
  <c r="N105" i="29"/>
  <c r="L105" i="29"/>
  <c r="J105" i="29"/>
  <c r="H105" i="29"/>
  <c r="F105" i="29"/>
  <c r="D105" i="29"/>
  <c r="D50" i="29"/>
  <c r="D48" i="29"/>
  <c r="N48" i="29" s="1"/>
  <c r="D47" i="29"/>
  <c r="D46" i="29"/>
  <c r="D45" i="29"/>
  <c r="D36" i="29"/>
  <c r="N36" i="29" s="1"/>
  <c r="D30" i="29"/>
  <c r="N30" i="29" s="1"/>
  <c r="D16" i="29"/>
  <c r="D9" i="29"/>
  <c r="L5" i="29"/>
  <c r="J5" i="29"/>
  <c r="H5" i="29"/>
  <c r="F5" i="29"/>
  <c r="D5" i="29"/>
  <c r="A3" i="29"/>
  <c r="A1" i="29"/>
  <c r="N111" i="30"/>
  <c r="N112" i="30" s="1"/>
  <c r="L111" i="30"/>
  <c r="L112" i="30" s="1"/>
  <c r="J111" i="30"/>
  <c r="J112" i="30" s="1"/>
  <c r="J14" i="30" s="1"/>
  <c r="H111" i="30"/>
  <c r="H112" i="30" s="1"/>
  <c r="F111" i="30"/>
  <c r="F112" i="30" s="1"/>
  <c r="D111" i="30"/>
  <c r="D112" i="30" s="1"/>
  <c r="N110" i="30"/>
  <c r="L110" i="30"/>
  <c r="J110" i="30"/>
  <c r="H110" i="30"/>
  <c r="F110" i="30"/>
  <c r="D110" i="30"/>
  <c r="N109" i="30"/>
  <c r="L109" i="30"/>
  <c r="J109" i="30"/>
  <c r="H109" i="30"/>
  <c r="F109" i="30"/>
  <c r="D109" i="30"/>
  <c r="N108" i="30"/>
  <c r="L108" i="30"/>
  <c r="L15" i="30" s="1"/>
  <c r="J108" i="30"/>
  <c r="H108" i="30"/>
  <c r="F108" i="30"/>
  <c r="D108" i="30"/>
  <c r="N107" i="30"/>
  <c r="L107" i="30"/>
  <c r="J107" i="30"/>
  <c r="H107" i="30"/>
  <c r="F107" i="30"/>
  <c r="N106" i="30"/>
  <c r="L106" i="30"/>
  <c r="J106" i="30"/>
  <c r="J15" i="30" s="1"/>
  <c r="H106" i="30"/>
  <c r="F106" i="30"/>
  <c r="N105" i="30"/>
  <c r="L105" i="30"/>
  <c r="J105" i="30"/>
  <c r="H105" i="30"/>
  <c r="F105" i="30"/>
  <c r="D105" i="30"/>
  <c r="D50" i="30"/>
  <c r="D49" i="30"/>
  <c r="D48" i="30"/>
  <c r="N48" i="30" s="1"/>
  <c r="D47" i="30"/>
  <c r="D46" i="30"/>
  <c r="D45" i="30"/>
  <c r="D42" i="30"/>
  <c r="D41" i="30"/>
  <c r="D40" i="30"/>
  <c r="D37" i="30"/>
  <c r="D36" i="30"/>
  <c r="D35" i="30"/>
  <c r="D32" i="30"/>
  <c r="D30" i="30"/>
  <c r="D16" i="30"/>
  <c r="L5" i="30"/>
  <c r="J5" i="30"/>
  <c r="H5" i="30"/>
  <c r="F5" i="30"/>
  <c r="D5" i="30"/>
  <c r="A3" i="30"/>
  <c r="A1" i="30"/>
  <c r="A1" i="17"/>
  <c r="D5" i="17"/>
  <c r="F5" i="17"/>
  <c r="H5" i="17"/>
  <c r="J5" i="17"/>
  <c r="L5" i="17"/>
  <c r="D8" i="17"/>
  <c r="D22" i="17" s="1"/>
  <c r="D9" i="17"/>
  <c r="D16" i="17"/>
  <c r="D30" i="17"/>
  <c r="D32" i="17"/>
  <c r="D35" i="17"/>
  <c r="D36" i="17"/>
  <c r="D37" i="17"/>
  <c r="D40" i="17"/>
  <c r="D41" i="17"/>
  <c r="D42" i="17"/>
  <c r="N42" i="17" s="1"/>
  <c r="D45" i="17"/>
  <c r="D46" i="17"/>
  <c r="D48" i="17"/>
  <c r="N48" i="17" s="1"/>
  <c r="D49" i="17"/>
  <c r="D50" i="17"/>
  <c r="D105" i="17"/>
  <c r="F105" i="17"/>
  <c r="H105" i="17"/>
  <c r="J105" i="17"/>
  <c r="L105" i="17"/>
  <c r="N105" i="17"/>
  <c r="D106" i="17"/>
  <c r="F106" i="17"/>
  <c r="H106" i="17"/>
  <c r="J106" i="17"/>
  <c r="L106" i="17"/>
  <c r="N106" i="17"/>
  <c r="D107" i="17"/>
  <c r="F107" i="17"/>
  <c r="H107" i="17"/>
  <c r="J107" i="17"/>
  <c r="L107" i="17"/>
  <c r="N107" i="17"/>
  <c r="D108" i="17"/>
  <c r="F108" i="17"/>
  <c r="H108" i="17"/>
  <c r="J108" i="17"/>
  <c r="L108" i="17"/>
  <c r="N108" i="17"/>
  <c r="D109" i="17"/>
  <c r="F109" i="17"/>
  <c r="H109" i="17"/>
  <c r="J109" i="17"/>
  <c r="J15" i="17" s="1"/>
  <c r="L109" i="17"/>
  <c r="N109" i="17"/>
  <c r="D110" i="17"/>
  <c r="F110" i="17"/>
  <c r="H110" i="17"/>
  <c r="J110" i="17"/>
  <c r="L110" i="17"/>
  <c r="N110" i="17"/>
  <c r="D111" i="17"/>
  <c r="D112" i="17" s="1"/>
  <c r="F111" i="17"/>
  <c r="F112" i="17" s="1"/>
  <c r="H111" i="17"/>
  <c r="H112" i="17" s="1"/>
  <c r="J111" i="17"/>
  <c r="J112" i="17" s="1"/>
  <c r="L111" i="17"/>
  <c r="L112" i="17" s="1"/>
  <c r="N111" i="17"/>
  <c r="N112" i="17" s="1"/>
  <c r="A1" i="54"/>
  <c r="A3" i="54"/>
  <c r="D5" i="54"/>
  <c r="F5" i="54"/>
  <c r="H5" i="54"/>
  <c r="J5" i="54"/>
  <c r="L5" i="54"/>
  <c r="D8" i="54"/>
  <c r="D21" i="54" s="1"/>
  <c r="D9" i="54"/>
  <c r="D16" i="54"/>
  <c r="D30" i="54"/>
  <c r="D32" i="54"/>
  <c r="D35" i="54"/>
  <c r="D36" i="54"/>
  <c r="D37" i="54"/>
  <c r="D40" i="54"/>
  <c r="D41" i="54"/>
  <c r="D42" i="54"/>
  <c r="D45" i="54"/>
  <c r="D46" i="54"/>
  <c r="N46" i="54" s="1"/>
  <c r="D47" i="54"/>
  <c r="D48" i="54"/>
  <c r="N48" i="54" s="1"/>
  <c r="D49" i="54"/>
  <c r="D50" i="54"/>
  <c r="D105" i="54"/>
  <c r="F105" i="54"/>
  <c r="H105" i="54"/>
  <c r="J105" i="54"/>
  <c r="L105" i="54"/>
  <c r="N105" i="54"/>
  <c r="D106" i="54"/>
  <c r="F106" i="54"/>
  <c r="H106" i="54"/>
  <c r="J106" i="54"/>
  <c r="L106" i="54"/>
  <c r="N106" i="54"/>
  <c r="D107" i="54"/>
  <c r="F107" i="54"/>
  <c r="H107" i="54"/>
  <c r="J107" i="54"/>
  <c r="L107" i="54"/>
  <c r="N107" i="54"/>
  <c r="D108" i="54"/>
  <c r="F108" i="54"/>
  <c r="H108" i="54"/>
  <c r="J108" i="54"/>
  <c r="L108" i="54"/>
  <c r="N108" i="54"/>
  <c r="D109" i="54"/>
  <c r="F109" i="54"/>
  <c r="F13" i="54" s="1"/>
  <c r="H109" i="54"/>
  <c r="H15" i="54" s="1"/>
  <c r="J109" i="54"/>
  <c r="L109" i="54"/>
  <c r="N109" i="54"/>
  <c r="D110" i="54"/>
  <c r="F110" i="54"/>
  <c r="H110" i="54"/>
  <c r="J110" i="54"/>
  <c r="L110" i="54"/>
  <c r="N110" i="54"/>
  <c r="D111" i="54"/>
  <c r="D112" i="54" s="1"/>
  <c r="F111" i="54"/>
  <c r="F112" i="54" s="1"/>
  <c r="H111" i="54"/>
  <c r="H112" i="54" s="1"/>
  <c r="J111" i="54"/>
  <c r="J112" i="54" s="1"/>
  <c r="L111" i="54"/>
  <c r="L112" i="54" s="1"/>
  <c r="N111" i="54"/>
  <c r="N112" i="54" s="1"/>
  <c r="A1" i="42"/>
  <c r="A3" i="42"/>
  <c r="D5" i="42"/>
  <c r="F5" i="42"/>
  <c r="H5" i="42"/>
  <c r="J5" i="42"/>
  <c r="L5" i="42"/>
  <c r="D9" i="42"/>
  <c r="D30" i="42"/>
  <c r="N30" i="42" s="1"/>
  <c r="D32" i="42"/>
  <c r="N32" i="42" s="1"/>
  <c r="D35" i="42"/>
  <c r="D36" i="42"/>
  <c r="D37" i="42"/>
  <c r="N37" i="42" s="1"/>
  <c r="D40" i="42"/>
  <c r="N40" i="42" s="1"/>
  <c r="D41" i="42"/>
  <c r="D42" i="42"/>
  <c r="N42" i="42" s="1"/>
  <c r="D45" i="42"/>
  <c r="N45" i="42" s="1"/>
  <c r="D46" i="42"/>
  <c r="N46" i="42" s="1"/>
  <c r="D47" i="42"/>
  <c r="N47" i="42" s="1"/>
  <c r="D48" i="42"/>
  <c r="D49" i="42"/>
  <c r="N49" i="42" s="1"/>
  <c r="D50" i="42"/>
  <c r="N50" i="42" s="1"/>
  <c r="D105" i="42"/>
  <c r="F105" i="42"/>
  <c r="H105" i="42"/>
  <c r="J105" i="42"/>
  <c r="L105" i="42"/>
  <c r="N105" i="42"/>
  <c r="D106" i="42"/>
  <c r="F106" i="42"/>
  <c r="H106" i="42"/>
  <c r="H15" i="42" s="1"/>
  <c r="J106" i="42"/>
  <c r="L106" i="42"/>
  <c r="L15" i="42" s="1"/>
  <c r="N106" i="42"/>
  <c r="D107" i="42"/>
  <c r="F107" i="42"/>
  <c r="H107" i="42"/>
  <c r="J107" i="42"/>
  <c r="L107" i="42"/>
  <c r="N107" i="42"/>
  <c r="D108" i="42"/>
  <c r="F108" i="42"/>
  <c r="H108" i="42"/>
  <c r="J108" i="42"/>
  <c r="L108" i="42"/>
  <c r="N108" i="42"/>
  <c r="D109" i="42"/>
  <c r="F109" i="42"/>
  <c r="H109" i="42"/>
  <c r="J109" i="42"/>
  <c r="L109" i="42"/>
  <c r="N109" i="42"/>
  <c r="D110" i="42"/>
  <c r="F110" i="42"/>
  <c r="H110" i="42"/>
  <c r="J110" i="42"/>
  <c r="L110" i="42"/>
  <c r="N110" i="42"/>
  <c r="D111" i="42"/>
  <c r="D112" i="42" s="1"/>
  <c r="F111" i="42"/>
  <c r="F112" i="42" s="1"/>
  <c r="H111" i="42"/>
  <c r="H112" i="42"/>
  <c r="J111" i="42"/>
  <c r="J112" i="42"/>
  <c r="L111" i="42"/>
  <c r="L112" i="42" s="1"/>
  <c r="N111" i="42"/>
  <c r="N112" i="42" s="1"/>
  <c r="A1" i="49"/>
  <c r="A3" i="49"/>
  <c r="D5" i="49"/>
  <c r="F5" i="49"/>
  <c r="H5" i="49"/>
  <c r="J5" i="49"/>
  <c r="L5" i="49"/>
  <c r="D8" i="49"/>
  <c r="D20" i="49" s="1"/>
  <c r="D9" i="49"/>
  <c r="N16" i="49"/>
  <c r="D30" i="49"/>
  <c r="D32" i="49"/>
  <c r="D35" i="49"/>
  <c r="N35" i="49" s="1"/>
  <c r="D36" i="49"/>
  <c r="N36" i="49" s="1"/>
  <c r="D37" i="49"/>
  <c r="N37" i="49" s="1"/>
  <c r="D40" i="49"/>
  <c r="D41" i="49"/>
  <c r="N41" i="49" s="1"/>
  <c r="D42" i="49"/>
  <c r="N42" i="49" s="1"/>
  <c r="D105" i="49"/>
  <c r="F105" i="49"/>
  <c r="H105" i="49"/>
  <c r="J105" i="49"/>
  <c r="L105" i="49"/>
  <c r="N105" i="49"/>
  <c r="D106" i="49"/>
  <c r="F106" i="49"/>
  <c r="H106" i="49"/>
  <c r="J106" i="49"/>
  <c r="L106" i="49"/>
  <c r="N106" i="49"/>
  <c r="D107" i="49"/>
  <c r="F107" i="49"/>
  <c r="H107" i="49"/>
  <c r="J107" i="49"/>
  <c r="L107" i="49"/>
  <c r="N107" i="49"/>
  <c r="D108" i="49"/>
  <c r="F108" i="49"/>
  <c r="H108" i="49"/>
  <c r="J108" i="49"/>
  <c r="L108" i="49"/>
  <c r="L14" i="49" s="1"/>
  <c r="N108" i="49"/>
  <c r="D109" i="49"/>
  <c r="F109" i="49"/>
  <c r="H109" i="49"/>
  <c r="J109" i="49"/>
  <c r="L109" i="49"/>
  <c r="N109" i="49"/>
  <c r="D110" i="49"/>
  <c r="F110" i="49"/>
  <c r="H110" i="49"/>
  <c r="J110" i="49"/>
  <c r="L110" i="49"/>
  <c r="N110" i="49"/>
  <c r="D111" i="49"/>
  <c r="D112" i="49" s="1"/>
  <c r="F111" i="49"/>
  <c r="F112" i="49" s="1"/>
  <c r="H111" i="49"/>
  <c r="H112" i="49" s="1"/>
  <c r="J111" i="49"/>
  <c r="J112" i="49" s="1"/>
  <c r="L111" i="49"/>
  <c r="L112" i="49" s="1"/>
  <c r="N111" i="49"/>
  <c r="N112" i="49" s="1"/>
  <c r="A1" i="40"/>
  <c r="A3" i="40"/>
  <c r="D5" i="40"/>
  <c r="F5" i="40"/>
  <c r="H5" i="40"/>
  <c r="J5" i="40"/>
  <c r="L5" i="40"/>
  <c r="D8" i="40"/>
  <c r="D21" i="40" s="1"/>
  <c r="D9" i="40"/>
  <c r="D32" i="40"/>
  <c r="N35" i="40"/>
  <c r="D46" i="40"/>
  <c r="D48" i="40"/>
  <c r="D105" i="40"/>
  <c r="F105" i="40"/>
  <c r="H105" i="40"/>
  <c r="J105" i="40"/>
  <c r="L105" i="40"/>
  <c r="N105" i="40"/>
  <c r="D106" i="40"/>
  <c r="F106" i="40"/>
  <c r="H106" i="40"/>
  <c r="J106" i="40"/>
  <c r="L106" i="40"/>
  <c r="N106" i="40"/>
  <c r="D107" i="40"/>
  <c r="F107" i="40"/>
  <c r="H107" i="40"/>
  <c r="J107" i="40"/>
  <c r="L107" i="40"/>
  <c r="N107" i="40"/>
  <c r="D108" i="40"/>
  <c r="F108" i="40"/>
  <c r="H108" i="40"/>
  <c r="J108" i="40"/>
  <c r="L108" i="40"/>
  <c r="N108" i="40"/>
  <c r="D109" i="40"/>
  <c r="F109" i="40"/>
  <c r="H109" i="40"/>
  <c r="J109" i="40"/>
  <c r="L109" i="40"/>
  <c r="N109" i="40"/>
  <c r="D110" i="40"/>
  <c r="F110" i="40"/>
  <c r="H110" i="40"/>
  <c r="J110" i="40"/>
  <c r="L110" i="40"/>
  <c r="N110" i="40"/>
  <c r="D111" i="40"/>
  <c r="D112" i="40"/>
  <c r="F111" i="40"/>
  <c r="F112" i="40" s="1"/>
  <c r="H111" i="40"/>
  <c r="H112" i="40" s="1"/>
  <c r="J111" i="40"/>
  <c r="J112" i="40" s="1"/>
  <c r="L111" i="40"/>
  <c r="L112" i="40" s="1"/>
  <c r="N111" i="40"/>
  <c r="N112" i="40" s="1"/>
  <c r="A1" i="38"/>
  <c r="A3" i="38"/>
  <c r="D5" i="38"/>
  <c r="F5" i="38"/>
  <c r="H5" i="38"/>
  <c r="J5" i="38"/>
  <c r="L5" i="38"/>
  <c r="D8" i="38"/>
  <c r="D22" i="38" s="1"/>
  <c r="D9" i="38"/>
  <c r="D30" i="38"/>
  <c r="D32" i="38"/>
  <c r="D35" i="38"/>
  <c r="N35" i="38" s="1"/>
  <c r="D36" i="38"/>
  <c r="D37" i="38"/>
  <c r="D40" i="38"/>
  <c r="D41" i="38"/>
  <c r="N41" i="38" s="1"/>
  <c r="D42" i="38"/>
  <c r="D45" i="38"/>
  <c r="D47" i="38"/>
  <c r="N47" i="38" s="1"/>
  <c r="D48" i="38"/>
  <c r="D49" i="38"/>
  <c r="D50" i="38"/>
  <c r="D105" i="38"/>
  <c r="F105" i="38"/>
  <c r="H105" i="38"/>
  <c r="J105" i="38"/>
  <c r="L105" i="38"/>
  <c r="N105" i="38"/>
  <c r="D106" i="38"/>
  <c r="F106" i="38"/>
  <c r="H106" i="38"/>
  <c r="H15" i="38" s="1"/>
  <c r="J106" i="38"/>
  <c r="L106" i="38"/>
  <c r="N106" i="38"/>
  <c r="D107" i="38"/>
  <c r="F107" i="38"/>
  <c r="H107" i="38"/>
  <c r="J107" i="38"/>
  <c r="L107" i="38"/>
  <c r="N107" i="38"/>
  <c r="D108" i="38"/>
  <c r="F108" i="38"/>
  <c r="H108" i="38"/>
  <c r="J108" i="38"/>
  <c r="L108" i="38"/>
  <c r="N108" i="38"/>
  <c r="D109" i="38"/>
  <c r="F109" i="38"/>
  <c r="H109" i="38"/>
  <c r="J109" i="38"/>
  <c r="L109" i="38"/>
  <c r="N109" i="38"/>
  <c r="D110" i="38"/>
  <c r="F110" i="38"/>
  <c r="H110" i="38"/>
  <c r="J110" i="38"/>
  <c r="L110" i="38"/>
  <c r="N110" i="38"/>
  <c r="D111" i="38"/>
  <c r="D112" i="38" s="1"/>
  <c r="F111" i="38"/>
  <c r="F112" i="38" s="1"/>
  <c r="H111" i="38"/>
  <c r="H112" i="38" s="1"/>
  <c r="J111" i="38"/>
  <c r="J112" i="38"/>
  <c r="L111" i="38"/>
  <c r="L112" i="38" s="1"/>
  <c r="N111" i="38"/>
  <c r="N112" i="38" s="1"/>
  <c r="A1" i="39"/>
  <c r="A3" i="39"/>
  <c r="D5" i="39"/>
  <c r="F5" i="39"/>
  <c r="H5" i="39"/>
  <c r="J5" i="39"/>
  <c r="L5" i="39"/>
  <c r="D9" i="39"/>
  <c r="D16" i="39"/>
  <c r="D30" i="39"/>
  <c r="N30" i="39" s="1"/>
  <c r="D32" i="39"/>
  <c r="D35" i="39"/>
  <c r="N35" i="39" s="1"/>
  <c r="D36" i="39"/>
  <c r="D37" i="39"/>
  <c r="N37" i="39" s="1"/>
  <c r="D40" i="39"/>
  <c r="D41" i="39"/>
  <c r="D45" i="39"/>
  <c r="N45" i="39" s="1"/>
  <c r="D46" i="39"/>
  <c r="D47" i="39"/>
  <c r="D48" i="39"/>
  <c r="N48" i="39" s="1"/>
  <c r="D49" i="39"/>
  <c r="N49" i="39" s="1"/>
  <c r="D50" i="39"/>
  <c r="D105" i="39"/>
  <c r="F105" i="39"/>
  <c r="H105" i="39"/>
  <c r="J105" i="39"/>
  <c r="L105" i="39"/>
  <c r="N105" i="39"/>
  <c r="D106" i="39"/>
  <c r="F106" i="39"/>
  <c r="H106" i="39"/>
  <c r="J106" i="39"/>
  <c r="L106" i="39"/>
  <c r="L15" i="39" s="1"/>
  <c r="N106" i="39"/>
  <c r="D107" i="39"/>
  <c r="F107" i="39"/>
  <c r="H107" i="39"/>
  <c r="J107" i="39"/>
  <c r="L107" i="39"/>
  <c r="N107" i="39"/>
  <c r="D108" i="39"/>
  <c r="F108" i="39"/>
  <c r="H108" i="39"/>
  <c r="J108" i="39"/>
  <c r="J13" i="39" s="1"/>
  <c r="L108" i="39"/>
  <c r="N108" i="39"/>
  <c r="D109" i="39"/>
  <c r="F109" i="39"/>
  <c r="H109" i="39"/>
  <c r="J109" i="39"/>
  <c r="L109" i="39"/>
  <c r="N109" i="39"/>
  <c r="D110" i="39"/>
  <c r="F110" i="39"/>
  <c r="H110" i="39"/>
  <c r="J110" i="39"/>
  <c r="L110" i="39"/>
  <c r="N110" i="39"/>
  <c r="D111" i="39"/>
  <c r="D112" i="39"/>
  <c r="F111" i="39"/>
  <c r="F112" i="39" s="1"/>
  <c r="H111" i="39"/>
  <c r="H112" i="39"/>
  <c r="J111" i="39"/>
  <c r="J112" i="39" s="1"/>
  <c r="L111" i="39"/>
  <c r="L112" i="39" s="1"/>
  <c r="J14" i="39" s="1"/>
  <c r="N111" i="39"/>
  <c r="N112" i="39" s="1"/>
  <c r="A1" i="55"/>
  <c r="A3" i="55"/>
  <c r="D5" i="55"/>
  <c r="F5" i="55"/>
  <c r="H5" i="55"/>
  <c r="J5" i="55"/>
  <c r="L5" i="55"/>
  <c r="D9" i="55"/>
  <c r="D105" i="55"/>
  <c r="F105" i="55"/>
  <c r="H105" i="55"/>
  <c r="J105" i="55"/>
  <c r="L105" i="55"/>
  <c r="N105" i="55"/>
  <c r="D106" i="55"/>
  <c r="F106" i="55"/>
  <c r="F15" i="55" s="1"/>
  <c r="H106" i="55"/>
  <c r="J106" i="55"/>
  <c r="L106" i="55"/>
  <c r="N106" i="55"/>
  <c r="D107" i="55"/>
  <c r="F107" i="55"/>
  <c r="H107" i="55"/>
  <c r="J107" i="55"/>
  <c r="L107" i="55"/>
  <c r="N107" i="55"/>
  <c r="D108" i="55"/>
  <c r="F108" i="55"/>
  <c r="H108" i="55"/>
  <c r="J108" i="55"/>
  <c r="L108" i="55"/>
  <c r="N108" i="55"/>
  <c r="D109" i="55"/>
  <c r="F109" i="55"/>
  <c r="H109" i="55"/>
  <c r="J109" i="55"/>
  <c r="L109" i="55"/>
  <c r="N109" i="55"/>
  <c r="D110" i="55"/>
  <c r="F110" i="55"/>
  <c r="H110" i="55"/>
  <c r="J110" i="55"/>
  <c r="L110" i="55"/>
  <c r="N110" i="55"/>
  <c r="D111" i="55"/>
  <c r="D112" i="55" s="1"/>
  <c r="F111" i="55"/>
  <c r="F112" i="55" s="1"/>
  <c r="H111" i="55"/>
  <c r="H112" i="55" s="1"/>
  <c r="J111" i="55"/>
  <c r="J112" i="55" s="1"/>
  <c r="L111" i="55"/>
  <c r="L112" i="55" s="1"/>
  <c r="N111" i="55"/>
  <c r="N112" i="55" s="1"/>
  <c r="A1" i="47"/>
  <c r="A3" i="47"/>
  <c r="D5" i="47"/>
  <c r="F5" i="47"/>
  <c r="H5" i="47"/>
  <c r="J5" i="47"/>
  <c r="L5" i="47"/>
  <c r="D8" i="47"/>
  <c r="D21" i="47" s="1"/>
  <c r="D9" i="47"/>
  <c r="N16" i="47"/>
  <c r="D32" i="47"/>
  <c r="D35" i="47"/>
  <c r="D36" i="47"/>
  <c r="D37" i="47"/>
  <c r="N37" i="47" s="1"/>
  <c r="D40" i="47"/>
  <c r="D41" i="47"/>
  <c r="D42" i="47"/>
  <c r="N45" i="47"/>
  <c r="D46" i="47"/>
  <c r="N46" i="47" s="1"/>
  <c r="D47" i="47"/>
  <c r="D48" i="47"/>
  <c r="N48" i="47" s="1"/>
  <c r="D49" i="47"/>
  <c r="D50" i="47"/>
  <c r="N50" i="47" s="1"/>
  <c r="D105" i="47"/>
  <c r="F105" i="47"/>
  <c r="H105" i="47"/>
  <c r="J105" i="47"/>
  <c r="L105" i="47"/>
  <c r="N105" i="47"/>
  <c r="D106" i="47"/>
  <c r="D15" i="47" s="1"/>
  <c r="F106" i="47"/>
  <c r="H106" i="47"/>
  <c r="J106" i="47"/>
  <c r="L106" i="47"/>
  <c r="N106" i="47"/>
  <c r="D107" i="47"/>
  <c r="F107" i="47"/>
  <c r="H107" i="47"/>
  <c r="J107" i="47"/>
  <c r="L107" i="47"/>
  <c r="N107" i="47"/>
  <c r="D108" i="47"/>
  <c r="F108" i="47"/>
  <c r="H108" i="47"/>
  <c r="J108" i="47"/>
  <c r="L108" i="47"/>
  <c r="N108" i="47"/>
  <c r="D109" i="47"/>
  <c r="F109" i="47"/>
  <c r="H109" i="47"/>
  <c r="J109" i="47"/>
  <c r="L109" i="47"/>
  <c r="N109" i="47"/>
  <c r="D110" i="47"/>
  <c r="F110" i="47"/>
  <c r="H110" i="47"/>
  <c r="J110" i="47"/>
  <c r="L110" i="47"/>
  <c r="N110" i="47"/>
  <c r="D111" i="47"/>
  <c r="D112" i="47" s="1"/>
  <c r="F111" i="47"/>
  <c r="F112" i="47" s="1"/>
  <c r="H111" i="47"/>
  <c r="H112" i="47" s="1"/>
  <c r="J111" i="47"/>
  <c r="J112" i="47" s="1"/>
  <c r="L111" i="47"/>
  <c r="L112" i="47" s="1"/>
  <c r="N111" i="47"/>
  <c r="N112" i="47" s="1"/>
  <c r="A1" i="34"/>
  <c r="A3" i="34"/>
  <c r="D5" i="34"/>
  <c r="F5" i="34"/>
  <c r="H5" i="34"/>
  <c r="J5" i="34"/>
  <c r="L5" i="34"/>
  <c r="D9" i="34"/>
  <c r="D16" i="34"/>
  <c r="N16" i="34" s="1"/>
  <c r="D30" i="34"/>
  <c r="N30" i="34" s="1"/>
  <c r="D32" i="34"/>
  <c r="D35" i="34"/>
  <c r="N35" i="34" s="1"/>
  <c r="D36" i="34"/>
  <c r="D37" i="34"/>
  <c r="D40" i="34"/>
  <c r="D41" i="34"/>
  <c r="N41" i="34" s="1"/>
  <c r="D42" i="34"/>
  <c r="N42" i="34" s="1"/>
  <c r="D45" i="34"/>
  <c r="D46" i="34"/>
  <c r="D47" i="34"/>
  <c r="N47" i="34" s="1"/>
  <c r="D48" i="34"/>
  <c r="D49" i="34"/>
  <c r="N49" i="34" s="1"/>
  <c r="D50" i="34"/>
  <c r="D105" i="34"/>
  <c r="F105" i="34"/>
  <c r="H105" i="34"/>
  <c r="J105" i="34"/>
  <c r="L105" i="34"/>
  <c r="N105" i="34"/>
  <c r="D106" i="34"/>
  <c r="F106" i="34"/>
  <c r="H106" i="34"/>
  <c r="J106" i="34"/>
  <c r="J15" i="34" s="1"/>
  <c r="L106" i="34"/>
  <c r="N106" i="34"/>
  <c r="D107" i="34"/>
  <c r="F107" i="34"/>
  <c r="H107" i="34"/>
  <c r="J107" i="34"/>
  <c r="L107" i="34"/>
  <c r="N107" i="34"/>
  <c r="D108" i="34"/>
  <c r="F108" i="34"/>
  <c r="H108" i="34"/>
  <c r="J108" i="34"/>
  <c r="L108" i="34"/>
  <c r="N108" i="34"/>
  <c r="D109" i="34"/>
  <c r="F109" i="34"/>
  <c r="F13" i="34" s="1"/>
  <c r="H109" i="34"/>
  <c r="J109" i="34"/>
  <c r="L109" i="34"/>
  <c r="N109" i="34"/>
  <c r="D110" i="34"/>
  <c r="F110" i="34"/>
  <c r="H110" i="34"/>
  <c r="J110" i="34"/>
  <c r="L110" i="34"/>
  <c r="N110" i="34"/>
  <c r="D111" i="34"/>
  <c r="D112" i="34" s="1"/>
  <c r="F111" i="34"/>
  <c r="F112" i="34" s="1"/>
  <c r="H111" i="34"/>
  <c r="H112" i="34" s="1"/>
  <c r="J111" i="34"/>
  <c r="J112" i="34" s="1"/>
  <c r="L111" i="34"/>
  <c r="L112" i="34" s="1"/>
  <c r="N111" i="34"/>
  <c r="N112" i="34" s="1"/>
  <c r="A1" i="23"/>
  <c r="A3" i="23"/>
  <c r="D5" i="23"/>
  <c r="F5" i="23"/>
  <c r="H5" i="23"/>
  <c r="J5" i="23"/>
  <c r="L5" i="23"/>
  <c r="D8" i="23"/>
  <c r="D22" i="23" s="1"/>
  <c r="D9" i="23"/>
  <c r="D105" i="23"/>
  <c r="F105" i="23"/>
  <c r="H105" i="23"/>
  <c r="J105" i="23"/>
  <c r="L105" i="23"/>
  <c r="N105" i="23"/>
  <c r="D106" i="23"/>
  <c r="F106" i="23"/>
  <c r="H106" i="23"/>
  <c r="J106" i="23"/>
  <c r="L106" i="23"/>
  <c r="N106" i="23"/>
  <c r="D107" i="23"/>
  <c r="F107" i="23"/>
  <c r="H107" i="23"/>
  <c r="J107" i="23"/>
  <c r="L107" i="23"/>
  <c r="N107" i="23"/>
  <c r="D108" i="23"/>
  <c r="D15" i="23" s="1"/>
  <c r="F108" i="23"/>
  <c r="H108" i="23"/>
  <c r="J108" i="23"/>
  <c r="J14" i="23" s="1"/>
  <c r="L108" i="23"/>
  <c r="L14" i="23" s="1"/>
  <c r="N108" i="23"/>
  <c r="D109" i="23"/>
  <c r="F109" i="23"/>
  <c r="H109" i="23"/>
  <c r="J109" i="23"/>
  <c r="L109" i="23"/>
  <c r="N109" i="23"/>
  <c r="D110" i="23"/>
  <c r="F110" i="23"/>
  <c r="H110" i="23"/>
  <c r="J110" i="23"/>
  <c r="L110" i="23"/>
  <c r="N110" i="23"/>
  <c r="D111" i="23"/>
  <c r="D112" i="23" s="1"/>
  <c r="F111" i="23"/>
  <c r="F112" i="23" s="1"/>
  <c r="H111" i="23"/>
  <c r="H112" i="23" s="1"/>
  <c r="J111" i="23"/>
  <c r="J112" i="23" s="1"/>
  <c r="L111" i="23"/>
  <c r="L112" i="23" s="1"/>
  <c r="N111" i="23"/>
  <c r="N112" i="23" s="1"/>
  <c r="A1" i="22"/>
  <c r="A3" i="22"/>
  <c r="D5" i="22"/>
  <c r="F5" i="22"/>
  <c r="H5" i="22"/>
  <c r="J5" i="22"/>
  <c r="L5" i="22"/>
  <c r="D8" i="22"/>
  <c r="D20" i="22" s="1"/>
  <c r="D9" i="22"/>
  <c r="D16" i="22"/>
  <c r="N16" i="22" s="1"/>
  <c r="D30" i="22"/>
  <c r="N30" i="22" s="1"/>
  <c r="D32" i="22"/>
  <c r="N32" i="22" s="1"/>
  <c r="D35" i="22"/>
  <c r="N35" i="22" s="1"/>
  <c r="D36" i="22"/>
  <c r="D37" i="22"/>
  <c r="D40" i="22"/>
  <c r="N40" i="22" s="1"/>
  <c r="D41" i="22"/>
  <c r="N41" i="22" s="1"/>
  <c r="D42" i="22"/>
  <c r="D45" i="22"/>
  <c r="D46" i="22"/>
  <c r="N46" i="22" s="1"/>
  <c r="D47" i="22"/>
  <c r="N47" i="22" s="1"/>
  <c r="D48" i="22"/>
  <c r="D49" i="22"/>
  <c r="D50" i="22"/>
  <c r="N50" i="22" s="1"/>
  <c r="D105" i="22"/>
  <c r="F105" i="22"/>
  <c r="H105" i="22"/>
  <c r="J105" i="22"/>
  <c r="L105" i="22"/>
  <c r="N105" i="22"/>
  <c r="D106" i="22"/>
  <c r="F106" i="22"/>
  <c r="H106" i="22"/>
  <c r="J106" i="22"/>
  <c r="L106" i="22"/>
  <c r="N106" i="22"/>
  <c r="D107" i="22"/>
  <c r="F107" i="22"/>
  <c r="H107" i="22"/>
  <c r="J107" i="22"/>
  <c r="L107" i="22"/>
  <c r="N107" i="22"/>
  <c r="D108" i="22"/>
  <c r="F108" i="22"/>
  <c r="H108" i="22"/>
  <c r="J108" i="22"/>
  <c r="L108" i="22"/>
  <c r="N108" i="22"/>
  <c r="D109" i="22"/>
  <c r="F109" i="22"/>
  <c r="H109" i="22"/>
  <c r="J109" i="22"/>
  <c r="L109" i="22"/>
  <c r="N109" i="22"/>
  <c r="D110" i="22"/>
  <c r="F110" i="22"/>
  <c r="H110" i="22"/>
  <c r="J110" i="22"/>
  <c r="L110" i="22"/>
  <c r="N110" i="22"/>
  <c r="D111" i="22"/>
  <c r="D112" i="22" s="1"/>
  <c r="F111" i="22"/>
  <c r="F112" i="22" s="1"/>
  <c r="H111" i="22"/>
  <c r="H112" i="22" s="1"/>
  <c r="J111" i="22"/>
  <c r="J112" i="22" s="1"/>
  <c r="L111" i="22"/>
  <c r="L112" i="22" s="1"/>
  <c r="N111" i="22"/>
  <c r="N112" i="22"/>
  <c r="A1" i="51"/>
  <c r="A3" i="51"/>
  <c r="D5" i="51"/>
  <c r="F5" i="51"/>
  <c r="H5" i="51"/>
  <c r="J5" i="51"/>
  <c r="L5" i="51"/>
  <c r="D9" i="51"/>
  <c r="D16" i="51"/>
  <c r="D30" i="51"/>
  <c r="N30" i="51" s="1"/>
  <c r="D35" i="51"/>
  <c r="N35" i="51" s="1"/>
  <c r="D36" i="51"/>
  <c r="D37" i="51"/>
  <c r="D40" i="51"/>
  <c r="D41" i="51"/>
  <c r="D42" i="51"/>
  <c r="N42" i="51" s="1"/>
  <c r="D45" i="51"/>
  <c r="D46" i="51"/>
  <c r="D47" i="51"/>
  <c r="N47" i="51" s="1"/>
  <c r="D48" i="51"/>
  <c r="D49" i="51"/>
  <c r="D50" i="51"/>
  <c r="D105" i="51"/>
  <c r="F105" i="51"/>
  <c r="H105" i="51"/>
  <c r="H13" i="51" s="1"/>
  <c r="J105" i="51"/>
  <c r="L105" i="51"/>
  <c r="N105" i="51"/>
  <c r="D106" i="51"/>
  <c r="D15" i="51" s="1"/>
  <c r="F106" i="51"/>
  <c r="H106" i="51"/>
  <c r="J106" i="51"/>
  <c r="L106" i="51"/>
  <c r="N106" i="51"/>
  <c r="D107" i="51"/>
  <c r="F107" i="51"/>
  <c r="H107" i="51"/>
  <c r="J107" i="51"/>
  <c r="L107" i="51"/>
  <c r="N107" i="51"/>
  <c r="D108" i="51"/>
  <c r="F108" i="51"/>
  <c r="H108" i="51"/>
  <c r="J108" i="51"/>
  <c r="L108" i="51"/>
  <c r="N108" i="51"/>
  <c r="D109" i="51"/>
  <c r="F109" i="51"/>
  <c r="H109" i="51"/>
  <c r="J109" i="51"/>
  <c r="J15" i="51" s="1"/>
  <c r="L109" i="51"/>
  <c r="N109" i="51"/>
  <c r="D110" i="51"/>
  <c r="F110" i="51"/>
  <c r="H110" i="51"/>
  <c r="J110" i="51"/>
  <c r="L110" i="51"/>
  <c r="N110" i="51"/>
  <c r="D111" i="51"/>
  <c r="D112" i="51" s="1"/>
  <c r="F111" i="51"/>
  <c r="F112" i="51" s="1"/>
  <c r="H111" i="51"/>
  <c r="H112" i="51" s="1"/>
  <c r="J111" i="51"/>
  <c r="J112" i="51"/>
  <c r="L111" i="51"/>
  <c r="L112" i="51" s="1"/>
  <c r="N111" i="51"/>
  <c r="N112" i="51" s="1"/>
  <c r="A1" i="33"/>
  <c r="A3" i="33"/>
  <c r="D5" i="33"/>
  <c r="F5" i="33"/>
  <c r="H5" i="33"/>
  <c r="J5" i="33"/>
  <c r="L5" i="33"/>
  <c r="D9" i="33"/>
  <c r="D30" i="33"/>
  <c r="N30" i="33" s="1"/>
  <c r="D35" i="33"/>
  <c r="N35" i="33" s="1"/>
  <c r="D36" i="33"/>
  <c r="N36" i="33" s="1"/>
  <c r="D37" i="33"/>
  <c r="N37" i="33" s="1"/>
  <c r="D40" i="33"/>
  <c r="N40" i="33" s="1"/>
  <c r="D41" i="33"/>
  <c r="D42" i="33"/>
  <c r="N46" i="33"/>
  <c r="D47" i="33"/>
  <c r="D48" i="33"/>
  <c r="N48" i="33" s="1"/>
  <c r="D49" i="33"/>
  <c r="D50" i="33"/>
  <c r="N50" i="33" s="1"/>
  <c r="D105" i="33"/>
  <c r="F105" i="33"/>
  <c r="F13" i="33" s="1"/>
  <c r="H105" i="33"/>
  <c r="J105" i="33"/>
  <c r="J13" i="33" s="1"/>
  <c r="L105" i="33"/>
  <c r="N105" i="33"/>
  <c r="D106" i="33"/>
  <c r="F106" i="33"/>
  <c r="H106" i="33"/>
  <c r="H15" i="33" s="1"/>
  <c r="J106" i="33"/>
  <c r="L106" i="33"/>
  <c r="N106" i="33"/>
  <c r="D107" i="33"/>
  <c r="F107" i="33"/>
  <c r="H107" i="33"/>
  <c r="J107" i="33"/>
  <c r="L107" i="33"/>
  <c r="N107" i="33"/>
  <c r="D108" i="33"/>
  <c r="D13" i="33" s="1"/>
  <c r="F108" i="33"/>
  <c r="F14" i="33" s="1"/>
  <c r="H108" i="33"/>
  <c r="J108" i="33"/>
  <c r="L108" i="33"/>
  <c r="N108" i="33"/>
  <c r="D109" i="33"/>
  <c r="F109" i="33"/>
  <c r="H109" i="33"/>
  <c r="J109" i="33"/>
  <c r="L109" i="33"/>
  <c r="N109" i="33"/>
  <c r="D110" i="33"/>
  <c r="F110" i="33"/>
  <c r="H110" i="33"/>
  <c r="J110" i="33"/>
  <c r="L110" i="33"/>
  <c r="N110" i="33"/>
  <c r="D111" i="33"/>
  <c r="D112" i="33" s="1"/>
  <c r="F111" i="33"/>
  <c r="F112" i="33" s="1"/>
  <c r="H111" i="33"/>
  <c r="H112" i="33" s="1"/>
  <c r="J111" i="33"/>
  <c r="J112" i="33" s="1"/>
  <c r="L111" i="33"/>
  <c r="L112" i="33" s="1"/>
  <c r="N111" i="33"/>
  <c r="N112" i="33" s="1"/>
  <c r="A1" i="32"/>
  <c r="A3" i="32"/>
  <c r="D5" i="32"/>
  <c r="F5" i="32"/>
  <c r="H5" i="32"/>
  <c r="J5" i="32"/>
  <c r="L5" i="32"/>
  <c r="D8" i="32"/>
  <c r="D22" i="32" s="1"/>
  <c r="D9" i="32"/>
  <c r="D105" i="32"/>
  <c r="F105" i="32"/>
  <c r="H105" i="32"/>
  <c r="H13" i="32" s="1"/>
  <c r="J105" i="32"/>
  <c r="L105" i="32"/>
  <c r="L13" i="32" s="1"/>
  <c r="N105" i="32"/>
  <c r="D106" i="32"/>
  <c r="F106" i="32"/>
  <c r="H106" i="32"/>
  <c r="J106" i="32"/>
  <c r="L106" i="32"/>
  <c r="L15" i="32" s="1"/>
  <c r="N106" i="32"/>
  <c r="D107" i="32"/>
  <c r="F107" i="32"/>
  <c r="H107" i="32"/>
  <c r="J107" i="32"/>
  <c r="L107" i="32"/>
  <c r="N107" i="32"/>
  <c r="D108" i="32"/>
  <c r="F108" i="32"/>
  <c r="H108" i="32"/>
  <c r="J108" i="32"/>
  <c r="L108" i="32"/>
  <c r="N108" i="32"/>
  <c r="D109" i="32"/>
  <c r="F109" i="32"/>
  <c r="H109" i="32"/>
  <c r="J109" i="32"/>
  <c r="L109" i="32"/>
  <c r="N109" i="32"/>
  <c r="D110" i="32"/>
  <c r="F110" i="32"/>
  <c r="H110" i="32"/>
  <c r="J110" i="32"/>
  <c r="L110" i="32"/>
  <c r="N110" i="32"/>
  <c r="D111" i="32"/>
  <c r="D112" i="32" s="1"/>
  <c r="F111" i="32"/>
  <c r="F112" i="32" s="1"/>
  <c r="H111" i="32"/>
  <c r="H112" i="32" s="1"/>
  <c r="J111" i="32"/>
  <c r="J112" i="32" s="1"/>
  <c r="L111" i="32"/>
  <c r="L112" i="32" s="1"/>
  <c r="N111" i="32"/>
  <c r="N112" i="32" s="1"/>
  <c r="A1" i="31"/>
  <c r="A3" i="31"/>
  <c r="D5" i="31"/>
  <c r="F5" i="31"/>
  <c r="H5" i="31"/>
  <c r="J5" i="31"/>
  <c r="L5" i="31"/>
  <c r="D8" i="31"/>
  <c r="D21" i="31" s="1"/>
  <c r="D9" i="31"/>
  <c r="D30" i="31"/>
  <c r="N30" i="31" s="1"/>
  <c r="D32" i="31"/>
  <c r="D35" i="31"/>
  <c r="D36" i="31"/>
  <c r="D37" i="31"/>
  <c r="N37" i="31" s="1"/>
  <c r="D40" i="31"/>
  <c r="N40" i="31" s="1"/>
  <c r="D41" i="31"/>
  <c r="D42" i="31"/>
  <c r="D45" i="31"/>
  <c r="N45" i="31" s="1"/>
  <c r="D46" i="31"/>
  <c r="D47" i="31"/>
  <c r="D48" i="31"/>
  <c r="D49" i="31"/>
  <c r="N49" i="31" s="1"/>
  <c r="D50" i="31"/>
  <c r="D105" i="31"/>
  <c r="F105" i="31"/>
  <c r="H105" i="31"/>
  <c r="J105" i="31"/>
  <c r="L105" i="31"/>
  <c r="N105" i="31"/>
  <c r="D106" i="31"/>
  <c r="F106" i="31"/>
  <c r="H106" i="31"/>
  <c r="J106" i="31"/>
  <c r="J15" i="31" s="1"/>
  <c r="L106" i="31"/>
  <c r="N106" i="31"/>
  <c r="D107" i="31"/>
  <c r="F107" i="31"/>
  <c r="H107" i="31"/>
  <c r="J107" i="31"/>
  <c r="L107" i="31"/>
  <c r="N107" i="31"/>
  <c r="D108" i="31"/>
  <c r="F108" i="31"/>
  <c r="H108" i="31"/>
  <c r="J108" i="31"/>
  <c r="L108" i="31"/>
  <c r="N108" i="31"/>
  <c r="D109" i="31"/>
  <c r="F109" i="31"/>
  <c r="H109" i="31"/>
  <c r="J109" i="31"/>
  <c r="L109" i="31"/>
  <c r="N109" i="31"/>
  <c r="D110" i="31"/>
  <c r="F110" i="31"/>
  <c r="H110" i="31"/>
  <c r="J110" i="31"/>
  <c r="L110" i="31"/>
  <c r="N110" i="31"/>
  <c r="D111" i="31"/>
  <c r="D112" i="31" s="1"/>
  <c r="F111" i="31"/>
  <c r="F112" i="31" s="1"/>
  <c r="D14" i="31" s="1"/>
  <c r="H111" i="31"/>
  <c r="H112" i="31" s="1"/>
  <c r="J111" i="31"/>
  <c r="J112" i="31" s="1"/>
  <c r="L111" i="31"/>
  <c r="L112" i="31" s="1"/>
  <c r="N111" i="31"/>
  <c r="N112" i="31" s="1"/>
  <c r="A1" i="21"/>
  <c r="A3" i="21"/>
  <c r="D5" i="21"/>
  <c r="F5" i="21"/>
  <c r="H5" i="21"/>
  <c r="J5" i="21"/>
  <c r="L5" i="21"/>
  <c r="D8" i="21"/>
  <c r="D9" i="21"/>
  <c r="D16" i="21"/>
  <c r="N16" i="21" s="1"/>
  <c r="D30" i="21"/>
  <c r="N30" i="21" s="1"/>
  <c r="D32" i="21"/>
  <c r="D35" i="21"/>
  <c r="D36" i="21"/>
  <c r="D37" i="21"/>
  <c r="D40" i="21"/>
  <c r="D41" i="21"/>
  <c r="D42" i="21"/>
  <c r="D45" i="21"/>
  <c r="D46" i="21"/>
  <c r="D47" i="21"/>
  <c r="D48" i="21"/>
  <c r="D49" i="21"/>
  <c r="D50" i="21"/>
  <c r="D105" i="21"/>
  <c r="F105" i="21"/>
  <c r="H105" i="21"/>
  <c r="J105" i="21"/>
  <c r="J13" i="21" s="1"/>
  <c r="L105" i="21"/>
  <c r="N105" i="21"/>
  <c r="D106" i="21"/>
  <c r="F106" i="21"/>
  <c r="H106" i="21"/>
  <c r="J106" i="21"/>
  <c r="L106" i="21"/>
  <c r="N106" i="21"/>
  <c r="D107" i="21"/>
  <c r="F107" i="21"/>
  <c r="H107" i="21"/>
  <c r="J107" i="21"/>
  <c r="L107" i="21"/>
  <c r="N107" i="21"/>
  <c r="D108" i="21"/>
  <c r="F108" i="21"/>
  <c r="H108" i="21"/>
  <c r="J108" i="21"/>
  <c r="L108" i="21"/>
  <c r="N108" i="21"/>
  <c r="D109" i="21"/>
  <c r="F109" i="21"/>
  <c r="H109" i="21"/>
  <c r="J109" i="21"/>
  <c r="L109" i="21"/>
  <c r="N109" i="21"/>
  <c r="D110" i="21"/>
  <c r="F110" i="21"/>
  <c r="H110" i="21"/>
  <c r="J110" i="21"/>
  <c r="L110" i="21"/>
  <c r="N110" i="21"/>
  <c r="D111" i="21"/>
  <c r="D112" i="21" s="1"/>
  <c r="F111" i="21"/>
  <c r="F112" i="21" s="1"/>
  <c r="H111" i="21"/>
  <c r="H112" i="21" s="1"/>
  <c r="J111" i="21"/>
  <c r="J112" i="21" s="1"/>
  <c r="L111" i="21"/>
  <c r="L112" i="21" s="1"/>
  <c r="N111" i="21"/>
  <c r="N112" i="21" s="1"/>
  <c r="A3" i="20"/>
  <c r="D5" i="20"/>
  <c r="F5" i="20"/>
  <c r="H5" i="20"/>
  <c r="J5" i="20"/>
  <c r="L5" i="20"/>
  <c r="D9" i="20"/>
  <c r="D30" i="20"/>
  <c r="D32" i="20"/>
  <c r="N32" i="20" s="1"/>
  <c r="D35" i="20"/>
  <c r="D36" i="20"/>
  <c r="D37" i="20"/>
  <c r="D40" i="20"/>
  <c r="D41" i="20"/>
  <c r="D42" i="20"/>
  <c r="D45" i="20"/>
  <c r="D46" i="20"/>
  <c r="D47" i="20"/>
  <c r="D48" i="20"/>
  <c r="D50" i="20"/>
  <c r="D105" i="20"/>
  <c r="F105" i="20"/>
  <c r="H105" i="20"/>
  <c r="J105" i="20"/>
  <c r="L105" i="20"/>
  <c r="N105" i="20"/>
  <c r="D106" i="20"/>
  <c r="F106" i="20"/>
  <c r="H106" i="20"/>
  <c r="J106" i="20"/>
  <c r="L106" i="20"/>
  <c r="N106" i="20"/>
  <c r="D107" i="20"/>
  <c r="F107" i="20"/>
  <c r="H107" i="20"/>
  <c r="J107" i="20"/>
  <c r="L107" i="20"/>
  <c r="N107" i="20"/>
  <c r="D108" i="20"/>
  <c r="F108" i="20"/>
  <c r="H108" i="20"/>
  <c r="J108" i="20"/>
  <c r="L108" i="20"/>
  <c r="N108" i="20"/>
  <c r="D109" i="20"/>
  <c r="F109" i="20"/>
  <c r="H109" i="20"/>
  <c r="J109" i="20"/>
  <c r="L109" i="20"/>
  <c r="N109" i="20"/>
  <c r="D110" i="20"/>
  <c r="F110" i="20"/>
  <c r="H110" i="20"/>
  <c r="J110" i="20"/>
  <c r="L110" i="20"/>
  <c r="N110" i="20"/>
  <c r="D111" i="20"/>
  <c r="D112" i="20" s="1"/>
  <c r="F111" i="20"/>
  <c r="F112" i="20" s="1"/>
  <c r="H111" i="20"/>
  <c r="H112" i="20"/>
  <c r="J111" i="20"/>
  <c r="J112" i="20" s="1"/>
  <c r="L111" i="20"/>
  <c r="L112" i="20" s="1"/>
  <c r="N111" i="20"/>
  <c r="N112" i="20" s="1"/>
  <c r="N30" i="47"/>
  <c r="N41" i="23"/>
  <c r="D21" i="22"/>
  <c r="N16" i="51"/>
  <c r="D22" i="18"/>
  <c r="N36" i="57"/>
  <c r="D13" i="18"/>
  <c r="H26" i="17"/>
  <c r="H27" i="17"/>
  <c r="H25" i="17"/>
  <c r="J10" i="17"/>
  <c r="J27" i="17" s="1"/>
  <c r="H10" i="39"/>
  <c r="H27" i="39" s="1"/>
  <c r="J10" i="34"/>
  <c r="J26" i="34" s="1"/>
  <c r="J10" i="22"/>
  <c r="J27" i="22" s="1"/>
  <c r="F20" i="58"/>
  <c r="L10" i="51"/>
  <c r="L26" i="51" s="1"/>
  <c r="L10" i="31"/>
  <c r="L26" i="31" s="1"/>
  <c r="L10" i="20"/>
  <c r="L26" i="20" s="1"/>
  <c r="J10" i="30"/>
  <c r="J27" i="30" s="1"/>
  <c r="H10" i="30"/>
  <c r="H26" i="30" s="1"/>
  <c r="H10" i="29"/>
  <c r="H26" i="29" s="1"/>
  <c r="H20" i="56"/>
  <c r="L10" i="41"/>
  <c r="L25" i="41" s="1"/>
  <c r="F10" i="18"/>
  <c r="F26" i="18" s="1"/>
  <c r="L25" i="51"/>
  <c r="N45" i="41"/>
  <c r="N16" i="56"/>
  <c r="H10" i="56"/>
  <c r="H27" i="56" s="1"/>
  <c r="H22" i="56"/>
  <c r="D50" i="40"/>
  <c r="D49" i="40"/>
  <c r="N47" i="49"/>
  <c r="F21" i="17" l="1"/>
  <c r="N16" i="17"/>
  <c r="N50" i="17"/>
  <c r="N46" i="17"/>
  <c r="H28" i="17"/>
  <c r="L15" i="17"/>
  <c r="F25" i="17"/>
  <c r="H15" i="17"/>
  <c r="N40" i="17"/>
  <c r="F15" i="17"/>
  <c r="H23" i="17"/>
  <c r="L13" i="17"/>
  <c r="N32" i="17"/>
  <c r="J13" i="17"/>
  <c r="D13" i="54"/>
  <c r="D10" i="54"/>
  <c r="D27" i="54" s="1"/>
  <c r="N45" i="54"/>
  <c r="J14" i="54"/>
  <c r="N36" i="54"/>
  <c r="F15" i="54"/>
  <c r="N30" i="54"/>
  <c r="J15" i="42"/>
  <c r="F15" i="42"/>
  <c r="L14" i="42"/>
  <c r="J14" i="42"/>
  <c r="H14" i="42"/>
  <c r="F14" i="42"/>
  <c r="J13" i="42"/>
  <c r="H13" i="42"/>
  <c r="F13" i="42"/>
  <c r="D10" i="49"/>
  <c r="D27" i="49" s="1"/>
  <c r="N27" i="49" s="1"/>
  <c r="H13" i="49"/>
  <c r="F14" i="49"/>
  <c r="F13" i="49"/>
  <c r="H14" i="49"/>
  <c r="J13" i="49"/>
  <c r="L15" i="49"/>
  <c r="J14" i="49"/>
  <c r="J15" i="49"/>
  <c r="H15" i="49"/>
  <c r="F15" i="49"/>
  <c r="D22" i="40"/>
  <c r="D20" i="40"/>
  <c r="N42" i="40"/>
  <c r="N16" i="40"/>
  <c r="N48" i="40"/>
  <c r="H20" i="40"/>
  <c r="F20" i="40"/>
  <c r="N49" i="40"/>
  <c r="N45" i="40"/>
  <c r="N41" i="40"/>
  <c r="J15" i="40"/>
  <c r="N37" i="40"/>
  <c r="N36" i="40"/>
  <c r="F15" i="40"/>
  <c r="F10" i="40"/>
  <c r="F27" i="40" s="1"/>
  <c r="N30" i="40"/>
  <c r="L10" i="38"/>
  <c r="F15" i="38"/>
  <c r="J10" i="38"/>
  <c r="N30" i="38"/>
  <c r="L20" i="38"/>
  <c r="J20" i="38"/>
  <c r="F27" i="38"/>
  <c r="N50" i="38"/>
  <c r="H20" i="38"/>
  <c r="F20" i="38"/>
  <c r="F23" i="38" s="1"/>
  <c r="N48" i="38"/>
  <c r="L15" i="38"/>
  <c r="J15" i="38"/>
  <c r="D15" i="39"/>
  <c r="L27" i="39"/>
  <c r="L26" i="39"/>
  <c r="L25" i="39"/>
  <c r="H26" i="39"/>
  <c r="N46" i="39"/>
  <c r="J27" i="39"/>
  <c r="J15" i="39"/>
  <c r="L22" i="39"/>
  <c r="L23" i="39" s="1"/>
  <c r="H22" i="39"/>
  <c r="H15" i="39"/>
  <c r="F15" i="39"/>
  <c r="H13" i="39"/>
  <c r="L15" i="55"/>
  <c r="J15" i="55"/>
  <c r="H15" i="55"/>
  <c r="F14" i="55"/>
  <c r="J13" i="55"/>
  <c r="H13" i="55"/>
  <c r="F13" i="55"/>
  <c r="D14" i="47"/>
  <c r="D13" i="47"/>
  <c r="L15" i="47"/>
  <c r="J15" i="47"/>
  <c r="H15" i="47"/>
  <c r="F15" i="47"/>
  <c r="L14" i="47"/>
  <c r="J14" i="47"/>
  <c r="H14" i="47"/>
  <c r="F14" i="47"/>
  <c r="H13" i="47"/>
  <c r="D13" i="34"/>
  <c r="F15" i="34"/>
  <c r="J20" i="34"/>
  <c r="F20" i="34"/>
  <c r="H10" i="34"/>
  <c r="L22" i="34"/>
  <c r="F10" i="34"/>
  <c r="F25" i="34" s="1"/>
  <c r="F22" i="34"/>
  <c r="J13" i="23"/>
  <c r="H13" i="23"/>
  <c r="F13" i="23"/>
  <c r="F14" i="23"/>
  <c r="H14" i="23"/>
  <c r="L15" i="23"/>
  <c r="J15" i="23"/>
  <c r="H15" i="23"/>
  <c r="F15" i="23"/>
  <c r="D10" i="22"/>
  <c r="D27" i="22" s="1"/>
  <c r="F15" i="22"/>
  <c r="J14" i="22"/>
  <c r="J13" i="22"/>
  <c r="L10" i="22"/>
  <c r="D15" i="58"/>
  <c r="N41" i="58"/>
  <c r="L10" i="58"/>
  <c r="N47" i="58"/>
  <c r="J14" i="58"/>
  <c r="L22" i="58"/>
  <c r="H20" i="58"/>
  <c r="D13" i="51"/>
  <c r="N50" i="51"/>
  <c r="J20" i="51"/>
  <c r="N49" i="51"/>
  <c r="F20" i="51"/>
  <c r="N46" i="51"/>
  <c r="N45" i="51"/>
  <c r="J10" i="51"/>
  <c r="J27" i="51" s="1"/>
  <c r="F15" i="51"/>
  <c r="H10" i="51"/>
  <c r="H20" i="51"/>
  <c r="N37" i="51"/>
  <c r="L15" i="33"/>
  <c r="J15" i="33"/>
  <c r="F15" i="33"/>
  <c r="L14" i="33"/>
  <c r="J14" i="33"/>
  <c r="H14" i="33"/>
  <c r="H13" i="33"/>
  <c r="D10" i="32"/>
  <c r="D27" i="32" s="1"/>
  <c r="J15" i="32"/>
  <c r="F13" i="32"/>
  <c r="H15" i="32"/>
  <c r="F14" i="32"/>
  <c r="F15" i="32"/>
  <c r="L14" i="32"/>
  <c r="J14" i="32"/>
  <c r="H14" i="32"/>
  <c r="N48" i="32"/>
  <c r="D20" i="31"/>
  <c r="D22" i="31"/>
  <c r="N35" i="31"/>
  <c r="N47" i="31"/>
  <c r="J22" i="31"/>
  <c r="L14" i="31"/>
  <c r="N41" i="31"/>
  <c r="F21" i="21"/>
  <c r="N35" i="21"/>
  <c r="H21" i="21"/>
  <c r="F10" i="21"/>
  <c r="F26" i="21" s="1"/>
  <c r="L10" i="21"/>
  <c r="H10" i="21"/>
  <c r="H27" i="21" s="1"/>
  <c r="N41" i="21"/>
  <c r="N48" i="21"/>
  <c r="H22" i="21"/>
  <c r="L15" i="21"/>
  <c r="F22" i="21"/>
  <c r="L21" i="21"/>
  <c r="L23" i="21" s="1"/>
  <c r="N46" i="20"/>
  <c r="J15" i="20"/>
  <c r="N45" i="20"/>
  <c r="J13" i="20"/>
  <c r="N36" i="20"/>
  <c r="L22" i="20"/>
  <c r="L23" i="20"/>
  <c r="D22" i="30"/>
  <c r="D21" i="30"/>
  <c r="D20" i="30"/>
  <c r="D23" i="30" s="1"/>
  <c r="N36" i="30"/>
  <c r="N42" i="30"/>
  <c r="D13" i="30"/>
  <c r="N32" i="30"/>
  <c r="J13" i="30"/>
  <c r="H15" i="30"/>
  <c r="N46" i="30"/>
  <c r="F10" i="30"/>
  <c r="J26" i="30"/>
  <c r="L22" i="30"/>
  <c r="N16" i="30"/>
  <c r="H15" i="29"/>
  <c r="N47" i="29"/>
  <c r="N41" i="29"/>
  <c r="F22" i="29"/>
  <c r="H21" i="29"/>
  <c r="L13" i="29"/>
  <c r="H20" i="29"/>
  <c r="F15" i="29"/>
  <c r="J13" i="25"/>
  <c r="L13" i="25"/>
  <c r="H14" i="25"/>
  <c r="F15" i="25"/>
  <c r="H15" i="25"/>
  <c r="J15" i="25"/>
  <c r="L15" i="25"/>
  <c r="N48" i="25"/>
  <c r="D13" i="56"/>
  <c r="N48" i="56"/>
  <c r="N36" i="56"/>
  <c r="N46" i="56"/>
  <c r="N50" i="56"/>
  <c r="J13" i="56"/>
  <c r="J10" i="56"/>
  <c r="N37" i="56"/>
  <c r="J15" i="56"/>
  <c r="F22" i="56"/>
  <c r="H15" i="56"/>
  <c r="F21" i="56"/>
  <c r="D22" i="41"/>
  <c r="D20" i="41"/>
  <c r="N42" i="41"/>
  <c r="N36" i="41"/>
  <c r="N41" i="41"/>
  <c r="F13" i="41"/>
  <c r="F9" i="14"/>
  <c r="H21" i="41"/>
  <c r="L14" i="41"/>
  <c r="L20" i="41"/>
  <c r="D20" i="57"/>
  <c r="D21" i="57"/>
  <c r="D22" i="57"/>
  <c r="J25" i="57"/>
  <c r="J26" i="57"/>
  <c r="J27" i="57"/>
  <c r="N30" i="57"/>
  <c r="N40" i="57"/>
  <c r="L30" i="14"/>
  <c r="F10" i="57"/>
  <c r="F26" i="57" s="1"/>
  <c r="N46" i="18"/>
  <c r="H9" i="14"/>
  <c r="J15" i="18"/>
  <c r="J10" i="18"/>
  <c r="H15" i="18"/>
  <c r="N40" i="18"/>
  <c r="L21" i="18"/>
  <c r="L15" i="18"/>
  <c r="F20" i="18"/>
  <c r="F13" i="18"/>
  <c r="N16" i="18"/>
  <c r="D10" i="25"/>
  <c r="D21" i="34"/>
  <c r="N21" i="34" s="1"/>
  <c r="D20" i="34"/>
  <c r="N20" i="34" s="1"/>
  <c r="D22" i="34"/>
  <c r="J26" i="51"/>
  <c r="F26" i="40"/>
  <c r="F25" i="40"/>
  <c r="F20" i="41"/>
  <c r="F21" i="41"/>
  <c r="F22" i="41"/>
  <c r="H14" i="18"/>
  <c r="H25" i="58"/>
  <c r="H26" i="58"/>
  <c r="H27" i="58"/>
  <c r="H25" i="38"/>
  <c r="H27" i="38"/>
  <c r="H14" i="40"/>
  <c r="L25" i="54"/>
  <c r="L27" i="54"/>
  <c r="H14" i="39"/>
  <c r="N45" i="17"/>
  <c r="N37" i="30"/>
  <c r="N32" i="29"/>
  <c r="N35" i="18"/>
  <c r="H14" i="58"/>
  <c r="J28" i="57"/>
  <c r="J13" i="31"/>
  <c r="D15" i="31"/>
  <c r="N49" i="47"/>
  <c r="N16" i="38"/>
  <c r="H15" i="40"/>
  <c r="F15" i="30"/>
  <c r="F14" i="30"/>
  <c r="D35" i="29"/>
  <c r="N35" i="29" s="1"/>
  <c r="H15" i="41"/>
  <c r="F14" i="41"/>
  <c r="N49" i="56"/>
  <c r="F15" i="58"/>
  <c r="J20" i="18"/>
  <c r="L10" i="56"/>
  <c r="L27" i="56" s="1"/>
  <c r="L10" i="30"/>
  <c r="L27" i="30" s="1"/>
  <c r="J22" i="20"/>
  <c r="F21" i="51"/>
  <c r="N50" i="57"/>
  <c r="N40" i="39"/>
  <c r="N32" i="31"/>
  <c r="N30" i="49"/>
  <c r="L14" i="54"/>
  <c r="N37" i="17"/>
  <c r="N45" i="30"/>
  <c r="H14" i="30"/>
  <c r="D42" i="29"/>
  <c r="N42" i="29" s="1"/>
  <c r="J15" i="29"/>
  <c r="L15" i="41"/>
  <c r="F14" i="18"/>
  <c r="F15" i="18"/>
  <c r="N50" i="32"/>
  <c r="F13" i="56"/>
  <c r="N47" i="25"/>
  <c r="H13" i="31"/>
  <c r="H14" i="51"/>
  <c r="L14" i="22"/>
  <c r="L15" i="22"/>
  <c r="N15" i="22" s="1"/>
  <c r="D15" i="34"/>
  <c r="N15" i="34" s="1"/>
  <c r="F13" i="39"/>
  <c r="H13" i="38"/>
  <c r="F13" i="40"/>
  <c r="L13" i="40"/>
  <c r="H13" i="29"/>
  <c r="L46" i="14"/>
  <c r="J21" i="56"/>
  <c r="J21" i="20"/>
  <c r="J23" i="20" s="1"/>
  <c r="L23" i="34"/>
  <c r="J26" i="39"/>
  <c r="J28" i="39" s="1"/>
  <c r="N48" i="22"/>
  <c r="H14" i="29"/>
  <c r="N36" i="51"/>
  <c r="N36" i="34"/>
  <c r="N42" i="47"/>
  <c r="L13" i="39"/>
  <c r="H14" i="38"/>
  <c r="N46" i="38"/>
  <c r="N47" i="54"/>
  <c r="N46" i="29"/>
  <c r="N30" i="56"/>
  <c r="F14" i="56"/>
  <c r="N46" i="57"/>
  <c r="L15" i="58"/>
  <c r="H21" i="20"/>
  <c r="L14" i="39"/>
  <c r="F23" i="18"/>
  <c r="L13" i="31"/>
  <c r="L14" i="30"/>
  <c r="H15" i="21"/>
  <c r="L13" i="51"/>
  <c r="J15" i="22"/>
  <c r="D37" i="29"/>
  <c r="N37" i="29" s="1"/>
  <c r="L22" i="56"/>
  <c r="L27" i="41"/>
  <c r="N37" i="20"/>
  <c r="F13" i="21"/>
  <c r="J15" i="21"/>
  <c r="D13" i="31"/>
  <c r="J13" i="51"/>
  <c r="D15" i="22"/>
  <c r="H15" i="22"/>
  <c r="N42" i="22"/>
  <c r="N32" i="39"/>
  <c r="H13" i="40"/>
  <c r="N36" i="42"/>
  <c r="F14" i="54"/>
  <c r="J15" i="54"/>
  <c r="J14" i="18"/>
  <c r="N47" i="57"/>
  <c r="N50" i="58"/>
  <c r="F49" i="57"/>
  <c r="N49" i="57" s="1"/>
  <c r="F10" i="41"/>
  <c r="J20" i="56"/>
  <c r="L22" i="29"/>
  <c r="J21" i="30"/>
  <c r="H23" i="34"/>
  <c r="D40" i="29"/>
  <c r="N40" i="29" s="1"/>
  <c r="D10" i="38"/>
  <c r="D27" i="38" s="1"/>
  <c r="D49" i="29"/>
  <c r="N49" i="29" s="1"/>
  <c r="L20" i="56"/>
  <c r="L23" i="56" s="1"/>
  <c r="L26" i="41"/>
  <c r="J25" i="22"/>
  <c r="J28" i="22" s="1"/>
  <c r="J10" i="20"/>
  <c r="J26" i="20" s="1"/>
  <c r="N50" i="31"/>
  <c r="J13" i="34"/>
  <c r="N30" i="17"/>
  <c r="N49" i="30"/>
  <c r="J13" i="18"/>
  <c r="N48" i="57"/>
  <c r="L22" i="57"/>
  <c r="F20" i="56"/>
  <c r="F23" i="56" s="1"/>
  <c r="F26" i="38"/>
  <c r="N45" i="32"/>
  <c r="N46" i="21"/>
  <c r="J26" i="22"/>
  <c r="H13" i="34"/>
  <c r="D14" i="54"/>
  <c r="N50" i="29"/>
  <c r="H13" i="18"/>
  <c r="L23" i="17"/>
  <c r="N46" i="32"/>
  <c r="F13" i="31"/>
  <c r="N50" i="40"/>
  <c r="F15" i="21"/>
  <c r="H25" i="56"/>
  <c r="J25" i="30"/>
  <c r="J28" i="30" s="1"/>
  <c r="H25" i="39"/>
  <c r="H28" i="39" s="1"/>
  <c r="N36" i="47"/>
  <c r="N15" i="55"/>
  <c r="D13" i="49"/>
  <c r="N13" i="49" s="1"/>
  <c r="L15" i="54"/>
  <c r="N15" i="54" s="1"/>
  <c r="N41" i="54"/>
  <c r="F13" i="17"/>
  <c r="H13" i="41"/>
  <c r="F15" i="56"/>
  <c r="H14" i="56"/>
  <c r="J20" i="30"/>
  <c r="J23" i="30" s="1"/>
  <c r="H23" i="30"/>
  <c r="F27" i="21"/>
  <c r="J26" i="31"/>
  <c r="J28" i="31" s="1"/>
  <c r="L21" i="58"/>
  <c r="J23" i="34"/>
  <c r="J21" i="17"/>
  <c r="D47" i="41"/>
  <c r="N47" i="41" s="1"/>
  <c r="H25" i="29"/>
  <c r="L13" i="20"/>
  <c r="N40" i="21"/>
  <c r="N49" i="33"/>
  <c r="D10" i="56"/>
  <c r="D27" i="56" s="1"/>
  <c r="N36" i="22"/>
  <c r="D15" i="38"/>
  <c r="N40" i="38"/>
  <c r="D15" i="54"/>
  <c r="F13" i="30"/>
  <c r="F13" i="29"/>
  <c r="J13" i="41"/>
  <c r="H13" i="57"/>
  <c r="H13" i="58"/>
  <c r="N13" i="58" s="1"/>
  <c r="H10" i="57"/>
  <c r="H27" i="57" s="1"/>
  <c r="L20" i="29"/>
  <c r="F10" i="29"/>
  <c r="J10" i="21"/>
  <c r="J27" i="21" s="1"/>
  <c r="J48" i="14"/>
  <c r="L20" i="58"/>
  <c r="L23" i="58" s="1"/>
  <c r="N46" i="58"/>
  <c r="D21" i="38"/>
  <c r="L13" i="21"/>
  <c r="N13" i="21" s="1"/>
  <c r="L15" i="31"/>
  <c r="N46" i="31"/>
  <c r="L13" i="22"/>
  <c r="F13" i="38"/>
  <c r="N30" i="30"/>
  <c r="H13" i="30"/>
  <c r="D112" i="25"/>
  <c r="N16" i="41"/>
  <c r="L13" i="41"/>
  <c r="J13" i="57"/>
  <c r="J20" i="29"/>
  <c r="F23" i="30"/>
  <c r="L40" i="14"/>
  <c r="F23" i="34"/>
  <c r="J10" i="40"/>
  <c r="J25" i="40" s="1"/>
  <c r="L22" i="54"/>
  <c r="F27" i="18"/>
  <c r="L14" i="51"/>
  <c r="H15" i="34"/>
  <c r="D20" i="56"/>
  <c r="N30" i="20"/>
  <c r="F14" i="21"/>
  <c r="N32" i="21"/>
  <c r="F14" i="31"/>
  <c r="N14" i="31" s="1"/>
  <c r="L13" i="38"/>
  <c r="L14" i="40"/>
  <c r="J13" i="40"/>
  <c r="L13" i="54"/>
  <c r="N49" i="17"/>
  <c r="J13" i="29"/>
  <c r="N15" i="25"/>
  <c r="N32" i="57"/>
  <c r="L13" i="57"/>
  <c r="H14" i="57"/>
  <c r="N36" i="31"/>
  <c r="L23" i="40"/>
  <c r="H10" i="40"/>
  <c r="H26" i="40" s="1"/>
  <c r="J14" i="31"/>
  <c r="N42" i="33"/>
  <c r="D21" i="56"/>
  <c r="N21" i="56" s="1"/>
  <c r="J26" i="17"/>
  <c r="D15" i="21"/>
  <c r="N15" i="21" s="1"/>
  <c r="H13" i="21"/>
  <c r="J14" i="51"/>
  <c r="N48" i="51"/>
  <c r="H13" i="22"/>
  <c r="N48" i="34"/>
  <c r="J13" i="38"/>
  <c r="N13" i="38" s="1"/>
  <c r="L15" i="40"/>
  <c r="J13" i="54"/>
  <c r="N35" i="54"/>
  <c r="N16" i="29"/>
  <c r="N30" i="18"/>
  <c r="F20" i="57"/>
  <c r="F20" i="29"/>
  <c r="F23" i="29" s="1"/>
  <c r="L21" i="31"/>
  <c r="L23" i="38"/>
  <c r="J20" i="40"/>
  <c r="N20" i="40" s="1"/>
  <c r="L21" i="54"/>
  <c r="L23" i="54" s="1"/>
  <c r="N49" i="20"/>
  <c r="H15" i="31"/>
  <c r="L15" i="51"/>
  <c r="N15" i="51" s="1"/>
  <c r="F13" i="22"/>
  <c r="D14" i="55"/>
  <c r="N14" i="55" s="1"/>
  <c r="N32" i="38"/>
  <c r="N48" i="42"/>
  <c r="L13" i="30"/>
  <c r="N13" i="30" s="1"/>
  <c r="J14" i="41"/>
  <c r="L15" i="56"/>
  <c r="L15" i="57"/>
  <c r="F14" i="58"/>
  <c r="J21" i="18"/>
  <c r="J23" i="21"/>
  <c r="J21" i="31"/>
  <c r="J23" i="31" s="1"/>
  <c r="F23" i="17"/>
  <c r="H23" i="21"/>
  <c r="L22" i="22"/>
  <c r="L23" i="22" s="1"/>
  <c r="N22" i="55"/>
  <c r="H23" i="38"/>
  <c r="F23" i="40"/>
  <c r="N47" i="17"/>
  <c r="D10" i="17"/>
  <c r="D20" i="17"/>
  <c r="D21" i="17"/>
  <c r="N22" i="17"/>
  <c r="D13" i="17"/>
  <c r="N36" i="17"/>
  <c r="N41" i="17"/>
  <c r="N35" i="17"/>
  <c r="D14" i="17"/>
  <c r="D15" i="17"/>
  <c r="N15" i="17" s="1"/>
  <c r="L14" i="17"/>
  <c r="L25" i="17"/>
  <c r="L27" i="17"/>
  <c r="L26" i="17"/>
  <c r="J14" i="17"/>
  <c r="H14" i="17"/>
  <c r="F14" i="17"/>
  <c r="H13" i="17"/>
  <c r="F26" i="17"/>
  <c r="J25" i="17"/>
  <c r="J20" i="17"/>
  <c r="N50" i="54"/>
  <c r="D22" i="54"/>
  <c r="D20" i="54"/>
  <c r="D23" i="54" s="1"/>
  <c r="D25" i="54"/>
  <c r="D26" i="54"/>
  <c r="N16" i="54"/>
  <c r="N49" i="54"/>
  <c r="N37" i="54"/>
  <c r="N40" i="54"/>
  <c r="N32" i="54"/>
  <c r="H14" i="54"/>
  <c r="J22" i="54"/>
  <c r="H13" i="54"/>
  <c r="F22" i="54"/>
  <c r="J21" i="54"/>
  <c r="L26" i="54"/>
  <c r="L28" i="54" s="1"/>
  <c r="H21" i="54"/>
  <c r="H23" i="54" s="1"/>
  <c r="J10" i="54"/>
  <c r="F21" i="54"/>
  <c r="H10" i="54"/>
  <c r="F10" i="54"/>
  <c r="H16" i="14"/>
  <c r="D10" i="42"/>
  <c r="D27" i="42" s="1"/>
  <c r="D21" i="42"/>
  <c r="N21" i="42" s="1"/>
  <c r="D22" i="42"/>
  <c r="N22" i="42" s="1"/>
  <c r="D26" i="42"/>
  <c r="D25" i="42"/>
  <c r="D20" i="42"/>
  <c r="D14" i="42"/>
  <c r="N41" i="42"/>
  <c r="N35" i="42"/>
  <c r="D15" i="42"/>
  <c r="D13" i="42"/>
  <c r="N50" i="49"/>
  <c r="D21" i="49"/>
  <c r="N21" i="49" s="1"/>
  <c r="D22" i="49"/>
  <c r="N22" i="49" s="1"/>
  <c r="D25" i="49"/>
  <c r="D26" i="49"/>
  <c r="N45" i="49"/>
  <c r="N46" i="49"/>
  <c r="N32" i="49"/>
  <c r="N40" i="49"/>
  <c r="D15" i="49"/>
  <c r="D14" i="49"/>
  <c r="H50" i="14"/>
  <c r="N47" i="40"/>
  <c r="D15" i="40"/>
  <c r="N15" i="40" s="1"/>
  <c r="D10" i="40"/>
  <c r="D25" i="40" s="1"/>
  <c r="D26" i="40"/>
  <c r="D23" i="40"/>
  <c r="N46" i="40"/>
  <c r="N40" i="40"/>
  <c r="N32" i="40"/>
  <c r="L26" i="40"/>
  <c r="L27" i="40"/>
  <c r="L25" i="40"/>
  <c r="J26" i="40"/>
  <c r="D14" i="40"/>
  <c r="F14" i="40"/>
  <c r="J14" i="40"/>
  <c r="J22" i="40"/>
  <c r="N22" i="40" s="1"/>
  <c r="J21" i="40"/>
  <c r="H21" i="40"/>
  <c r="H23" i="40" s="1"/>
  <c r="N49" i="38"/>
  <c r="D20" i="38"/>
  <c r="N20" i="38" s="1"/>
  <c r="D25" i="38"/>
  <c r="D26" i="38"/>
  <c r="N22" i="38"/>
  <c r="N45" i="38"/>
  <c r="N37" i="38"/>
  <c r="N36" i="38"/>
  <c r="N42" i="38"/>
  <c r="F28" i="38"/>
  <c r="L26" i="38"/>
  <c r="L27" i="38"/>
  <c r="L25" i="38"/>
  <c r="J26" i="38"/>
  <c r="J25" i="38"/>
  <c r="J27" i="38"/>
  <c r="F14" i="38"/>
  <c r="D14" i="38"/>
  <c r="N15" i="38"/>
  <c r="L36" i="14"/>
  <c r="H26" i="38"/>
  <c r="H28" i="38" s="1"/>
  <c r="L14" i="38"/>
  <c r="J14" i="38"/>
  <c r="J21" i="38"/>
  <c r="J23" i="38" s="1"/>
  <c r="D10" i="39"/>
  <c r="D27" i="39" s="1"/>
  <c r="N47" i="39"/>
  <c r="N50" i="39"/>
  <c r="D22" i="39"/>
  <c r="D21" i="39"/>
  <c r="D20" i="39"/>
  <c r="N36" i="39"/>
  <c r="N16" i="39"/>
  <c r="N42" i="39"/>
  <c r="N41" i="39"/>
  <c r="D14" i="39"/>
  <c r="D13" i="39"/>
  <c r="N15" i="39"/>
  <c r="L28" i="39"/>
  <c r="F14" i="39"/>
  <c r="F22" i="39"/>
  <c r="H21" i="39"/>
  <c r="H23" i="39" s="1"/>
  <c r="F21" i="39"/>
  <c r="F10" i="39"/>
  <c r="J20" i="39"/>
  <c r="J23" i="39" s="1"/>
  <c r="N35" i="55"/>
  <c r="N32" i="55"/>
  <c r="D50" i="55"/>
  <c r="N50" i="55" s="1"/>
  <c r="D49" i="55"/>
  <c r="N49" i="55" s="1"/>
  <c r="D20" i="55"/>
  <c r="N20" i="55" s="1"/>
  <c r="D10" i="55"/>
  <c r="D27" i="55" s="1"/>
  <c r="D21" i="55"/>
  <c r="N21" i="55" s="1"/>
  <c r="D26" i="55"/>
  <c r="D13" i="55"/>
  <c r="N13" i="55" s="1"/>
  <c r="N40" i="55"/>
  <c r="D15" i="55"/>
  <c r="N47" i="47"/>
  <c r="D20" i="47"/>
  <c r="N20" i="47" s="1"/>
  <c r="D22" i="47"/>
  <c r="N22" i="47" s="1"/>
  <c r="D10" i="47"/>
  <c r="N41" i="47"/>
  <c r="N35" i="47"/>
  <c r="N40" i="47"/>
  <c r="N32" i="47"/>
  <c r="N13" i="47"/>
  <c r="N15" i="47"/>
  <c r="L32" i="14"/>
  <c r="N50" i="34"/>
  <c r="D10" i="34"/>
  <c r="D27" i="34" s="1"/>
  <c r="N22" i="34"/>
  <c r="N37" i="34"/>
  <c r="N45" i="34"/>
  <c r="N46" i="34"/>
  <c r="N40" i="34"/>
  <c r="N32" i="34"/>
  <c r="L15" i="34"/>
  <c r="L13" i="34"/>
  <c r="N13" i="34" s="1"/>
  <c r="H14" i="34"/>
  <c r="J14" i="34"/>
  <c r="L14" i="34"/>
  <c r="F14" i="34"/>
  <c r="L37" i="14"/>
  <c r="F27" i="34"/>
  <c r="L26" i="34"/>
  <c r="D14" i="34"/>
  <c r="F26" i="34"/>
  <c r="L25" i="34"/>
  <c r="J25" i="34"/>
  <c r="J27" i="34"/>
  <c r="N48" i="23"/>
  <c r="D21" i="23"/>
  <c r="N21" i="23" s="1"/>
  <c r="D20" i="23"/>
  <c r="D10" i="23"/>
  <c r="D14" i="23"/>
  <c r="N30" i="23"/>
  <c r="N45" i="23"/>
  <c r="N42" i="23"/>
  <c r="N49" i="23"/>
  <c r="D32" i="23"/>
  <c r="N32" i="23" s="1"/>
  <c r="D13" i="23"/>
  <c r="N22" i="23"/>
  <c r="N15" i="23"/>
  <c r="D25" i="22"/>
  <c r="D26" i="22"/>
  <c r="D22" i="22"/>
  <c r="D23" i="22" s="1"/>
  <c r="N49" i="22"/>
  <c r="N45" i="22"/>
  <c r="N37" i="22"/>
  <c r="D13" i="22"/>
  <c r="N13" i="22" s="1"/>
  <c r="D14" i="22"/>
  <c r="F14" i="22"/>
  <c r="L26" i="22"/>
  <c r="L25" i="22"/>
  <c r="L27" i="22"/>
  <c r="H14" i="22"/>
  <c r="F26" i="22"/>
  <c r="F27" i="22"/>
  <c r="F25" i="22"/>
  <c r="F20" i="22"/>
  <c r="J22" i="22"/>
  <c r="F22" i="22"/>
  <c r="N22" i="22" s="1"/>
  <c r="J21" i="22"/>
  <c r="H21" i="22"/>
  <c r="H23" i="22" s="1"/>
  <c r="F21" i="22"/>
  <c r="H10" i="22"/>
  <c r="D14" i="58"/>
  <c r="D20" i="58"/>
  <c r="D21" i="58"/>
  <c r="N21" i="58" s="1"/>
  <c r="D22" i="58"/>
  <c r="D10" i="58"/>
  <c r="N42" i="58"/>
  <c r="D32" i="58"/>
  <c r="N32" i="58" s="1"/>
  <c r="N40" i="58"/>
  <c r="L26" i="58"/>
  <c r="L25" i="58"/>
  <c r="L27" i="58"/>
  <c r="H22" i="58"/>
  <c r="H23" i="58" s="1"/>
  <c r="N15" i="58"/>
  <c r="J20" i="58"/>
  <c r="F10" i="58"/>
  <c r="J8" i="14"/>
  <c r="J50" i="14"/>
  <c r="J46" i="14"/>
  <c r="J40" i="14"/>
  <c r="J32" i="14"/>
  <c r="L13" i="58"/>
  <c r="N36" i="58"/>
  <c r="L42" i="14"/>
  <c r="J22" i="58"/>
  <c r="F22" i="58"/>
  <c r="F23" i="58" s="1"/>
  <c r="J10" i="58"/>
  <c r="D10" i="51"/>
  <c r="D25" i="51" s="1"/>
  <c r="D21" i="51"/>
  <c r="N21" i="51" s="1"/>
  <c r="D20" i="51"/>
  <c r="D22" i="51"/>
  <c r="D14" i="51"/>
  <c r="N41" i="51"/>
  <c r="N40" i="51"/>
  <c r="D32" i="51"/>
  <c r="N32" i="51" s="1"/>
  <c r="F14" i="51"/>
  <c r="J23" i="51"/>
  <c r="F27" i="51"/>
  <c r="F25" i="51"/>
  <c r="F26" i="51"/>
  <c r="L20" i="51"/>
  <c r="L22" i="51"/>
  <c r="F13" i="51"/>
  <c r="N13" i="51" s="1"/>
  <c r="L27" i="51"/>
  <c r="L28" i="51" s="1"/>
  <c r="H22" i="51"/>
  <c r="H15" i="51"/>
  <c r="J22" i="51"/>
  <c r="F22" i="51"/>
  <c r="F23" i="51" s="1"/>
  <c r="N47" i="33"/>
  <c r="D15" i="33"/>
  <c r="N15" i="33" s="1"/>
  <c r="D20" i="33"/>
  <c r="N20" i="33" s="1"/>
  <c r="D22" i="33"/>
  <c r="D10" i="33"/>
  <c r="N41" i="33"/>
  <c r="D32" i="33"/>
  <c r="N32" i="33" s="1"/>
  <c r="N21" i="33"/>
  <c r="L47" i="14"/>
  <c r="H32" i="14"/>
  <c r="D14" i="33"/>
  <c r="D26" i="32"/>
  <c r="D20" i="32"/>
  <c r="N20" i="32" s="1"/>
  <c r="D25" i="32"/>
  <c r="D21" i="32"/>
  <c r="N27" i="32"/>
  <c r="D45" i="14"/>
  <c r="N36" i="32"/>
  <c r="N42" i="32"/>
  <c r="D14" i="32"/>
  <c r="D15" i="32"/>
  <c r="D13" i="32"/>
  <c r="L35" i="14"/>
  <c r="L16" i="14"/>
  <c r="N42" i="31"/>
  <c r="D23" i="31"/>
  <c r="F22" i="31"/>
  <c r="N22" i="31" s="1"/>
  <c r="D10" i="31"/>
  <c r="N16" i="31"/>
  <c r="N13" i="31"/>
  <c r="H14" i="31"/>
  <c r="L41" i="14"/>
  <c r="J47" i="14"/>
  <c r="J41" i="14"/>
  <c r="H21" i="31"/>
  <c r="F10" i="31"/>
  <c r="F15" i="31"/>
  <c r="F21" i="31"/>
  <c r="J16" i="14"/>
  <c r="N48" i="31"/>
  <c r="H10" i="31"/>
  <c r="L20" i="31"/>
  <c r="L23" i="31" s="1"/>
  <c r="L27" i="31"/>
  <c r="H20" i="31"/>
  <c r="F16" i="14"/>
  <c r="L25" i="31"/>
  <c r="N42" i="21"/>
  <c r="D16" i="14"/>
  <c r="D10" i="21"/>
  <c r="D25" i="21" s="1"/>
  <c r="D20" i="21"/>
  <c r="N20" i="21" s="1"/>
  <c r="D22" i="21"/>
  <c r="D21" i="21"/>
  <c r="D14" i="21"/>
  <c r="N45" i="21"/>
  <c r="N37" i="21"/>
  <c r="N49" i="21"/>
  <c r="N36" i="21"/>
  <c r="D13" i="21"/>
  <c r="F23" i="21"/>
  <c r="L26" i="21"/>
  <c r="L27" i="21"/>
  <c r="L25" i="21"/>
  <c r="L28" i="21" s="1"/>
  <c r="J25" i="21"/>
  <c r="J26" i="21"/>
  <c r="J14" i="21"/>
  <c r="F47" i="21"/>
  <c r="N47" i="21" s="1"/>
  <c r="F25" i="21"/>
  <c r="H25" i="21"/>
  <c r="H28" i="21" s="1"/>
  <c r="J30" i="14"/>
  <c r="H45" i="14"/>
  <c r="H30" i="14"/>
  <c r="L14" i="21"/>
  <c r="F50" i="21"/>
  <c r="N50" i="21" s="1"/>
  <c r="H26" i="21"/>
  <c r="J42" i="14"/>
  <c r="H14" i="21"/>
  <c r="F22" i="20"/>
  <c r="N47" i="20"/>
  <c r="N50" i="20"/>
  <c r="N48" i="20"/>
  <c r="D22" i="20"/>
  <c r="D21" i="20"/>
  <c r="D10" i="20"/>
  <c r="D26" i="20" s="1"/>
  <c r="N41" i="20"/>
  <c r="N42" i="20"/>
  <c r="N35" i="20"/>
  <c r="N40" i="20"/>
  <c r="N20" i="20"/>
  <c r="N13" i="20"/>
  <c r="L14" i="20"/>
  <c r="J14" i="20"/>
  <c r="N15" i="20"/>
  <c r="L49" i="14"/>
  <c r="L45" i="14"/>
  <c r="H22" i="20"/>
  <c r="H23" i="20" s="1"/>
  <c r="L27" i="20"/>
  <c r="L25" i="20"/>
  <c r="J36" i="14"/>
  <c r="H10" i="20"/>
  <c r="F10" i="20"/>
  <c r="F42" i="14"/>
  <c r="F36" i="14"/>
  <c r="F21" i="20"/>
  <c r="L15" i="20"/>
  <c r="L50" i="14"/>
  <c r="H48" i="14"/>
  <c r="H42" i="14"/>
  <c r="J25" i="20"/>
  <c r="J27" i="20"/>
  <c r="N47" i="30"/>
  <c r="N50" i="30"/>
  <c r="D14" i="30"/>
  <c r="D9" i="14"/>
  <c r="N21" i="30"/>
  <c r="D10" i="30"/>
  <c r="N41" i="30"/>
  <c r="N35" i="30"/>
  <c r="N40" i="30"/>
  <c r="D15" i="30"/>
  <c r="N15" i="30" s="1"/>
  <c r="N22" i="30"/>
  <c r="L23" i="30"/>
  <c r="H25" i="30"/>
  <c r="H27" i="30"/>
  <c r="H41" i="14"/>
  <c r="H46" i="14"/>
  <c r="H40" i="14"/>
  <c r="H47" i="14"/>
  <c r="F27" i="30"/>
  <c r="L26" i="30"/>
  <c r="D10" i="29"/>
  <c r="D20" i="29"/>
  <c r="D21" i="29"/>
  <c r="N21" i="29" s="1"/>
  <c r="D27" i="29"/>
  <c r="D25" i="29"/>
  <c r="D26" i="29"/>
  <c r="D22" i="29"/>
  <c r="D15" i="29"/>
  <c r="N15" i="29" s="1"/>
  <c r="F14" i="29"/>
  <c r="D14" i="29"/>
  <c r="H23" i="29"/>
  <c r="J14" i="29"/>
  <c r="L23" i="29"/>
  <c r="F26" i="29"/>
  <c r="F25" i="29"/>
  <c r="F27" i="29"/>
  <c r="L14" i="29"/>
  <c r="J9" i="14"/>
  <c r="N45" i="29"/>
  <c r="F45" i="14"/>
  <c r="F49" i="14"/>
  <c r="F37" i="14"/>
  <c r="H27" i="29"/>
  <c r="H28" i="29" s="1"/>
  <c r="J22" i="29"/>
  <c r="L10" i="29"/>
  <c r="J10" i="29"/>
  <c r="N49" i="25"/>
  <c r="N35" i="25"/>
  <c r="D46" i="14"/>
  <c r="N13" i="25"/>
  <c r="F30" i="14"/>
  <c r="F112" i="25"/>
  <c r="N22" i="25"/>
  <c r="J35" i="14"/>
  <c r="N16" i="25"/>
  <c r="H35" i="14"/>
  <c r="N42" i="25"/>
  <c r="N45" i="25"/>
  <c r="H49" i="14"/>
  <c r="N47" i="56"/>
  <c r="F26" i="56"/>
  <c r="F25" i="56"/>
  <c r="F27" i="56"/>
  <c r="D26" i="56"/>
  <c r="D25" i="56"/>
  <c r="N41" i="56"/>
  <c r="N35" i="56"/>
  <c r="D14" i="56"/>
  <c r="J25" i="56"/>
  <c r="J27" i="56"/>
  <c r="J26" i="56"/>
  <c r="H23" i="56"/>
  <c r="N15" i="56"/>
  <c r="L14" i="56"/>
  <c r="L13" i="56"/>
  <c r="N13" i="56" s="1"/>
  <c r="F35" i="14"/>
  <c r="F41" i="14"/>
  <c r="J22" i="56"/>
  <c r="N22" i="56" s="1"/>
  <c r="L25" i="56"/>
  <c r="L26" i="56"/>
  <c r="L48" i="14"/>
  <c r="H26" i="56"/>
  <c r="H28" i="56" s="1"/>
  <c r="N50" i="41"/>
  <c r="D49" i="41"/>
  <c r="N49" i="41" s="1"/>
  <c r="D48" i="41"/>
  <c r="N48" i="41" s="1"/>
  <c r="D50" i="14"/>
  <c r="D26" i="41"/>
  <c r="D25" i="41"/>
  <c r="D27" i="41"/>
  <c r="D21" i="41"/>
  <c r="D23" i="41" s="1"/>
  <c r="D8" i="14"/>
  <c r="D13" i="41"/>
  <c r="N46" i="41"/>
  <c r="N32" i="41"/>
  <c r="D15" i="41"/>
  <c r="D14" i="41"/>
  <c r="H14" i="41"/>
  <c r="F25" i="41"/>
  <c r="F27" i="41"/>
  <c r="F26" i="41"/>
  <c r="N13" i="41"/>
  <c r="F50" i="14"/>
  <c r="F46" i="14"/>
  <c r="F40" i="14"/>
  <c r="J20" i="41"/>
  <c r="H27" i="41"/>
  <c r="H20" i="41"/>
  <c r="L22" i="41"/>
  <c r="L23" i="41" s="1"/>
  <c r="H25" i="41"/>
  <c r="J22" i="41"/>
  <c r="N22" i="41" s="1"/>
  <c r="J10" i="41"/>
  <c r="D10" i="57"/>
  <c r="D27" i="57" s="1"/>
  <c r="D23" i="57"/>
  <c r="N45" i="57"/>
  <c r="D36" i="14"/>
  <c r="D37" i="14"/>
  <c r="D41" i="14"/>
  <c r="N37" i="57"/>
  <c r="F15" i="57"/>
  <c r="F13" i="57"/>
  <c r="F14" i="57"/>
  <c r="D14" i="57"/>
  <c r="H26" i="57"/>
  <c r="H25" i="57"/>
  <c r="J14" i="57"/>
  <c r="F23" i="57"/>
  <c r="N20" i="57"/>
  <c r="H15" i="57"/>
  <c r="L9" i="14"/>
  <c r="L14" i="57"/>
  <c r="F27" i="57"/>
  <c r="J45" i="14"/>
  <c r="J37" i="14"/>
  <c r="J49" i="14"/>
  <c r="H37" i="14"/>
  <c r="J22" i="57"/>
  <c r="J15" i="14"/>
  <c r="F25" i="57"/>
  <c r="L21" i="57"/>
  <c r="N21" i="57" s="1"/>
  <c r="L10" i="57"/>
  <c r="D15" i="18"/>
  <c r="N49" i="18"/>
  <c r="N48" i="18"/>
  <c r="D20" i="18"/>
  <c r="D23" i="18" s="1"/>
  <c r="D10" i="18"/>
  <c r="D25" i="18" s="1"/>
  <c r="N36" i="18"/>
  <c r="N41" i="18"/>
  <c r="N37" i="18"/>
  <c r="N32" i="18"/>
  <c r="D14" i="18"/>
  <c r="J25" i="18"/>
  <c r="J26" i="18"/>
  <c r="J27" i="18"/>
  <c r="N21" i="18"/>
  <c r="F48" i="14"/>
  <c r="N45" i="18"/>
  <c r="N50" i="18"/>
  <c r="L14" i="18"/>
  <c r="L22" i="18"/>
  <c r="F32" i="14"/>
  <c r="H36" i="14"/>
  <c r="N47" i="18"/>
  <c r="L8" i="14"/>
  <c r="F25" i="18"/>
  <c r="N42" i="18"/>
  <c r="H22" i="18"/>
  <c r="H22" i="14" s="1"/>
  <c r="L10" i="18"/>
  <c r="H10" i="18"/>
  <c r="H20" i="18"/>
  <c r="H8" i="14"/>
  <c r="L13" i="18"/>
  <c r="N21" i="17" l="1"/>
  <c r="N13" i="54"/>
  <c r="N14" i="54"/>
  <c r="D23" i="42"/>
  <c r="N15" i="49"/>
  <c r="D27" i="40"/>
  <c r="N13" i="40"/>
  <c r="N21" i="40"/>
  <c r="H25" i="40"/>
  <c r="H27" i="40"/>
  <c r="J27" i="40"/>
  <c r="D23" i="38"/>
  <c r="N23" i="38" s="1"/>
  <c r="N27" i="38"/>
  <c r="J13" i="14"/>
  <c r="D25" i="34"/>
  <c r="D26" i="34"/>
  <c r="D23" i="34"/>
  <c r="N23" i="34" s="1"/>
  <c r="H25" i="34"/>
  <c r="H27" i="34"/>
  <c r="H26" i="34"/>
  <c r="N26" i="34" s="1"/>
  <c r="N14" i="58"/>
  <c r="H26" i="51"/>
  <c r="H27" i="51"/>
  <c r="H25" i="51"/>
  <c r="H28" i="51" s="1"/>
  <c r="J25" i="51"/>
  <c r="H23" i="51"/>
  <c r="N21" i="31"/>
  <c r="D26" i="21"/>
  <c r="N21" i="21"/>
  <c r="N22" i="21"/>
  <c r="L28" i="20"/>
  <c r="L15" i="14"/>
  <c r="N14" i="30"/>
  <c r="L25" i="30"/>
  <c r="H10" i="14"/>
  <c r="N20" i="30"/>
  <c r="F25" i="30"/>
  <c r="F28" i="30" s="1"/>
  <c r="F26" i="30"/>
  <c r="N23" i="30"/>
  <c r="D40" i="14"/>
  <c r="N40" i="14" s="1"/>
  <c r="D42" i="14"/>
  <c r="N42" i="14" s="1"/>
  <c r="D35" i="14"/>
  <c r="N35" i="14" s="1"/>
  <c r="N20" i="29"/>
  <c r="J23" i="29"/>
  <c r="F14" i="25"/>
  <c r="F28" i="56"/>
  <c r="J23" i="56"/>
  <c r="N20" i="56"/>
  <c r="D49" i="14"/>
  <c r="N49" i="14" s="1"/>
  <c r="D47" i="14"/>
  <c r="N15" i="41"/>
  <c r="H13" i="14"/>
  <c r="L28" i="41"/>
  <c r="L23" i="57"/>
  <c r="N13" i="57"/>
  <c r="F15" i="14"/>
  <c r="J23" i="18"/>
  <c r="J21" i="14"/>
  <c r="D25" i="57"/>
  <c r="L28" i="38"/>
  <c r="F28" i="40"/>
  <c r="N13" i="39"/>
  <c r="J23" i="22"/>
  <c r="J28" i="51"/>
  <c r="H21" i="14"/>
  <c r="D32" i="14"/>
  <c r="N32" i="14" s="1"/>
  <c r="N25" i="56"/>
  <c r="D27" i="21"/>
  <c r="D28" i="21" s="1"/>
  <c r="J23" i="54"/>
  <c r="N27" i="42"/>
  <c r="N26" i="42"/>
  <c r="N15" i="57"/>
  <c r="J23" i="41"/>
  <c r="D23" i="29"/>
  <c r="N23" i="29" s="1"/>
  <c r="N15" i="31"/>
  <c r="N22" i="54"/>
  <c r="N21" i="47"/>
  <c r="D20" i="14"/>
  <c r="D23" i="56"/>
  <c r="N23" i="56" s="1"/>
  <c r="N13" i="29"/>
  <c r="N13" i="32"/>
  <c r="N21" i="32"/>
  <c r="N14" i="38"/>
  <c r="J14" i="14"/>
  <c r="D28" i="42"/>
  <c r="H28" i="58"/>
  <c r="L13" i="14"/>
  <c r="N26" i="40"/>
  <c r="D25" i="39"/>
  <c r="D28" i="39" s="1"/>
  <c r="N25" i="42"/>
  <c r="N13" i="17"/>
  <c r="N14" i="18"/>
  <c r="D13" i="14"/>
  <c r="N14" i="51"/>
  <c r="D26" i="39"/>
  <c r="J28" i="40"/>
  <c r="N20" i="54"/>
  <c r="D26" i="57"/>
  <c r="D28" i="57" s="1"/>
  <c r="D27" i="51"/>
  <c r="N27" i="51" s="1"/>
  <c r="L28" i="22"/>
  <c r="L28" i="34"/>
  <c r="F23" i="41"/>
  <c r="L21" i="14"/>
  <c r="N26" i="32"/>
  <c r="D26" i="51"/>
  <c r="L28" i="40"/>
  <c r="N27" i="56"/>
  <c r="H28" i="57"/>
  <c r="N30" i="25"/>
  <c r="N21" i="20"/>
  <c r="L28" i="31"/>
  <c r="D23" i="51"/>
  <c r="N14" i="34"/>
  <c r="J23" i="40"/>
  <c r="N23" i="40" s="1"/>
  <c r="N20" i="49"/>
  <c r="N14" i="17"/>
  <c r="D23" i="17"/>
  <c r="D26" i="17"/>
  <c r="N26" i="17" s="1"/>
  <c r="D27" i="17"/>
  <c r="N27" i="17" s="1"/>
  <c r="D25" i="17"/>
  <c r="J28" i="17"/>
  <c r="L28" i="17"/>
  <c r="F28" i="17"/>
  <c r="J23" i="17"/>
  <c r="N23" i="17" s="1"/>
  <c r="N20" i="17"/>
  <c r="D28" i="54"/>
  <c r="J27" i="54"/>
  <c r="J25" i="54"/>
  <c r="J26" i="54"/>
  <c r="F23" i="54"/>
  <c r="N23" i="54" s="1"/>
  <c r="F26" i="54"/>
  <c r="F27" i="54"/>
  <c r="F25" i="54"/>
  <c r="H25" i="54"/>
  <c r="H27" i="54"/>
  <c r="H26" i="54"/>
  <c r="N21" i="54"/>
  <c r="N15" i="42"/>
  <c r="N20" i="42"/>
  <c r="N23" i="42"/>
  <c r="N13" i="42"/>
  <c r="H14" i="14"/>
  <c r="N14" i="42"/>
  <c r="D23" i="49"/>
  <c r="N23" i="49" s="1"/>
  <c r="D28" i="49"/>
  <c r="N26" i="49"/>
  <c r="N14" i="49"/>
  <c r="N25" i="49"/>
  <c r="N28" i="49"/>
  <c r="D28" i="40"/>
  <c r="N27" i="40"/>
  <c r="N14" i="40"/>
  <c r="N25" i="40"/>
  <c r="H28" i="40"/>
  <c r="D28" i="38"/>
  <c r="J28" i="38"/>
  <c r="N21" i="38"/>
  <c r="N26" i="38"/>
  <c r="N25" i="38"/>
  <c r="N28" i="38"/>
  <c r="N22" i="39"/>
  <c r="N14" i="39"/>
  <c r="N21" i="39"/>
  <c r="D23" i="39"/>
  <c r="F26" i="39"/>
  <c r="N26" i="39" s="1"/>
  <c r="F27" i="39"/>
  <c r="N27" i="39" s="1"/>
  <c r="F25" i="39"/>
  <c r="N20" i="39"/>
  <c r="F23" i="39"/>
  <c r="N27" i="55"/>
  <c r="N26" i="55"/>
  <c r="D25" i="55"/>
  <c r="D28" i="55" s="1"/>
  <c r="D23" i="55"/>
  <c r="D23" i="47"/>
  <c r="N23" i="47" s="1"/>
  <c r="D27" i="47"/>
  <c r="N27" i="47" s="1"/>
  <c r="D26" i="47"/>
  <c r="N26" i="47" s="1"/>
  <c r="D25" i="47"/>
  <c r="N14" i="47"/>
  <c r="N25" i="47"/>
  <c r="D28" i="34"/>
  <c r="J28" i="34"/>
  <c r="N27" i="34"/>
  <c r="N25" i="34"/>
  <c r="F28" i="34"/>
  <c r="D23" i="23"/>
  <c r="N14" i="23"/>
  <c r="D25" i="23"/>
  <c r="D26" i="23"/>
  <c r="D27" i="23"/>
  <c r="N27" i="23" s="1"/>
  <c r="N13" i="23"/>
  <c r="N20" i="23"/>
  <c r="N23" i="23"/>
  <c r="D28" i="22"/>
  <c r="N20" i="22"/>
  <c r="F23" i="22"/>
  <c r="F28" i="22"/>
  <c r="H27" i="22"/>
  <c r="N27" i="22" s="1"/>
  <c r="H26" i="22"/>
  <c r="N26" i="22" s="1"/>
  <c r="H25" i="22"/>
  <c r="N21" i="22"/>
  <c r="N14" i="22"/>
  <c r="D26" i="58"/>
  <c r="D25" i="58"/>
  <c r="D27" i="58"/>
  <c r="D23" i="58"/>
  <c r="F26" i="58"/>
  <c r="F27" i="58"/>
  <c r="F25" i="58"/>
  <c r="N20" i="58"/>
  <c r="J23" i="58"/>
  <c r="J26" i="58"/>
  <c r="J27" i="58"/>
  <c r="J25" i="58"/>
  <c r="J28" i="58" s="1"/>
  <c r="N22" i="58"/>
  <c r="J10" i="14"/>
  <c r="L28" i="58"/>
  <c r="L23" i="51"/>
  <c r="N20" i="51"/>
  <c r="F13" i="14"/>
  <c r="N25" i="51"/>
  <c r="F28" i="51"/>
  <c r="N22" i="51"/>
  <c r="D26" i="33"/>
  <c r="N26" i="33" s="1"/>
  <c r="D27" i="33"/>
  <c r="D25" i="33"/>
  <c r="D23" i="33"/>
  <c r="N13" i="33"/>
  <c r="N22" i="33"/>
  <c r="N23" i="33"/>
  <c r="L22" i="14"/>
  <c r="N14" i="33"/>
  <c r="N15" i="32"/>
  <c r="D28" i="32"/>
  <c r="D23" i="32"/>
  <c r="N23" i="32" s="1"/>
  <c r="N14" i="32"/>
  <c r="L10" i="14"/>
  <c r="N28" i="32"/>
  <c r="N25" i="32"/>
  <c r="N22" i="32"/>
  <c r="D27" i="31"/>
  <c r="D26" i="31"/>
  <c r="D25" i="31"/>
  <c r="N16" i="14"/>
  <c r="F27" i="31"/>
  <c r="F26" i="31"/>
  <c r="F25" i="31"/>
  <c r="L20" i="14"/>
  <c r="H25" i="31"/>
  <c r="H26" i="31"/>
  <c r="H27" i="31"/>
  <c r="N20" i="31"/>
  <c r="H23" i="31"/>
  <c r="F23" i="31"/>
  <c r="N26" i="21"/>
  <c r="D23" i="21"/>
  <c r="N23" i="21" s="1"/>
  <c r="N14" i="21"/>
  <c r="N25" i="21"/>
  <c r="F28" i="21"/>
  <c r="F47" i="14"/>
  <c r="J28" i="21"/>
  <c r="D23" i="20"/>
  <c r="D10" i="14"/>
  <c r="D27" i="20"/>
  <c r="D25" i="20"/>
  <c r="N14" i="20"/>
  <c r="J28" i="20"/>
  <c r="N22" i="20"/>
  <c r="F27" i="20"/>
  <c r="F25" i="20"/>
  <c r="F26" i="20"/>
  <c r="F23" i="20"/>
  <c r="N23" i="20" s="1"/>
  <c r="N45" i="14"/>
  <c r="H26" i="20"/>
  <c r="H27" i="20"/>
  <c r="H25" i="20"/>
  <c r="D27" i="30"/>
  <c r="N27" i="30" s="1"/>
  <c r="D25" i="30"/>
  <c r="N25" i="30" s="1"/>
  <c r="D26" i="30"/>
  <c r="H28" i="30"/>
  <c r="L28" i="30"/>
  <c r="D22" i="14"/>
  <c r="D28" i="29"/>
  <c r="F28" i="29"/>
  <c r="J25" i="29"/>
  <c r="J26" i="29"/>
  <c r="J27" i="29"/>
  <c r="N27" i="29" s="1"/>
  <c r="L27" i="29"/>
  <c r="L25" i="29"/>
  <c r="L26" i="29"/>
  <c r="N22" i="29"/>
  <c r="N14" i="29"/>
  <c r="N46" i="14"/>
  <c r="F8" i="14"/>
  <c r="F10" i="14" s="1"/>
  <c r="N14" i="25"/>
  <c r="N41" i="14"/>
  <c r="F22" i="14"/>
  <c r="D30" i="14"/>
  <c r="F14" i="14"/>
  <c r="N14" i="56"/>
  <c r="D28" i="56"/>
  <c r="N26" i="56"/>
  <c r="L28" i="56"/>
  <c r="L14" i="14"/>
  <c r="N50" i="14"/>
  <c r="J28" i="56"/>
  <c r="N28" i="56" s="1"/>
  <c r="D15" i="14"/>
  <c r="D48" i="14"/>
  <c r="N48" i="14" s="1"/>
  <c r="D21" i="14"/>
  <c r="D28" i="41"/>
  <c r="N21" i="41"/>
  <c r="N36" i="14"/>
  <c r="J20" i="14"/>
  <c r="J27" i="41"/>
  <c r="N27" i="41" s="1"/>
  <c r="J25" i="41"/>
  <c r="N25" i="41" s="1"/>
  <c r="J26" i="41"/>
  <c r="N26" i="41" s="1"/>
  <c r="F28" i="41"/>
  <c r="H28" i="41"/>
  <c r="N14" i="41"/>
  <c r="N37" i="14"/>
  <c r="H23" i="41"/>
  <c r="N23" i="41" s="1"/>
  <c r="N20" i="41"/>
  <c r="H15" i="14"/>
  <c r="F28" i="57"/>
  <c r="N22" i="57"/>
  <c r="J22" i="14"/>
  <c r="L27" i="57"/>
  <c r="L25" i="57"/>
  <c r="L26" i="57"/>
  <c r="N27" i="57"/>
  <c r="J23" i="57"/>
  <c r="N23" i="57" s="1"/>
  <c r="N14" i="57"/>
  <c r="N15" i="18"/>
  <c r="D27" i="18"/>
  <c r="D26" i="18"/>
  <c r="D14" i="14"/>
  <c r="H23" i="18"/>
  <c r="H20" i="14"/>
  <c r="L25" i="18"/>
  <c r="L26" i="18"/>
  <c r="L27" i="18"/>
  <c r="N22" i="18"/>
  <c r="J28" i="18"/>
  <c r="H26" i="18"/>
  <c r="H27" i="18"/>
  <c r="H25" i="18"/>
  <c r="N13" i="18"/>
  <c r="N20" i="18"/>
  <c r="L23" i="18"/>
  <c r="F28" i="18"/>
  <c r="H28" i="34" l="1"/>
  <c r="N23" i="22"/>
  <c r="D28" i="51"/>
  <c r="N26" i="51"/>
  <c r="N23" i="51"/>
  <c r="D28" i="31"/>
  <c r="N27" i="21"/>
  <c r="D27" i="14"/>
  <c r="N26" i="30"/>
  <c r="N26" i="29"/>
  <c r="J25" i="14"/>
  <c r="N26" i="57"/>
  <c r="D26" i="14"/>
  <c r="N13" i="14"/>
  <c r="H23" i="14"/>
  <c r="N23" i="18"/>
  <c r="D28" i="17"/>
  <c r="N28" i="17" s="1"/>
  <c r="N25" i="55"/>
  <c r="N23" i="31"/>
  <c r="H28" i="22"/>
  <c r="N28" i="22" s="1"/>
  <c r="N28" i="42"/>
  <c r="N28" i="34"/>
  <c r="D25" i="14"/>
  <c r="J27" i="14"/>
  <c r="J26" i="14"/>
  <c r="D28" i="20"/>
  <c r="N23" i="39"/>
  <c r="N28" i="40"/>
  <c r="L27" i="14"/>
  <c r="N23" i="58"/>
  <c r="N28" i="51"/>
  <c r="N25" i="17"/>
  <c r="H28" i="54"/>
  <c r="F28" i="54"/>
  <c r="N25" i="54"/>
  <c r="N27" i="54"/>
  <c r="N26" i="54"/>
  <c r="J28" i="54"/>
  <c r="F28" i="39"/>
  <c r="N28" i="39" s="1"/>
  <c r="N25" i="39"/>
  <c r="N23" i="55"/>
  <c r="N28" i="55"/>
  <c r="D28" i="47"/>
  <c r="N28" i="47" s="1"/>
  <c r="N26" i="23"/>
  <c r="D28" i="23"/>
  <c r="N28" i="23" s="1"/>
  <c r="N25" i="23"/>
  <c r="N25" i="22"/>
  <c r="D28" i="58"/>
  <c r="N25" i="58"/>
  <c r="F28" i="58"/>
  <c r="N27" i="58"/>
  <c r="N26" i="58"/>
  <c r="D28" i="33"/>
  <c r="L23" i="14"/>
  <c r="N25" i="33"/>
  <c r="N27" i="33"/>
  <c r="N47" i="14"/>
  <c r="H28" i="31"/>
  <c r="F28" i="31"/>
  <c r="N28" i="31" s="1"/>
  <c r="N25" i="31"/>
  <c r="N26" i="31"/>
  <c r="N27" i="31"/>
  <c r="N28" i="21"/>
  <c r="H28" i="20"/>
  <c r="N26" i="20"/>
  <c r="N25" i="20"/>
  <c r="F28" i="20"/>
  <c r="N27" i="20"/>
  <c r="D28" i="30"/>
  <c r="N28" i="30" s="1"/>
  <c r="N22" i="14"/>
  <c r="L28" i="29"/>
  <c r="N28" i="29" s="1"/>
  <c r="J28" i="29"/>
  <c r="N25" i="29"/>
  <c r="N30" i="14"/>
  <c r="N21" i="25"/>
  <c r="F21" i="14"/>
  <c r="N21" i="14" s="1"/>
  <c r="N14" i="14"/>
  <c r="N23" i="25"/>
  <c r="N20" i="25"/>
  <c r="F20" i="14"/>
  <c r="N15" i="14"/>
  <c r="D23" i="14"/>
  <c r="J28" i="41"/>
  <c r="N28" i="41"/>
  <c r="L26" i="14"/>
  <c r="J23" i="14"/>
  <c r="L28" i="57"/>
  <c r="N28" i="57" s="1"/>
  <c r="N25" i="57"/>
  <c r="D28" i="18"/>
  <c r="H25" i="14"/>
  <c r="H28" i="18"/>
  <c r="H26" i="14"/>
  <c r="N26" i="18"/>
  <c r="N25" i="18"/>
  <c r="N27" i="18"/>
  <c r="H27" i="14"/>
  <c r="L28" i="18"/>
  <c r="L25" i="14"/>
  <c r="N28" i="58" l="1"/>
  <c r="D28" i="14"/>
  <c r="J28" i="14"/>
  <c r="N28" i="18"/>
  <c r="N28" i="20"/>
  <c r="N28" i="54"/>
  <c r="N28" i="33"/>
  <c r="F23" i="14"/>
  <c r="N23" i="14" s="1"/>
  <c r="N27" i="25"/>
  <c r="F27" i="14"/>
  <c r="N27" i="14" s="1"/>
  <c r="N28" i="25"/>
  <c r="N25" i="25"/>
  <c r="F25" i="14"/>
  <c r="N26" i="25"/>
  <c r="F26" i="14"/>
  <c r="N26" i="14" s="1"/>
  <c r="N20" i="14"/>
  <c r="L28" i="14"/>
  <c r="H28" i="14"/>
  <c r="F28" i="14" l="1"/>
  <c r="N28" i="14" s="1"/>
  <c r="N25" i="14"/>
</calcChain>
</file>

<file path=xl/sharedStrings.xml><?xml version="1.0" encoding="utf-8"?>
<sst xmlns="http://schemas.openxmlformats.org/spreadsheetml/2006/main" count="4023" uniqueCount="121">
  <si>
    <t>Capitalization and Financial Statistics</t>
  </si>
  <si>
    <t>Amount of Capital Employed</t>
  </si>
  <si>
    <t>Capital Structure Ratios</t>
  </si>
  <si>
    <t>x</t>
  </si>
  <si>
    <t>See Page 2 for Notes.</t>
  </si>
  <si>
    <t>Short-Term Debt</t>
  </si>
  <si>
    <t>Permanent Capital</t>
  </si>
  <si>
    <t>Total Capital</t>
  </si>
  <si>
    <t>Market-Based Financial Ratios</t>
  </si>
  <si>
    <t>Dividend Yield</t>
  </si>
  <si>
    <t>Dividend Payout Ratio</t>
  </si>
  <si>
    <t>Based on Permanent Captial:</t>
  </si>
  <si>
    <t>Based on Total Capital:</t>
  </si>
  <si>
    <t>Pre-tax: All Interest Charges</t>
  </si>
  <si>
    <t>Overall Coverage: All Int. &amp; Pfd. Div.</t>
  </si>
  <si>
    <t>Quality of Earnings &amp; Cash Flow</t>
  </si>
  <si>
    <t>AFC/Income Avail. for Common Equity</t>
  </si>
  <si>
    <t>Effective Income Tax Rate</t>
  </si>
  <si>
    <t>(Millions of Dollars)</t>
  </si>
  <si>
    <t>Average</t>
  </si>
  <si>
    <t>Market/Book Ratio</t>
  </si>
  <si>
    <t>Post-tax: All Interest Charges</t>
  </si>
  <si>
    <t>I/S - Operating Revs-Total (MM$)</t>
  </si>
  <si>
    <t>I/S - Operating Inc Taxes-Total (MM$)</t>
  </si>
  <si>
    <t>I/S - Operating Exps-Total (MM$)</t>
  </si>
  <si>
    <t>I/S - Nonoperating Inc Taxes-Net (MM$)</t>
  </si>
  <si>
    <t>I/S - Gross Inc (Inc Bef Int) (MM$)</t>
  </si>
  <si>
    <t>I/S - Interest Charges-Total (MM$)</t>
  </si>
  <si>
    <t>I/S - Allow for Funds Used During Const-Total (MM$)</t>
  </si>
  <si>
    <t>I/S - Subsidiary Preferred Dividends (MM$)</t>
  </si>
  <si>
    <t>I/S - Pref. Dividend Requirements (MM$)</t>
  </si>
  <si>
    <t>I/S - Preference Div. Requirements (MM$)</t>
  </si>
  <si>
    <t>I/S - Available for Common After Adj. for Common SE (MM$)</t>
  </si>
  <si>
    <t>I/S - Earnings/Share (Primary) Excl. Extra. Items ($&amp;¢)</t>
  </si>
  <si>
    <t>B/S - Common Equity-Total (MM$)</t>
  </si>
  <si>
    <t>B/S - Subsidiary Preferred Stock at Carrying Value (MM$)</t>
  </si>
  <si>
    <t>B/S - Premium on Subsidiary Preferred Stock (MM$)</t>
  </si>
  <si>
    <t>B/S - Preferred Stock at Carrying Value (MM$)</t>
  </si>
  <si>
    <t>B/S - Premium on Preferred Stock (MM$)</t>
  </si>
  <si>
    <t>B/S - Preference Stock at Carrying Value (MM$)</t>
  </si>
  <si>
    <t>B/S - Premium on Preference Stock (MM$)</t>
  </si>
  <si>
    <t>B/S - Minority Interest (MM$)</t>
  </si>
  <si>
    <t>B/S - Long-Term Debt (Total) (MM$)</t>
  </si>
  <si>
    <t>B/S - Treasury Stock-Dollar Amount-Preferred (MM$)</t>
  </si>
  <si>
    <t>B/S - Capitalization (MM$)</t>
  </si>
  <si>
    <t>B/S - Debt (Long-Term Due Within One Year) (MM$)</t>
  </si>
  <si>
    <t>B/S - Short-Term Debt (Total) (MM$)</t>
  </si>
  <si>
    <t>B/S - Pref/Preference Stock Sinking Fund Requirement (MM$)</t>
  </si>
  <si>
    <t>C/F - Net Inc Bef Extra Items &amp; After MI (MM$)</t>
  </si>
  <si>
    <t>C/F - Depr. and Depl. (MM$)</t>
  </si>
  <si>
    <t>C/F - Amortization (MM$)</t>
  </si>
  <si>
    <t>C/F - Def. Inc Taxes-Net (MM$)</t>
  </si>
  <si>
    <t>C/F - Invest. Tax Credit-Net (MM$)</t>
  </si>
  <si>
    <t>C/F - Allow for Funds Used During Constr. (MM$)</t>
  </si>
  <si>
    <t>C/F - Util Plant-Gross Additions (MM$)</t>
  </si>
  <si>
    <t>C/F - Cash Div on Common Stock (MM$)</t>
  </si>
  <si>
    <t>C/F - Cash Div on Pref/Preference Stock (MM$)</t>
  </si>
  <si>
    <t>C/F - Interest Paid-Net (MM$)</t>
  </si>
  <si>
    <t>C/F - Inc Taxes Paid (MM$)</t>
  </si>
  <si>
    <t>Common Dividends (MM$)</t>
  </si>
  <si>
    <t>Common Div. Paid per Share by Ex-Date ($&amp;¢)</t>
  </si>
  <si>
    <t>Common Dividends Paid/Share by Payable Date ($&amp;¢)</t>
  </si>
  <si>
    <t>Price-High ($&amp;¢)</t>
  </si>
  <si>
    <t>Price-Low ($&amp;¢)</t>
  </si>
  <si>
    <t>Price-Close ($&amp;¢)</t>
  </si>
  <si>
    <t>Common Shares Outstanding (MM)</t>
  </si>
  <si>
    <t>Book Value per Share</t>
  </si>
  <si>
    <t>Adjustment Factor (Cumulative) by Ex-Date (RATIO)</t>
  </si>
  <si>
    <t>Adjustment Factor (Cumulative)-Payable Date (Ratio)</t>
  </si>
  <si>
    <t>C/F - Other Internal Sources-Net (MM$)</t>
  </si>
  <si>
    <t>Earnings/Share (Primary) Excl. Extra. Items ($&amp;¢)</t>
  </si>
  <si>
    <t>Per Share (or Shares) Adjusted for Splits/Stock Dividends</t>
  </si>
  <si>
    <t>Standard &amp; Poor's Public Utilities</t>
  </si>
  <si>
    <t>AMEREN CORP</t>
  </si>
  <si>
    <t>CMS ENERGY CORP</t>
  </si>
  <si>
    <t>CONSOLIDATED EDISON INC</t>
  </si>
  <si>
    <t>DTE ENERGY CO</t>
  </si>
  <si>
    <t>DUKE ENERGY CORP</t>
  </si>
  <si>
    <t>EDISON INTERNATIONAL</t>
  </si>
  <si>
    <t>ENTERGY CORP</t>
  </si>
  <si>
    <t>EXELON CORP</t>
  </si>
  <si>
    <t>FIRSTENERGY CORP</t>
  </si>
  <si>
    <t>NISOURCE INC</t>
  </si>
  <si>
    <t>PPL CORP</t>
  </si>
  <si>
    <t>SEMPRA ENERGY</t>
  </si>
  <si>
    <t>SOUTHERN CO</t>
  </si>
  <si>
    <t>XCEL ENERGY INC</t>
  </si>
  <si>
    <t>CENTERPOINT ENERGY INC</t>
  </si>
  <si>
    <t>PUBLIC SERVICE ENTRP GRP INC</t>
  </si>
  <si>
    <t>Price-Earnings Multiple</t>
  </si>
  <si>
    <t>PINNACLE WEST CAPITAL CORP</t>
  </si>
  <si>
    <t>Other Comprehensive Income</t>
  </si>
  <si>
    <t>Long-Term Debt</t>
  </si>
  <si>
    <t>Preferred Stock</t>
  </si>
  <si>
    <r>
      <t xml:space="preserve">Common Equity </t>
    </r>
    <r>
      <rPr>
        <vertAlign val="superscript"/>
        <sz val="12"/>
        <rFont val="Arial"/>
        <family val="2"/>
      </rPr>
      <t>(1)</t>
    </r>
  </si>
  <si>
    <t>Total Debt incl. Short Term</t>
  </si>
  <si>
    <r>
      <t xml:space="preserve">Rate of Return on Book Common Equity </t>
    </r>
    <r>
      <rPr>
        <vertAlign val="superscript"/>
        <sz val="12"/>
        <rFont val="Arial"/>
        <family val="2"/>
      </rPr>
      <t>(1)</t>
    </r>
  </si>
  <si>
    <r>
      <t xml:space="preserve">Operating Ratio </t>
    </r>
    <r>
      <rPr>
        <vertAlign val="superscript"/>
        <sz val="12"/>
        <rFont val="Arial"/>
        <family val="2"/>
      </rPr>
      <t>(2)</t>
    </r>
  </si>
  <si>
    <r>
      <t xml:space="preserve">Coverage incl. AFUDC </t>
    </r>
    <r>
      <rPr>
        <vertAlign val="superscript"/>
        <sz val="12"/>
        <rFont val="Arial"/>
        <family val="2"/>
      </rPr>
      <t>(3)</t>
    </r>
  </si>
  <si>
    <r>
      <t xml:space="preserve">Coverage excl. AFUDC </t>
    </r>
    <r>
      <rPr>
        <vertAlign val="superscript"/>
        <sz val="12"/>
        <rFont val="Arial"/>
        <family val="2"/>
      </rPr>
      <t>(4)</t>
    </r>
  </si>
  <si>
    <r>
      <t xml:space="preserve">Internal Cash Generation/Construction </t>
    </r>
    <r>
      <rPr>
        <vertAlign val="superscript"/>
        <sz val="12"/>
        <rFont val="Arial"/>
        <family val="2"/>
      </rPr>
      <t>(5)</t>
    </r>
  </si>
  <si>
    <r>
      <t xml:space="preserve">Gross Cash Flow/ Avg. Total Debt </t>
    </r>
    <r>
      <rPr>
        <vertAlign val="superscript"/>
        <sz val="12"/>
        <rFont val="Arial"/>
        <family val="2"/>
      </rPr>
      <t>(6)</t>
    </r>
  </si>
  <si>
    <r>
      <t xml:space="preserve">Gross Cash Flow Interest Coverage </t>
    </r>
    <r>
      <rPr>
        <vertAlign val="superscript"/>
        <sz val="12"/>
        <rFont val="Arial"/>
        <family val="2"/>
      </rPr>
      <t>(7)</t>
    </r>
  </si>
  <si>
    <r>
      <t xml:space="preserve">Common Dividend Coverage </t>
    </r>
    <r>
      <rPr>
        <vertAlign val="superscript"/>
        <sz val="12"/>
        <rFont val="Arial"/>
        <family val="2"/>
      </rPr>
      <t>(8)</t>
    </r>
  </si>
  <si>
    <r>
      <t xml:space="preserve">Capitalization and Financial Statistics </t>
    </r>
    <r>
      <rPr>
        <vertAlign val="superscript"/>
        <sz val="12"/>
        <rFont val="Arial"/>
        <family val="2"/>
      </rPr>
      <t>(1)</t>
    </r>
  </si>
  <si>
    <r>
      <t xml:space="preserve">Common Equity </t>
    </r>
    <r>
      <rPr>
        <vertAlign val="superscript"/>
        <sz val="12"/>
        <rFont val="Arial"/>
        <family val="2"/>
      </rPr>
      <t>(2)</t>
    </r>
  </si>
  <si>
    <r>
      <t xml:space="preserve">Rate of Return on Book Common Equity </t>
    </r>
    <r>
      <rPr>
        <vertAlign val="superscript"/>
        <sz val="12"/>
        <rFont val="Arial"/>
        <family val="2"/>
      </rPr>
      <t>(2)</t>
    </r>
  </si>
  <si>
    <r>
      <t xml:space="preserve">Operating Ratio </t>
    </r>
    <r>
      <rPr>
        <vertAlign val="superscript"/>
        <sz val="12"/>
        <rFont val="Arial"/>
        <family val="2"/>
      </rPr>
      <t>(3)</t>
    </r>
  </si>
  <si>
    <r>
      <t xml:space="preserve">Coverage incl. AFUDC </t>
    </r>
    <r>
      <rPr>
        <vertAlign val="superscript"/>
        <sz val="12"/>
        <rFont val="Arial"/>
        <family val="2"/>
      </rPr>
      <t>(4)</t>
    </r>
  </si>
  <si>
    <t>AMERICAN ELECTRIC POWER CO</t>
  </si>
  <si>
    <t>NEXTERA ENERGY INC</t>
  </si>
  <si>
    <t>NRG ENERGY INC</t>
  </si>
  <si>
    <t>EVERSOURCE ENERGY</t>
  </si>
  <si>
    <t>WEC ENERGY GROUP INC</t>
  </si>
  <si>
    <t>DOMINION ENERGY INC</t>
  </si>
  <si>
    <t>2012-2016, Inclusive</t>
  </si>
  <si>
    <t>AMERICAN WATER WORKS CO INC</t>
  </si>
  <si>
    <t>ALLIANT ENERGY CORP</t>
  </si>
  <si>
    <t>EVERGY INC</t>
  </si>
  <si>
    <t>13.2 (</t>
  </si>
  <si>
    <t>2017-2021,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</si>
</sst>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%"/>
    <numFmt numFmtId="166" formatCode="0.000"/>
    <numFmt numFmtId="167" formatCode="_(* #,##0.000_);_(* \(#,##0.000\);_(* &quot;-&quot;??_);_(@_)"/>
    <numFmt numFmtId="168" formatCode="#,##0.0_);\(#,##0.0\)"/>
  </numFmts>
  <fonts count="8" x14ac:knownFonts="1">
    <font>
      <sz val="12"/>
      <name val="Arial"/>
    </font>
    <font>
      <sz val="12"/>
      <name val="Arial"/>
    </font>
    <font>
      <u/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44" fontId="0" fillId="0" borderId="0" xfId="2" applyFont="1"/>
    <xf numFmtId="2" fontId="0" fillId="0" borderId="0" xfId="0" applyNumberFormat="1"/>
    <xf numFmtId="164" fontId="1" fillId="0" borderId="0" xfId="2" applyNumberFormat="1"/>
    <xf numFmtId="164" fontId="1" fillId="0" borderId="1" xfId="2" applyNumberFormat="1" applyBorder="1"/>
    <xf numFmtId="164" fontId="1" fillId="0" borderId="2" xfId="2" applyNumberFormat="1" applyBorder="1"/>
    <xf numFmtId="165" fontId="1" fillId="0" borderId="0" xfId="3" applyNumberFormat="1"/>
    <xf numFmtId="9" fontId="1" fillId="0" borderId="0" xfId="3"/>
    <xf numFmtId="43" fontId="1" fillId="0" borderId="0" xfId="1"/>
    <xf numFmtId="167" fontId="0" fillId="0" borderId="0" xfId="1" applyNumberFormat="1" applyFont="1"/>
    <xf numFmtId="44" fontId="1" fillId="0" borderId="0" xfId="2"/>
    <xf numFmtId="167" fontId="1" fillId="0" borderId="0" xfId="1" applyNumberFormat="1"/>
    <xf numFmtId="165" fontId="0" fillId="0" borderId="0" xfId="3" applyNumberFormat="1" applyFont="1"/>
    <xf numFmtId="9" fontId="0" fillId="0" borderId="0" xfId="3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166" fontId="5" fillId="0" borderId="0" xfId="0" applyNumberFormat="1" applyFont="1" applyAlignment="1">
      <alignment horizontal="right"/>
    </xf>
    <xf numFmtId="0" fontId="5" fillId="0" borderId="0" xfId="0" quotePrefix="1" applyFont="1"/>
    <xf numFmtId="0" fontId="0" fillId="0" borderId="0" xfId="0" applyAlignment="1">
      <alignment horizontal="left"/>
    </xf>
    <xf numFmtId="168" fontId="0" fillId="0" borderId="0" xfId="0" applyNumberFormat="1"/>
    <xf numFmtId="2" fontId="1" fillId="0" borderId="0" xfId="1" applyNumberFormat="1"/>
    <xf numFmtId="4" fontId="1" fillId="0" borderId="0" xfId="1" applyNumberFormat="1"/>
    <xf numFmtId="1" fontId="1" fillId="0" borderId="0" xfId="3" applyNumberFormat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0" fillId="0" borderId="0" xfId="0" quotePrefix="1" applyAlignment="1">
      <alignment horizontal="left"/>
    </xf>
    <xf numFmtId="164" fontId="0" fillId="0" borderId="0" xfId="2" applyNumberFormat="1" applyFont="1"/>
    <xf numFmtId="166" fontId="0" fillId="0" borderId="0" xfId="0" applyNumberFormat="1"/>
    <xf numFmtId="166" fontId="5" fillId="0" borderId="0" xfId="0" applyNumberFormat="1" applyFont="1"/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styles" Target="styles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theme" Target="theme/theme1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calcChain" Target="calcChain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sharedStrings" Target="sharedStrings.xml" Id="rId30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O52"/>
  <sheetViews>
    <sheetView tabSelected="1" zoomScale="85" zoomScaleNormal="85" zoomScalePageLayoutView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3" max="3" width="9.5546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7.25" x14ac:dyDescent="0.4">
      <c r="A2" s="39" t="s">
        <v>104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41" t="s">
        <v>120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s="1" customFormat="1" x14ac:dyDescent="0.4">
      <c r="D5" s="2">
        <f>Alliant!D5</f>
        <v>2021</v>
      </c>
      <c r="E5" s="23"/>
      <c r="F5" s="2">
        <f>Alliant!F5</f>
        <v>2020</v>
      </c>
      <c r="H5" s="2">
        <f>Alliant!H5</f>
        <v>2019</v>
      </c>
      <c r="J5" s="2">
        <f>Alliant!J5</f>
        <v>2018</v>
      </c>
      <c r="L5" s="2">
        <f>Alliant!L5</f>
        <v>2017</v>
      </c>
    </row>
    <row r="6" spans="1:15" s="1" customFormat="1" x14ac:dyDescent="0.4">
      <c r="D6" s="37" t="s">
        <v>18</v>
      </c>
      <c r="E6" s="37"/>
      <c r="F6" s="37"/>
      <c r="G6" s="37"/>
      <c r="H6" s="37"/>
      <c r="I6" s="37"/>
      <c r="J6" s="37"/>
      <c r="K6" s="37"/>
      <c r="L6" s="37"/>
    </row>
    <row r="7" spans="1:15" x14ac:dyDescent="0.4">
      <c r="A7" t="s">
        <v>1</v>
      </c>
    </row>
    <row r="8" spans="1:15" x14ac:dyDescent="0.4">
      <c r="B8" t="s">
        <v>6</v>
      </c>
      <c r="D8" s="8">
        <f>ROUND(AVERAGE(Alliant:Xcel!D8),1)</f>
        <v>40154.300000000003</v>
      </c>
      <c r="F8" s="8">
        <f>ROUND(AVERAGE(Alliant:Xcel!F8),1)</f>
        <v>38732.9</v>
      </c>
      <c r="H8" s="8">
        <f>ROUND(AVERAGE(Alliant:Xcel!H8),1)</f>
        <v>36461.599999999999</v>
      </c>
      <c r="J8" s="8">
        <f>ROUND(AVERAGE(Alliant:Xcel!J8),1)</f>
        <v>32871.599999999999</v>
      </c>
      <c r="L8" s="8">
        <f>ROUND(AVERAGE(Alliant:Xcel!L8),1)</f>
        <v>30827.599999999999</v>
      </c>
    </row>
    <row r="9" spans="1:15" x14ac:dyDescent="0.4">
      <c r="B9" t="s">
        <v>5</v>
      </c>
      <c r="D9" s="8">
        <f>ROUND(AVERAGE(Alliant:Xcel!D9),1)</f>
        <v>1397.4</v>
      </c>
      <c r="F9" s="8">
        <f>ROUND(AVERAGE(Alliant:Xcel!F9),1)</f>
        <v>1154.0999999999999</v>
      </c>
      <c r="H9" s="8">
        <f>ROUND(AVERAGE(Alliant:Xcel!H9),1)</f>
        <v>1221.9000000000001</v>
      </c>
      <c r="J9" s="8">
        <f>ROUND(AVERAGE(Alliant:Xcel!J9),1)</f>
        <v>1420.3</v>
      </c>
      <c r="L9" s="8">
        <f>ROUND(AVERAGE(Alliant:Xcel!L9),1)</f>
        <v>1076.0999999999999</v>
      </c>
    </row>
    <row r="10" spans="1:15" ht="15.4" thickBot="1" x14ac:dyDescent="0.45">
      <c r="B10" t="s">
        <v>7</v>
      </c>
      <c r="D10" s="10">
        <f>D8+D9</f>
        <v>41551.700000000004</v>
      </c>
      <c r="F10" s="10">
        <f>F8+F9</f>
        <v>39887</v>
      </c>
      <c r="H10" s="10">
        <f>H8+H9</f>
        <v>37683.5</v>
      </c>
      <c r="J10" s="10">
        <f>J8+J9</f>
        <v>34291.9</v>
      </c>
      <c r="L10" s="10">
        <f>L8+L9</f>
        <v>31903.699999999997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28">
        <f>ROUND(AVERAGE(Alliant:Xcel!D13),0)</f>
        <v>22</v>
      </c>
      <c r="E13" s="25" t="s">
        <v>3</v>
      </c>
      <c r="F13" s="28">
        <f>ROUND(AVERAGE(Alliant:Xcel!F13),0)</f>
        <v>23</v>
      </c>
      <c r="G13" s="25" t="s">
        <v>3</v>
      </c>
      <c r="H13" s="28">
        <f>ROUND(AVERAGE(Alliant:Xcel!H13),0)</f>
        <v>20</v>
      </c>
      <c r="I13" s="25" t="s">
        <v>3</v>
      </c>
      <c r="J13" s="28">
        <f>ROUND(AVERAGE(Alliant:Xcel!J13),0)</f>
        <v>21</v>
      </c>
      <c r="K13" s="25" t="s">
        <v>3</v>
      </c>
      <c r="L13" s="28">
        <f>ROUND(AVERAGE(Alliant:Xcel!L13),0)</f>
        <v>20</v>
      </c>
      <c r="M13" s="25" t="s">
        <v>3</v>
      </c>
      <c r="N13" s="29">
        <f>AVERAGE(D13,F13,H13,J13,L13)</f>
        <v>21.2</v>
      </c>
      <c r="O13" s="25" t="s">
        <v>3</v>
      </c>
    </row>
    <row r="14" spans="1:15" x14ac:dyDescent="0.4">
      <c r="B14" t="s">
        <v>20</v>
      </c>
      <c r="D14" s="11">
        <f>ROUND(AVERAGE(Alliant:Xcel!D14),3)</f>
        <v>2.1989999999999998</v>
      </c>
      <c r="E14" s="3"/>
      <c r="F14" s="11">
        <f>ROUND(AVERAGE(Alliant:Xcel!F14),3)</f>
        <v>2.1819999999999999</v>
      </c>
      <c r="G14" s="3"/>
      <c r="H14" s="11">
        <f>ROUND(AVERAGE(Alliant:Xcel!H14),3)</f>
        <v>2.2090000000000001</v>
      </c>
      <c r="I14" s="3"/>
      <c r="J14" s="11">
        <f>ROUND(AVERAGE(Alliant:Xcel!J14),3)</f>
        <v>2.044</v>
      </c>
      <c r="K14" s="3"/>
      <c r="L14" s="11">
        <f>ROUND(AVERAGE(Alliant:Xcel!L14),3)</f>
        <v>2.1440000000000001</v>
      </c>
      <c r="M14" s="3"/>
      <c r="N14" s="3">
        <f>AVERAGE(D14,F14,H14,J14,L14)</f>
        <v>2.1556000000000002</v>
      </c>
    </row>
    <row r="15" spans="1:15" x14ac:dyDescent="0.4">
      <c r="B15" t="s">
        <v>9</v>
      </c>
      <c r="D15" s="11">
        <f>ROUND(AVERAGE(Alliant:Xcel!D15),3)</f>
        <v>3.5000000000000003E-2</v>
      </c>
      <c r="E15" s="3"/>
      <c r="F15" s="11">
        <f>ROUND(AVERAGE(Alliant:Xcel!F15),3)</f>
        <v>3.5999999999999997E-2</v>
      </c>
      <c r="G15" s="3"/>
      <c r="H15" s="11">
        <f>ROUND(AVERAGE(Alliant:Xcel!H15),3)</f>
        <v>3.2000000000000001E-2</v>
      </c>
      <c r="I15" s="3"/>
      <c r="J15" s="11">
        <f>ROUND(AVERAGE(Alliant:Xcel!J15),3)</f>
        <v>3.5000000000000003E-2</v>
      </c>
      <c r="K15" s="3"/>
      <c r="L15" s="11">
        <f>ROUND(AVERAGE(Alliant:Xcel!L15),3)</f>
        <v>3.3000000000000002E-2</v>
      </c>
      <c r="M15" s="3"/>
      <c r="N15" s="3">
        <f>AVERAGE(D15,F15,H15,J15,L15)</f>
        <v>3.4200000000000001E-2</v>
      </c>
    </row>
    <row r="16" spans="1:15" x14ac:dyDescent="0.4">
      <c r="B16" t="s">
        <v>10</v>
      </c>
      <c r="D16" s="11">
        <f>ROUND(AVERAGE(Alliant:Xcel!D16),3)</f>
        <v>0.72899999999999998</v>
      </c>
      <c r="E16" s="3"/>
      <c r="F16" s="11">
        <f>ROUND(AVERAGE(Alliant:Xcel!F16),3)</f>
        <v>0.78</v>
      </c>
      <c r="G16" s="3"/>
      <c r="H16" s="11">
        <f>ROUND(AVERAGE(Alliant:Xcel!H16),3)</f>
        <v>0.627</v>
      </c>
      <c r="I16" s="3"/>
      <c r="J16" s="11">
        <f>ROUND(AVERAGE(Alliant:Xcel!J16),3)</f>
        <v>0.68700000000000006</v>
      </c>
      <c r="K16" s="3"/>
      <c r="L16" s="11">
        <f>ROUND(AVERAGE(Alliant:Xcel!L16),3)</f>
        <v>0.65200000000000002</v>
      </c>
      <c r="M16" s="3"/>
      <c r="N16" s="3">
        <f>AVERAGE(D16,F16,H16,J16,L16)</f>
        <v>0.69500000000000006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11">
        <f>ROUND(AVERAGE(Alliant:Xcel!D20),4)</f>
        <v>0.57369999999999999</v>
      </c>
      <c r="E20" s="3"/>
      <c r="F20" s="11">
        <f>ROUND(AVERAGE(Alliant:Xcel!F20),4)</f>
        <v>0.58079999999999998</v>
      </c>
      <c r="G20" s="3"/>
      <c r="H20" s="11">
        <f>ROUND(AVERAGE(Alliant:Xcel!H20),4)</f>
        <v>0.56659999999999999</v>
      </c>
      <c r="I20" s="3"/>
      <c r="J20" s="11">
        <f>ROUND(AVERAGE(Alliant:Xcel!J20),4)</f>
        <v>0.5504</v>
      </c>
      <c r="K20" s="3"/>
      <c r="L20" s="11">
        <f>ROUND(AVERAGE(Alliant:Xcel!L20),4)</f>
        <v>0.5675</v>
      </c>
      <c r="M20" s="3"/>
      <c r="N20" s="3">
        <f>AVERAGE(D20,F20,H20,J20,L20)</f>
        <v>0.56779999999999997</v>
      </c>
    </row>
    <row r="21" spans="1:14" x14ac:dyDescent="0.4">
      <c r="B21" s="31" t="s">
        <v>93</v>
      </c>
      <c r="D21" s="11">
        <f>ROUND(AVERAGE(Alliant:Xcel!D21),4)</f>
        <v>2.2800000000000001E-2</v>
      </c>
      <c r="E21" s="3"/>
      <c r="F21" s="11">
        <f>ROUND(AVERAGE(Alliant:Xcel!F21),4)</f>
        <v>2.5499999999999998E-2</v>
      </c>
      <c r="G21" s="3"/>
      <c r="H21" s="11">
        <f>ROUND(AVERAGE(Alliant:Xcel!H21),4)</f>
        <v>2.35E-2</v>
      </c>
      <c r="I21" s="3"/>
      <c r="J21" s="11">
        <f>ROUND(AVERAGE(Alliant:Xcel!J21),4)</f>
        <v>2.4799999999999999E-2</v>
      </c>
      <c r="K21" s="3"/>
      <c r="L21" s="11">
        <f>ROUND(AVERAGE(Alliant:Xcel!L21),4)</f>
        <v>1.4200000000000001E-2</v>
      </c>
      <c r="M21" s="3"/>
      <c r="N21" s="3">
        <f>AVERAGE(D21,F21,H21,J21,L21)</f>
        <v>2.2160000000000003E-2</v>
      </c>
    </row>
    <row r="22" spans="1:14" ht="17.25" x14ac:dyDescent="0.4">
      <c r="B22" s="32" t="s">
        <v>105</v>
      </c>
      <c r="D22" s="11">
        <f>ROUND(AVERAGE(Alliant:Xcel!D22),4)</f>
        <v>0.40360000000000001</v>
      </c>
      <c r="E22" s="3"/>
      <c r="F22" s="11">
        <f>ROUND(AVERAGE(Alliant:Xcel!F22),4)</f>
        <v>0.39360000000000001</v>
      </c>
      <c r="G22" s="3"/>
      <c r="H22" s="11">
        <f>ROUND(AVERAGE(Alliant:Xcel!H22),4)</f>
        <v>0.40989999999999999</v>
      </c>
      <c r="I22" s="3"/>
      <c r="J22" s="11">
        <f>ROUND(AVERAGE(Alliant:Xcel!J22),4)</f>
        <v>0.42480000000000001</v>
      </c>
      <c r="K22" s="3"/>
      <c r="L22" s="11">
        <f>ROUND(AVERAGE(Alliant:Xcel!L22),4)</f>
        <v>0.41830000000000001</v>
      </c>
      <c r="M22" s="3"/>
      <c r="N22" s="4">
        <f>AVERAGE(D22,F22,H22,J22,L22)</f>
        <v>0.41004000000000007</v>
      </c>
    </row>
    <row r="23" spans="1:14" ht="15.4" thickBot="1" x14ac:dyDescent="0.45">
      <c r="D23" s="5">
        <f>SUM(D20:D22)</f>
        <v>1.0001</v>
      </c>
      <c r="E23" s="3"/>
      <c r="F23" s="5">
        <f>SUM(F20:F22)</f>
        <v>0.99990000000000001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11">
        <f>ROUND(AVERAGE(Alliant:Xcel!D25),4)</f>
        <v>0.58850000000000002</v>
      </c>
      <c r="E25" s="3"/>
      <c r="F25" s="11">
        <f>ROUND(AVERAGE(Alliant:Xcel!F25),4)</f>
        <v>0.59370000000000001</v>
      </c>
      <c r="G25" s="3"/>
      <c r="H25" s="11">
        <f>ROUND(AVERAGE(Alliant:Xcel!H25),4)</f>
        <v>0.58140000000000003</v>
      </c>
      <c r="I25" s="3"/>
      <c r="J25" s="11">
        <f>ROUND(AVERAGE(Alliant:Xcel!J25),4)</f>
        <v>0.5696</v>
      </c>
      <c r="K25" s="3"/>
      <c r="L25" s="11">
        <f>ROUND(AVERAGE(Alliant:Xcel!L25),4)</f>
        <v>0.58389999999999997</v>
      </c>
      <c r="M25" s="3"/>
      <c r="N25" s="3">
        <f>AVERAGE(D25,F25,H25,J25,L25)</f>
        <v>0.58341999999999994</v>
      </c>
    </row>
    <row r="26" spans="1:14" x14ac:dyDescent="0.4">
      <c r="B26" s="31" t="s">
        <v>93</v>
      </c>
      <c r="D26" s="11">
        <f>ROUND(AVERAGE(Alliant:Xcel!D26),4)</f>
        <v>2.2100000000000002E-2</v>
      </c>
      <c r="E26" s="3"/>
      <c r="F26" s="11">
        <f>ROUND(AVERAGE(Alliant:Xcel!F26),4)</f>
        <v>2.5000000000000001E-2</v>
      </c>
      <c r="G26" s="3"/>
      <c r="H26" s="11">
        <f>ROUND(AVERAGE(Alliant:Xcel!H26),4)</f>
        <v>2.2599999999999999E-2</v>
      </c>
      <c r="I26" s="3"/>
      <c r="J26" s="11">
        <f>ROUND(AVERAGE(Alliant:Xcel!J26),4)</f>
        <v>2.3599999999999999E-2</v>
      </c>
      <c r="K26" s="3"/>
      <c r="L26" s="11">
        <f>ROUND(AVERAGE(Alliant:Xcel!L26),4)</f>
        <v>1.35E-2</v>
      </c>
      <c r="M26" s="3"/>
      <c r="N26" s="3">
        <f>AVERAGE(D26,F26,H26,J26,L26)</f>
        <v>2.1359999999999997E-2</v>
      </c>
    </row>
    <row r="27" spans="1:14" ht="17.25" x14ac:dyDescent="0.4">
      <c r="B27" s="32" t="s">
        <v>105</v>
      </c>
      <c r="D27" s="11">
        <f>ROUND(AVERAGE(Alliant:Xcel!D27),4)</f>
        <v>0.38929999999999998</v>
      </c>
      <c r="E27" s="3"/>
      <c r="F27" s="11">
        <f>ROUND(AVERAGE(Alliant:Xcel!F27),4)</f>
        <v>0.38129999999999997</v>
      </c>
      <c r="G27" s="3"/>
      <c r="H27" s="11">
        <f>ROUND(AVERAGE(Alliant:Xcel!H27),4)</f>
        <v>0.39600000000000002</v>
      </c>
      <c r="I27" s="3"/>
      <c r="J27" s="11">
        <f>ROUND(AVERAGE(Alliant:Xcel!J27),4)</f>
        <v>0.40679999999999999</v>
      </c>
      <c r="K27" s="3"/>
      <c r="L27" s="11">
        <f>ROUND(AVERAGE(Alliant:Xcel!L27),4)</f>
        <v>0.40260000000000001</v>
      </c>
      <c r="M27" s="3"/>
      <c r="N27" s="4">
        <f>AVERAGE(D27,F27,H27,J27,L27)</f>
        <v>0.3952</v>
      </c>
    </row>
    <row r="28" spans="1:14" ht="15.4" thickBot="1" x14ac:dyDescent="0.45">
      <c r="D28" s="5">
        <f>SUM(D25:D27)</f>
        <v>0.99990000000000001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0.99998000000000009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106</v>
      </c>
      <c r="D30" s="11">
        <f>ROUND(AVERAGE(Alliant:Xcel!D30),3)</f>
        <v>9.4E-2</v>
      </c>
      <c r="E30" s="3"/>
      <c r="F30" s="11">
        <f>ROUND(AVERAGE(Alliant:Xcel!F30),3)</f>
        <v>0.10199999999999999</v>
      </c>
      <c r="G30" s="3"/>
      <c r="H30" s="11">
        <f>ROUND(AVERAGE(Alliant:Xcel!H30),3)</f>
        <v>0.10299999999999999</v>
      </c>
      <c r="I30" s="3"/>
      <c r="J30" s="11">
        <f>ROUND(AVERAGE(Alliant:Xcel!J30),3)</f>
        <v>0.10299999999999999</v>
      </c>
      <c r="K30" s="3"/>
      <c r="L30" s="11">
        <f>ROUND(AVERAGE(Alliant:Xcel!L30),3)</f>
        <v>9.4E-2</v>
      </c>
      <c r="M30" s="3"/>
      <c r="N30" s="3">
        <f>ROUND(AVERAGE(D30,F30,H30,J30,L30),3)</f>
        <v>9.9000000000000005E-2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107</v>
      </c>
      <c r="D32" s="11">
        <f>ROUND(AVERAGE(Alliant:Xcel!D32),3)</f>
        <v>0.83099999999999996</v>
      </c>
      <c r="E32" s="3"/>
      <c r="F32" s="11">
        <f>ROUND(AVERAGE(Alliant:Xcel!F32),3)</f>
        <v>0.79800000000000004</v>
      </c>
      <c r="G32" s="3"/>
      <c r="H32" s="11">
        <f>ROUND(AVERAGE(Alliant:Xcel!H32),3)</f>
        <v>0.79300000000000004</v>
      </c>
      <c r="I32" s="3"/>
      <c r="J32" s="11">
        <f>ROUND(AVERAGE(Alliant:Xcel!J32),3)</f>
        <v>0.79800000000000004</v>
      </c>
      <c r="K32" s="3"/>
      <c r="L32" s="11">
        <f>ROUND(AVERAGE(Alliant:Xcel!L32),3)</f>
        <v>0.77</v>
      </c>
      <c r="M32" s="3"/>
      <c r="N32" s="3">
        <f>AVERAGE(D32,F32,H32,J32,L32)</f>
        <v>0.79800000000000004</v>
      </c>
    </row>
    <row r="34" spans="1:15" ht="17.25" x14ac:dyDescent="0.4">
      <c r="A34" s="33" t="s">
        <v>108</v>
      </c>
    </row>
    <row r="35" spans="1:15" x14ac:dyDescent="0.4">
      <c r="B35" t="s">
        <v>13</v>
      </c>
      <c r="D35" s="26">
        <f>ROUND(AVERAGE(Alliant:Xcel!D35),2)</f>
        <v>3.16</v>
      </c>
      <c r="E35" s="7" t="s">
        <v>3</v>
      </c>
      <c r="F35" s="26">
        <f>ROUND(AVERAGE(Alliant:Xcel!F35),2)</f>
        <v>2.8</v>
      </c>
      <c r="G35" s="7" t="s">
        <v>3</v>
      </c>
      <c r="H35" s="26">
        <f>ROUND(AVERAGE(Alliant:Xcel!H35),2)</f>
        <v>3.05</v>
      </c>
      <c r="I35" s="7" t="s">
        <v>3</v>
      </c>
      <c r="J35" s="26">
        <f>ROUND(AVERAGE(Alliant:Xcel!J35),2)</f>
        <v>2.94</v>
      </c>
      <c r="K35" s="7" t="s">
        <v>3</v>
      </c>
      <c r="L35" s="26">
        <f>ROUND(AVERAGE(Alliant:Xcel!L35),2)</f>
        <v>3.42</v>
      </c>
      <c r="M35" s="7" t="s">
        <v>3</v>
      </c>
      <c r="N35" s="26">
        <f>AVERAGE(D35,F35,H35,J35,L35)</f>
        <v>3.0739999999999998</v>
      </c>
      <c r="O35" t="s">
        <v>3</v>
      </c>
    </row>
    <row r="36" spans="1:15" x14ac:dyDescent="0.4">
      <c r="B36" t="s">
        <v>21</v>
      </c>
      <c r="D36" s="26">
        <f>ROUND(AVERAGE(Alliant:Xcel!D36),2)</f>
        <v>2.87</v>
      </c>
      <c r="E36" s="7" t="s">
        <v>3</v>
      </c>
      <c r="F36" s="26">
        <f>ROUND(AVERAGE(Alliant:Xcel!F36),2)</f>
        <v>2.6</v>
      </c>
      <c r="G36" s="7" t="s">
        <v>3</v>
      </c>
      <c r="H36" s="26">
        <f>ROUND(AVERAGE(Alliant:Xcel!H36),2)</f>
        <v>3.1</v>
      </c>
      <c r="I36" s="7" t="s">
        <v>3</v>
      </c>
      <c r="J36" s="26">
        <f>ROUND(AVERAGE(Alliant:Xcel!J36),2)</f>
        <v>2.59</v>
      </c>
      <c r="K36" s="7" t="s">
        <v>3</v>
      </c>
      <c r="L36" s="26">
        <f>ROUND(AVERAGE(Alliant:Xcel!L36),2)</f>
        <v>2.86</v>
      </c>
      <c r="M36" s="7" t="s">
        <v>3</v>
      </c>
      <c r="N36" s="26">
        <f>AVERAGE(D36,F36,H36,J36,L36)</f>
        <v>2.8039999999999998</v>
      </c>
      <c r="O36" t="s">
        <v>3</v>
      </c>
    </row>
    <row r="37" spans="1:15" x14ac:dyDescent="0.4">
      <c r="B37" t="s">
        <v>14</v>
      </c>
      <c r="D37" s="26">
        <f>ROUND(AVERAGE(Alliant:Xcel!D37),2)</f>
        <v>2.81</v>
      </c>
      <c r="E37" s="7" t="s">
        <v>3</v>
      </c>
      <c r="F37" s="26">
        <f>ROUND(AVERAGE(Alliant:Xcel!F37),2)</f>
        <v>2.5499999999999998</v>
      </c>
      <c r="G37" s="7" t="s">
        <v>3</v>
      </c>
      <c r="H37" s="26">
        <f>ROUND(AVERAGE(Alliant:Xcel!H37),2)</f>
        <v>3.04</v>
      </c>
      <c r="I37" s="7" t="s">
        <v>3</v>
      </c>
      <c r="J37" s="26">
        <f>ROUND(AVERAGE(Alliant:Xcel!J37),2)</f>
        <v>2.5499999999999998</v>
      </c>
      <c r="K37" s="7" t="s">
        <v>3</v>
      </c>
      <c r="L37" s="26">
        <f>ROUND(AVERAGE(Alliant:Xcel!L37),2)</f>
        <v>2.84</v>
      </c>
      <c r="M37" s="7" t="s">
        <v>3</v>
      </c>
      <c r="N37" s="26">
        <f>AVERAGE(D37,F37,H37,J37,L37)</f>
        <v>2.758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26">
        <f>ROUND(AVERAGE(Alliant:Xcel!D40),2)</f>
        <v>3.06</v>
      </c>
      <c r="E40" s="7" t="s">
        <v>3</v>
      </c>
      <c r="F40" s="26">
        <f>ROUND(AVERAGE(Alliant:Xcel!F40),2)</f>
        <v>2.7</v>
      </c>
      <c r="G40" s="7" t="s">
        <v>3</v>
      </c>
      <c r="H40" s="26">
        <f>ROUND(AVERAGE(Alliant:Xcel!H40),2)</f>
        <v>2.95</v>
      </c>
      <c r="I40" s="7" t="s">
        <v>3</v>
      </c>
      <c r="J40" s="26">
        <f>ROUND(AVERAGE(Alliant:Xcel!J40),2)</f>
        <v>2.84</v>
      </c>
      <c r="K40" s="7" t="s">
        <v>3</v>
      </c>
      <c r="L40" s="26">
        <f>ROUND(AVERAGE(Alliant:Xcel!L40),2)</f>
        <v>3.31</v>
      </c>
      <c r="M40" s="7" t="s">
        <v>3</v>
      </c>
      <c r="N40" s="26">
        <f>AVERAGE(D40,F40,H40,J40,L40)</f>
        <v>2.9720000000000004</v>
      </c>
      <c r="O40" t="s">
        <v>3</v>
      </c>
    </row>
    <row r="41" spans="1:15" x14ac:dyDescent="0.4">
      <c r="B41" t="s">
        <v>21</v>
      </c>
      <c r="D41" s="26">
        <f>ROUND(AVERAGE(Alliant:Xcel!D41),2)</f>
        <v>2.78</v>
      </c>
      <c r="E41" s="7" t="s">
        <v>3</v>
      </c>
      <c r="F41" s="26">
        <f>ROUND(AVERAGE(Alliant:Xcel!F41),2)</f>
        <v>2.5</v>
      </c>
      <c r="G41" s="7" t="s">
        <v>3</v>
      </c>
      <c r="H41" s="26">
        <f>ROUND(AVERAGE(Alliant:Xcel!H41),2)</f>
        <v>3</v>
      </c>
      <c r="I41" s="7" t="s">
        <v>3</v>
      </c>
      <c r="J41" s="26">
        <f>ROUND(AVERAGE(Alliant:Xcel!J41),2)</f>
        <v>2.48</v>
      </c>
      <c r="K41" s="7" t="s">
        <v>3</v>
      </c>
      <c r="L41" s="26">
        <f>ROUND(AVERAGE(Alliant:Xcel!L41),2)</f>
        <v>2.75</v>
      </c>
      <c r="M41" s="7" t="s">
        <v>3</v>
      </c>
      <c r="N41" s="26">
        <f>AVERAGE(D41,F41,H41,J41,L41)</f>
        <v>2.702</v>
      </c>
      <c r="O41" t="s">
        <v>3</v>
      </c>
    </row>
    <row r="42" spans="1:15" x14ac:dyDescent="0.4">
      <c r="B42" t="s">
        <v>14</v>
      </c>
      <c r="D42" s="26">
        <f>ROUND(AVERAGE(Alliant:Xcel!D42),2)</f>
        <v>2.72</v>
      </c>
      <c r="E42" s="7" t="s">
        <v>3</v>
      </c>
      <c r="F42" s="26">
        <f>ROUND(AVERAGE(Alliant:Xcel!F42),2)</f>
        <v>2.46</v>
      </c>
      <c r="G42" s="7" t="s">
        <v>3</v>
      </c>
      <c r="H42" s="26">
        <f>ROUND(AVERAGE(Alliant:Xcel!H42),2)</f>
        <v>2.94</v>
      </c>
      <c r="I42" s="7" t="s">
        <v>3</v>
      </c>
      <c r="J42" s="26">
        <f>ROUND(AVERAGE(Alliant:Xcel!J42),2)</f>
        <v>2.44</v>
      </c>
      <c r="K42" s="7" t="s">
        <v>3</v>
      </c>
      <c r="L42" s="26">
        <f>ROUND(AVERAGE(Alliant:Xcel!L42),2)</f>
        <v>2.73</v>
      </c>
      <c r="M42" s="7" t="s">
        <v>3</v>
      </c>
      <c r="N42" s="26">
        <f>AVERAGE(D42,F42,H42,J42,L42)</f>
        <v>2.6579999999999999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ROUND(AVERAGE(Alliant:Xcel!D45),3)</f>
        <v>7.3999999999999996E-2</v>
      </c>
      <c r="E45" s="11"/>
      <c r="F45" s="11">
        <f>ROUND(AVERAGE(Alliant:Xcel!F45),3)</f>
        <v>6.8000000000000005E-2</v>
      </c>
      <c r="G45" s="11"/>
      <c r="H45" s="11">
        <f>ROUND(AVERAGE(Alliant:Xcel!H45),3)</f>
        <v>0.06</v>
      </c>
      <c r="I45" s="11"/>
      <c r="J45" s="11">
        <f>ROUND(AVERAGE(Alliant:Xcel!J45),3)</f>
        <v>7.2999999999999995E-2</v>
      </c>
      <c r="K45" s="11"/>
      <c r="L45" s="11">
        <f>ROUND(AVERAGE(Alliant:Xcel!L45),3)</f>
        <v>7.2999999999999995E-2</v>
      </c>
      <c r="M45" s="3"/>
      <c r="N45" s="3">
        <f t="shared" ref="N45:N50" si="0">AVERAGE(D45,F45,H45,J45,L45)</f>
        <v>6.9600000000000009E-2</v>
      </c>
    </row>
    <row r="46" spans="1:15" x14ac:dyDescent="0.4">
      <c r="B46" t="s">
        <v>17</v>
      </c>
      <c r="D46" s="11">
        <f>ROUND(AVERAGE(Alliant:Xcel!D46),3)</f>
        <v>0.106</v>
      </c>
      <c r="E46" s="12"/>
      <c r="F46" s="11">
        <f>ROUND(AVERAGE(Alliant:Xcel!F46),3)</f>
        <v>9.9000000000000005E-2</v>
      </c>
      <c r="G46" s="12"/>
      <c r="H46" s="11">
        <f>ROUND(AVERAGE(Alliant:Xcel!H46),3)</f>
        <v>0.122</v>
      </c>
      <c r="I46" s="12"/>
      <c r="J46" s="11">
        <f>ROUND(AVERAGE(Alliant:Xcel!J46),3)</f>
        <v>0.19</v>
      </c>
      <c r="K46" s="12"/>
      <c r="L46" s="11">
        <f>ROUND(AVERAGE(Alliant:Xcel!L46),3)</f>
        <v>0.28199999999999997</v>
      </c>
      <c r="N46" s="3">
        <f t="shared" si="0"/>
        <v>0.1598</v>
      </c>
    </row>
    <row r="47" spans="1:15" ht="17.25" x14ac:dyDescent="0.4">
      <c r="B47" s="33" t="s">
        <v>100</v>
      </c>
      <c r="D47" s="11">
        <f>ROUND(AVERAGE(Alliant:Xcel!D47),3)</f>
        <v>0.60499999999999998</v>
      </c>
      <c r="E47" s="12"/>
      <c r="F47" s="11">
        <f>ROUND(AVERAGE(Alliant:Xcel!F47),3)</f>
        <v>0.58599999999999997</v>
      </c>
      <c r="G47" s="12"/>
      <c r="H47" s="11">
        <f>ROUND(AVERAGE(Alliant:Xcel!H47),3)</f>
        <v>0.65900000000000003</v>
      </c>
      <c r="I47" s="12"/>
      <c r="J47" s="11">
        <f>ROUND(AVERAGE(Alliant:Xcel!J47),3)</f>
        <v>0.66200000000000003</v>
      </c>
      <c r="K47" s="12"/>
      <c r="L47" s="11">
        <f>ROUND(AVERAGE(Alliant:Xcel!L47),3)</f>
        <v>0.78700000000000003</v>
      </c>
      <c r="N47" s="3">
        <f>ROUND(AVERAGE(D47,F47,H47,J47,L47),3)</f>
        <v>0.66</v>
      </c>
    </row>
    <row r="48" spans="1:15" ht="17.25" x14ac:dyDescent="0.4">
      <c r="B48" s="33" t="s">
        <v>101</v>
      </c>
      <c r="D48" s="11">
        <f>ROUND(AVERAGE(Alliant:Xcel!D48),3)</f>
        <v>0.15</v>
      </c>
      <c r="E48" s="12"/>
      <c r="F48" s="11">
        <f>ROUND(AVERAGE(Alliant:Xcel!F48),3)</f>
        <v>0.159</v>
      </c>
      <c r="G48" s="12"/>
      <c r="H48" s="11">
        <f>ROUND(AVERAGE(Alliant:Xcel!H48),3)</f>
        <v>0.17499999999999999</v>
      </c>
      <c r="I48" s="12"/>
      <c r="J48" s="11">
        <f>ROUND(AVERAGE(Alliant:Xcel!J48),3)</f>
        <v>0.17399999999999999</v>
      </c>
      <c r="K48" s="12"/>
      <c r="L48" s="11">
        <f>ROUND(AVERAGE(Alliant:Xcel!L48),3)</f>
        <v>0.19900000000000001</v>
      </c>
      <c r="N48" s="3">
        <f t="shared" si="0"/>
        <v>0.1714</v>
      </c>
    </row>
    <row r="49" spans="1:15" ht="17.25" x14ac:dyDescent="0.4">
      <c r="B49" s="33" t="s">
        <v>102</v>
      </c>
      <c r="D49" s="27">
        <f>ROUND(AVERAGE(Alliant:Xcel!D49),2)</f>
        <v>5.17</v>
      </c>
      <c r="E49" t="s">
        <v>3</v>
      </c>
      <c r="F49" s="27">
        <f>ROUND(AVERAGE(Alliant:Xcel!F49),2)</f>
        <v>4.9000000000000004</v>
      </c>
      <c r="G49" t="s">
        <v>3</v>
      </c>
      <c r="H49" s="27">
        <f>ROUND(AVERAGE(Alliant:Xcel!H49),2)</f>
        <v>4.97</v>
      </c>
      <c r="I49" t="s">
        <v>3</v>
      </c>
      <c r="J49" s="27">
        <f>ROUND(AVERAGE(Alliant:Xcel!J49),2)</f>
        <v>4.9800000000000004</v>
      </c>
      <c r="K49" t="s">
        <v>3</v>
      </c>
      <c r="L49" s="27">
        <f>ROUND(AVERAGE(Alliant:Xcel!L49),2)</f>
        <v>5.57</v>
      </c>
      <c r="M49" t="s">
        <v>3</v>
      </c>
      <c r="N49" s="27">
        <f t="shared" si="0"/>
        <v>5.1180000000000003</v>
      </c>
      <c r="O49" t="s">
        <v>3</v>
      </c>
    </row>
    <row r="50" spans="1:15" ht="17.25" x14ac:dyDescent="0.4">
      <c r="B50" s="33" t="s">
        <v>103</v>
      </c>
      <c r="D50" s="27">
        <f>ROUND(AVERAGE(Alliant:Xcel!D50),2)</f>
        <v>3.47</v>
      </c>
      <c r="E50" t="s">
        <v>3</v>
      </c>
      <c r="F50" s="27">
        <f>ROUND(AVERAGE(Alliant:Xcel!F50),2)</f>
        <v>3.52</v>
      </c>
      <c r="G50" t="s">
        <v>3</v>
      </c>
      <c r="H50" s="27">
        <f>ROUND(AVERAGE(Alliant:Xcel!H50),2)</f>
        <v>5.56</v>
      </c>
      <c r="I50" t="s">
        <v>3</v>
      </c>
      <c r="J50" s="27">
        <f>ROUND(AVERAGE(Alliant:Xcel!J50),2)</f>
        <v>4.8</v>
      </c>
      <c r="K50" t="s">
        <v>3</v>
      </c>
      <c r="L50" s="27">
        <f>ROUND(AVERAGE(Alliant:Xcel!L50),2)</f>
        <v>4.33</v>
      </c>
      <c r="M50" t="s">
        <v>3</v>
      </c>
      <c r="N50" s="27">
        <f t="shared" si="0"/>
        <v>4.3360000000000003</v>
      </c>
      <c r="O50" t="s">
        <v>3</v>
      </c>
    </row>
    <row r="52" spans="1:15" x14ac:dyDescent="0.4">
      <c r="A52" t="s">
        <v>4</v>
      </c>
    </row>
  </sheetData>
  <mergeCells count="4">
    <mergeCell ref="D6:L6"/>
    <mergeCell ref="A1:O1"/>
    <mergeCell ref="A2:O2"/>
    <mergeCell ref="A3:O3"/>
  </mergeCells>
  <phoneticPr fontId="0" type="noConversion"/>
  <pageMargins left="1.22" right="0" top="1.5" bottom="1" header="0.5" footer="0.5"/>
  <pageSetup scale="60" orientation="portrait" r:id="rId1"/>
  <headerFooter alignWithMargins="0">
    <oddHeader>&amp;R&amp;16Exhibit No. PRM-1
Page 7 of 30
Schedule 4 [1 of 3]</oddHeader>
  </headerFooter>
  <rowBreaks count="1" manualBreakCount="1">
    <brk id="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DTE ENERGY CO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26230</v>
      </c>
      <c r="F8" s="34">
        <f>F78+F79+F81-F103</f>
        <v>32196</v>
      </c>
      <c r="H8" s="34">
        <f>H78+H79+H81-H103</f>
        <v>28606</v>
      </c>
      <c r="J8" s="34">
        <f>J78+J79+J81-J103</f>
        <v>24470</v>
      </c>
      <c r="L8" s="34">
        <f>L78+L79+L81-L103</f>
        <v>22404</v>
      </c>
    </row>
    <row r="9" spans="1:15" x14ac:dyDescent="0.4">
      <c r="B9" t="s">
        <v>5</v>
      </c>
      <c r="D9" s="9">
        <f>D80</f>
        <v>758</v>
      </c>
      <c r="F9" s="9">
        <f>F80</f>
        <v>38</v>
      </c>
      <c r="H9" s="9">
        <f>H80</f>
        <v>828</v>
      </c>
      <c r="J9" s="9">
        <f>J80</f>
        <v>609</v>
      </c>
      <c r="L9" s="9">
        <f>L80</f>
        <v>621</v>
      </c>
    </row>
    <row r="10" spans="1:15" ht="15.4" thickBot="1" x14ac:dyDescent="0.45">
      <c r="B10" t="s">
        <v>7</v>
      </c>
      <c r="D10" s="10">
        <f>D8+D9</f>
        <v>26988</v>
      </c>
      <c r="F10" s="10">
        <f>F8+F9</f>
        <v>32234</v>
      </c>
      <c r="H10" s="10">
        <f>H8+H9</f>
        <v>29434</v>
      </c>
      <c r="J10" s="10">
        <f>J8+J9</f>
        <v>25079</v>
      </c>
      <c r="L10" s="10">
        <f>L8+L9</f>
        <v>23025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27</v>
      </c>
      <c r="E13" s="7" t="s">
        <v>3</v>
      </c>
      <c r="F13" s="30">
        <f>ROUND(AVERAGE(F108:F109)/F105,0)</f>
        <v>15</v>
      </c>
      <c r="G13" s="7" t="s">
        <v>3</v>
      </c>
      <c r="H13" s="30">
        <f>ROUND(AVERAGE(H108:H109)/H105,0)</f>
        <v>19</v>
      </c>
      <c r="I13" s="7" t="s">
        <v>3</v>
      </c>
      <c r="J13" s="30">
        <f>ROUND(AVERAGE(J108:J109)/J105,0)</f>
        <v>17</v>
      </c>
      <c r="K13" s="7" t="s">
        <v>3</v>
      </c>
      <c r="L13" s="30">
        <f>ROUND(AVERAGE(L108:L109)/L105,0)</f>
        <v>17</v>
      </c>
      <c r="M13" s="7" t="s">
        <v>3</v>
      </c>
      <c r="N13" s="30">
        <f>AVERAGE(D13,F13,H13,J13,L13)</f>
        <v>19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2.056</v>
      </c>
      <c r="E14" s="3"/>
      <c r="F14" s="3">
        <f>ROUND(AVERAGE(F108:F109)/AVERAGE(F112,H112),3)</f>
        <v>1.657</v>
      </c>
      <c r="G14" s="3"/>
      <c r="H14" s="3">
        <f>ROUND(AVERAGE(H108:H109)/AVERAGE(H112,J112),3)</f>
        <v>2.0659999999999998</v>
      </c>
      <c r="I14" s="3"/>
      <c r="J14" s="3">
        <f>ROUND(AVERAGE(J108:J109)/AVERAGE(J112,L112),3)</f>
        <v>1.9690000000000001</v>
      </c>
      <c r="K14" s="3"/>
      <c r="L14" s="3">
        <f>ROUND(AVERAGE(L108:L109)/AVERAGE(L112,N112),3)</f>
        <v>2.0659999999999998</v>
      </c>
      <c r="M14" s="3"/>
      <c r="N14" s="3">
        <f>AVERAGE(D14,F14,H14,J14,L14)</f>
        <v>1.9628000000000001</v>
      </c>
    </row>
    <row r="15" spans="1:15" x14ac:dyDescent="0.4">
      <c r="B15" t="s">
        <v>9</v>
      </c>
      <c r="D15" s="3">
        <f>ROUND(D106/AVERAGE(D108:D109),3)</f>
        <v>3.5000000000000003E-2</v>
      </c>
      <c r="E15" s="3"/>
      <c r="F15" s="3">
        <f>ROUND(F106/AVERAGE(F108:F109),3)</f>
        <v>0.04</v>
      </c>
      <c r="G15" s="3"/>
      <c r="H15" s="3">
        <f>ROUND(H106/AVERAGE(H108:H109),3)</f>
        <v>3.2000000000000001E-2</v>
      </c>
      <c r="I15" s="3"/>
      <c r="J15" s="3">
        <f>ROUND(J106/AVERAGE(J108:J109),3)</f>
        <v>3.3000000000000002E-2</v>
      </c>
      <c r="K15" s="3"/>
      <c r="L15" s="3">
        <f>ROUND(L106/AVERAGE(L108:L109),3)</f>
        <v>3.1E-2</v>
      </c>
      <c r="M15" s="3"/>
      <c r="N15" s="3">
        <f>AVERAGE(D15,F15,H15,J15,L15)</f>
        <v>3.4200000000000001E-2</v>
      </c>
    </row>
    <row r="16" spans="1:15" x14ac:dyDescent="0.4">
      <c r="B16" t="s">
        <v>10</v>
      </c>
      <c r="D16" s="3">
        <f>ROUND(D96/D66,3)</f>
        <v>0.94499999999999995</v>
      </c>
      <c r="E16" s="3"/>
      <c r="F16" s="3">
        <f>ROUND(F96/F66,3)</f>
        <v>0.58199999999999996</v>
      </c>
      <c r="G16" s="3"/>
      <c r="H16" s="3">
        <f>ROUND(H96/H66,3)</f>
        <v>0.61099999999999999</v>
      </c>
      <c r="I16" s="3"/>
      <c r="J16" s="3">
        <f>ROUND(J96/J66,3)</f>
        <v>0.58399999999999996</v>
      </c>
      <c r="K16" s="3"/>
      <c r="L16" s="3">
        <f>ROUND(L96/L66,3)</f>
        <v>0.53200000000000003</v>
      </c>
      <c r="M16" s="3"/>
      <c r="N16" s="3">
        <f>AVERAGE(D16,F16,H16,J16,L16)</f>
        <v>0.65080000000000005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0.66400000000000003</v>
      </c>
      <c r="E20" s="3"/>
      <c r="F20" s="3">
        <f>ROUND((+F76+F79)/F8,3)</f>
        <v>0.60499999999999998</v>
      </c>
      <c r="G20" s="3"/>
      <c r="H20" s="3">
        <f>ROUND((+H76+H79)/H8,3)</f>
        <v>0.58099999999999996</v>
      </c>
      <c r="I20" s="3"/>
      <c r="J20" s="3">
        <f>ROUND((+J76+J79)/J8,3)</f>
        <v>0.55700000000000005</v>
      </c>
      <c r="K20" s="3"/>
      <c r="L20" s="3">
        <f>ROUND((+L76+L79)/L8,3)</f>
        <v>0.54900000000000004</v>
      </c>
      <c r="M20" s="3"/>
      <c r="N20" s="3">
        <f>AVERAGE(D20,F20,H20,J20,L20)</f>
        <v>0.59119999999999995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5.0000000000000001E-3</v>
      </c>
      <c r="G21" s="3"/>
      <c r="H21" s="3">
        <f>ROUND((SUM(H69:H75)+H81)/H8,3)</f>
        <v>6.0000000000000001E-3</v>
      </c>
      <c r="I21" s="3"/>
      <c r="J21" s="3">
        <f>ROUND((SUM(J69:J75)+J81)/J8,3)</f>
        <v>0.02</v>
      </c>
      <c r="K21" s="3"/>
      <c r="L21" s="3">
        <f>ROUND((SUM(L69:L75)+L81)/L8,3)</f>
        <v>2.1000000000000001E-2</v>
      </c>
      <c r="M21" s="3"/>
      <c r="N21" s="3">
        <f>AVERAGE(D21,F21,H21,J21,L21)</f>
        <v>1.0400000000000001E-2</v>
      </c>
    </row>
    <row r="22" spans="1:14" ht="17.25" x14ac:dyDescent="0.4">
      <c r="B22" s="32" t="s">
        <v>94</v>
      </c>
      <c r="D22" s="4">
        <f>ROUND((D68-D103)/D8,3)</f>
        <v>0.33600000000000002</v>
      </c>
      <c r="E22" s="3"/>
      <c r="F22" s="4">
        <f>ROUND((F68-F103)/F8,3)</f>
        <v>0.39</v>
      </c>
      <c r="G22" s="3"/>
      <c r="H22" s="4">
        <f>ROUND((H68-H103)/H8,3)</f>
        <v>0.41299999999999998</v>
      </c>
      <c r="I22" s="3"/>
      <c r="J22" s="4">
        <f>ROUND((J68-J103)/J8,3)</f>
        <v>0.42299999999999999</v>
      </c>
      <c r="K22" s="3"/>
      <c r="L22" s="4">
        <f>ROUND((L68-L103)/L8,3)</f>
        <v>0.43</v>
      </c>
      <c r="M22" s="3"/>
      <c r="N22" s="4">
        <f>AVERAGE(D22,F22,H22,J22,L22)</f>
        <v>0.39839999999999998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0.67300000000000004</v>
      </c>
      <c r="E25" s="3"/>
      <c r="F25" s="3">
        <f>ROUND((+F76+F79+F80)/F10,3)</f>
        <v>0.60499999999999998</v>
      </c>
      <c r="G25" s="3"/>
      <c r="H25" s="3">
        <f>ROUND((+H76+H79+H80)/H10,3)</f>
        <v>0.59299999999999997</v>
      </c>
      <c r="I25" s="3"/>
      <c r="J25" s="3">
        <f>ROUND((+J76+J79+J80)/J10,3)</f>
        <v>0.56799999999999995</v>
      </c>
      <c r="K25" s="3"/>
      <c r="L25" s="3">
        <f>ROUND((+L76+L79+L80)/L10,3)</f>
        <v>0.56100000000000005</v>
      </c>
      <c r="M25" s="3"/>
      <c r="N25" s="3">
        <f>AVERAGE(D25,F25,H25,J25,L25)</f>
        <v>0.6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5.0000000000000001E-3</v>
      </c>
      <c r="G26" s="3"/>
      <c r="H26" s="3">
        <f>ROUND((SUM(H69:H75)+H81)/H10,3)</f>
        <v>6.0000000000000001E-3</v>
      </c>
      <c r="I26" s="3"/>
      <c r="J26" s="3">
        <f>ROUND((SUM(J69:J75)+J81)/J10,3)</f>
        <v>1.9E-2</v>
      </c>
      <c r="K26" s="3"/>
      <c r="L26" s="3">
        <f>ROUND((SUM(L69:L75)+L81)/L10,3)</f>
        <v>2.1000000000000001E-2</v>
      </c>
      <c r="M26" s="3"/>
      <c r="N26" s="3">
        <f>AVERAGE(D26,F26,H26,J26,L26)</f>
        <v>1.0200000000000001E-2</v>
      </c>
    </row>
    <row r="27" spans="1:14" ht="17.25" x14ac:dyDescent="0.4">
      <c r="B27" s="32" t="s">
        <v>94</v>
      </c>
      <c r="D27" s="4">
        <f>ROUND((D68-D103)/D10,3)</f>
        <v>0.32700000000000001</v>
      </c>
      <c r="E27" s="3"/>
      <c r="F27" s="4">
        <f>ROUND((F68-F103)/F10,3)</f>
        <v>0.39</v>
      </c>
      <c r="G27" s="3"/>
      <c r="H27" s="4">
        <f>ROUND((H68-H103)/H10,3)</f>
        <v>0.40200000000000002</v>
      </c>
      <c r="I27" s="3"/>
      <c r="J27" s="4">
        <f>ROUND((J68-J103)/J10,3)</f>
        <v>0.41299999999999998</v>
      </c>
      <c r="K27" s="3"/>
      <c r="L27" s="4">
        <f>ROUND((L68-L103)/L10,3)</f>
        <v>0.41799999999999998</v>
      </c>
      <c r="M27" s="3"/>
      <c r="N27" s="4">
        <f>AVERAGE(D27,F27,H27,J27,L27)</f>
        <v>0.39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1.0009999999999999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7.3999999999999996E-2</v>
      </c>
      <c r="E30" s="3"/>
      <c r="F30" s="3">
        <f>ROUND(+F66/(((F68-F103)+(H68-H103))/2),3)</f>
        <v>0.112</v>
      </c>
      <c r="G30" s="3"/>
      <c r="H30" s="3">
        <f>ROUND(+H66/(((H68-H103)+(J68-J103))/2),3)</f>
        <v>0.105</v>
      </c>
      <c r="I30" s="3"/>
      <c r="J30" s="3">
        <f>ROUND(+J66/(((J68-J103)+(L68-L103))/2),3)</f>
        <v>0.112</v>
      </c>
      <c r="K30" s="3"/>
      <c r="L30" s="3">
        <f>ROUND(+L66/(((L68-L103)+(N68-N103))/2),3)</f>
        <v>0.121</v>
      </c>
      <c r="M30" s="3"/>
      <c r="N30" s="3">
        <f>AVERAGE(D30,F30,H30,J30,L30)</f>
        <v>0.1048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0.9</v>
      </c>
      <c r="E32" s="3"/>
      <c r="F32" s="3">
        <f>ROUND((+F58-F57)/F56,3)</f>
        <v>0.83699999999999997</v>
      </c>
      <c r="G32" s="3"/>
      <c r="H32" s="3">
        <f>ROUND((+H58-H57)/H56,3)</f>
        <v>0.86499999999999999</v>
      </c>
      <c r="I32" s="3"/>
      <c r="J32" s="3">
        <f>ROUND((+J58-J57)/J56,3)</f>
        <v>0.88800000000000001</v>
      </c>
      <c r="K32" s="3"/>
      <c r="L32" s="3">
        <f>ROUND((+L58-L57)/L56,3)</f>
        <v>0.86899999999999999</v>
      </c>
      <c r="M32" s="3"/>
      <c r="N32" s="3">
        <f>AVERAGE(D32,F32,H32,J32,L32)</f>
        <v>0.87180000000000002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2.06</v>
      </c>
      <c r="E35" s="7" t="s">
        <v>3</v>
      </c>
      <c r="F35" s="7">
        <f>ROUND(((+F66+F65+F64+F63+F61+F59+F57)/F61),2)</f>
        <v>3.13</v>
      </c>
      <c r="G35" s="7" t="s">
        <v>3</v>
      </c>
      <c r="H35" s="7">
        <f>ROUND(((+H66+H65+H64+H63+H61+H59+H57)/H61),2)</f>
        <v>3.06</v>
      </c>
      <c r="I35" s="7" t="s">
        <v>3</v>
      </c>
      <c r="J35" s="7">
        <f>ROUND(((+J66+J65+J64+J63+J61+J59+J57)/J61),2)</f>
        <v>3.12</v>
      </c>
      <c r="K35" s="7" t="s">
        <v>3</v>
      </c>
      <c r="L35" s="7">
        <f>ROUND(((+L66+L65+L64+L63+L61+L59+L57)/L61),2)</f>
        <v>3.38</v>
      </c>
      <c r="M35" s="7" t="s">
        <v>3</v>
      </c>
      <c r="N35" s="26">
        <f>AVERAGE(D35,F35,H35,J35,L35)</f>
        <v>2.95</v>
      </c>
      <c r="O35" t="s">
        <v>3</v>
      </c>
    </row>
    <row r="36" spans="1:15" x14ac:dyDescent="0.4">
      <c r="B36" t="s">
        <v>21</v>
      </c>
      <c r="D36" s="7">
        <f>ROUND(((+D66+D65+D64+D63+D61)/(D61)),2)</f>
        <v>2.2599999999999998</v>
      </c>
      <c r="E36" s="7" t="s">
        <v>3</v>
      </c>
      <c r="F36" s="7">
        <f>ROUND(((+F66+F65+F64+F63+F61)/(F61)),2)</f>
        <v>2.9</v>
      </c>
      <c r="G36" s="7" t="s">
        <v>3</v>
      </c>
      <c r="H36" s="7">
        <f>ROUND(((+H66+H65+H64+H63+H61)/(H61)),2)</f>
        <v>2.82</v>
      </c>
      <c r="I36" s="7" t="s">
        <v>3</v>
      </c>
      <c r="J36" s="7">
        <f>ROUND(((+J66+J65+J64+J63+J61)/(J61)),2)</f>
        <v>2.95</v>
      </c>
      <c r="K36" s="7" t="s">
        <v>3</v>
      </c>
      <c r="L36" s="7">
        <f>ROUND(((+L66+L65+L64+L63+L61)/(L61)),2)</f>
        <v>3.06</v>
      </c>
      <c r="M36" s="7" t="s">
        <v>3</v>
      </c>
      <c r="N36" s="26">
        <f>AVERAGE(D36,F36,H36,J36,L36)</f>
        <v>2.798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2.2599999999999998</v>
      </c>
      <c r="E37" s="7" t="s">
        <v>3</v>
      </c>
      <c r="F37" s="7">
        <f>ROUND(((+F66+F65+F64+F63+F61)/(F61+F63+F64+F65)),2)</f>
        <v>2.9</v>
      </c>
      <c r="G37" s="7" t="s">
        <v>3</v>
      </c>
      <c r="H37" s="7">
        <f>ROUND(((+H66+H65+H64+H63+H61)/(H61+H63+H64+H65)),2)</f>
        <v>2.82</v>
      </c>
      <c r="I37" s="7" t="s">
        <v>3</v>
      </c>
      <c r="J37" s="7">
        <f>ROUND(((+J66+J65+J64+J63+J61)/(J61+J63+J64+J65)),2)</f>
        <v>2.95</v>
      </c>
      <c r="K37" s="7" t="s">
        <v>3</v>
      </c>
      <c r="L37" s="7">
        <f>ROUND(((+L66+L65+L64+L63+L61)/(L61+L63+L64+L65)),2)</f>
        <v>3.06</v>
      </c>
      <c r="M37" s="7" t="s">
        <v>3</v>
      </c>
      <c r="N37" s="26">
        <f>AVERAGE(D37,F37,H37,J37,L37)</f>
        <v>2.798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</v>
      </c>
      <c r="E40" s="7" t="s">
        <v>3</v>
      </c>
      <c r="F40" s="7">
        <f>ROUND(((+F66+F65+F64+F63-F62+F61+F59+F57)/F61),2)</f>
        <v>3.08</v>
      </c>
      <c r="G40" s="7" t="s">
        <v>3</v>
      </c>
      <c r="H40" s="7">
        <f>ROUND(((+H66+H65+H64+H63-H62+H61+H59+H57)/H61),2)</f>
        <v>3</v>
      </c>
      <c r="I40" s="7" t="s">
        <v>3</v>
      </c>
      <c r="J40" s="7">
        <f>ROUND(((+J66+J65+J64+J63-J62+J61+J59+J57)/J61),2)</f>
        <v>3.04</v>
      </c>
      <c r="K40" s="7" t="s">
        <v>3</v>
      </c>
      <c r="L40" s="7">
        <f>ROUND(((+L66+L65+L64+L63-L62+L61+L59+L57)/L61),2)</f>
        <v>3.32</v>
      </c>
      <c r="M40" s="7" t="s">
        <v>3</v>
      </c>
      <c r="N40" s="26">
        <f>AVERAGE(D40,F40,H40,J40,L40)</f>
        <v>2.8880000000000003</v>
      </c>
      <c r="O40" t="s">
        <v>3</v>
      </c>
    </row>
    <row r="41" spans="1:15" x14ac:dyDescent="0.4">
      <c r="B41" t="s">
        <v>21</v>
      </c>
      <c r="D41" s="7">
        <f>ROUND(((+D66+D65+D64+D63-D62+D61)/D61),2)</f>
        <v>2.2000000000000002</v>
      </c>
      <c r="E41" s="7" t="s">
        <v>3</v>
      </c>
      <c r="F41" s="7">
        <f>ROUND(((+F66+F65+F64+F63-F62+F61)/F61),2)</f>
        <v>2.85</v>
      </c>
      <c r="G41" s="7" t="s">
        <v>3</v>
      </c>
      <c r="H41" s="7">
        <f>ROUND(((+H66+H65+H64+H63-H62+H61)/H61),2)</f>
        <v>2.76</v>
      </c>
      <c r="I41" s="7" t="s">
        <v>3</v>
      </c>
      <c r="J41" s="7">
        <f>ROUND(((+J66+J65+J64+J63-J62+J61)/J61),2)</f>
        <v>2.87</v>
      </c>
      <c r="K41" s="7" t="s">
        <v>3</v>
      </c>
      <c r="L41" s="7">
        <f>ROUND(((+L66+L65+L64+L63-L62+L61)/L61),2)</f>
        <v>3</v>
      </c>
      <c r="M41" s="7" t="s">
        <v>3</v>
      </c>
      <c r="N41" s="26">
        <f>AVERAGE(D41,F41,H41,J41,L41)</f>
        <v>2.7359999999999998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2.2000000000000002</v>
      </c>
      <c r="E42" s="7" t="s">
        <v>3</v>
      </c>
      <c r="F42" s="7">
        <f>ROUND(((+F66+F65+F64+F63-F62+F61)/(F61+F63+F64+F65)),2)</f>
        <v>2.85</v>
      </c>
      <c r="G42" s="7" t="s">
        <v>3</v>
      </c>
      <c r="H42" s="7">
        <f>ROUND(((+H66+H65+H64+H63-H62+H61)/(H61+H63+H64+H65)),2)</f>
        <v>2.76</v>
      </c>
      <c r="I42" s="7" t="s">
        <v>3</v>
      </c>
      <c r="J42" s="7">
        <f>ROUND(((+J66+J65+J64+J63-J62+J61)/(J61+J63+J64+J65)),2)</f>
        <v>2.87</v>
      </c>
      <c r="K42" s="7" t="s">
        <v>3</v>
      </c>
      <c r="L42" s="7">
        <f>ROUND(((+L66+L65+L64+L63-L62+L61)/(L61+L63+L64+L65)),2)</f>
        <v>3</v>
      </c>
      <c r="M42" s="7" t="s">
        <v>3</v>
      </c>
      <c r="N42" s="26">
        <f>AVERAGE(D42,F42,H42,J42,L42)</f>
        <v>2.7359999999999998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4.9000000000000002E-2</v>
      </c>
      <c r="E45" s="11"/>
      <c r="F45" s="11">
        <f>ROUND(F62/F66,3)</f>
        <v>2.5999999999999999E-2</v>
      </c>
      <c r="G45" s="11"/>
      <c r="H45" s="11">
        <f>ROUND(H62/H66,3)</f>
        <v>3.3000000000000002E-2</v>
      </c>
      <c r="I45" s="11"/>
      <c r="J45" s="11">
        <f>ROUND(J62/J66,3)</f>
        <v>3.7999999999999999E-2</v>
      </c>
      <c r="K45" s="11"/>
      <c r="L45" s="11">
        <f>ROUND(L62/L66,3)</f>
        <v>3.2000000000000001E-2</v>
      </c>
      <c r="M45" s="3"/>
      <c r="N45" s="3">
        <f t="shared" ref="N45:N50" si="0">AVERAGE(D45,F45,H45,J45,L45)</f>
        <v>3.56E-2</v>
      </c>
    </row>
    <row r="46" spans="1:15" x14ac:dyDescent="0.4">
      <c r="B46" t="s">
        <v>17</v>
      </c>
      <c r="D46" s="17">
        <f>ROUND((D57+D59)/(D57+D59+D66+D63+D64+D65),3)</f>
        <v>-0.19500000000000001</v>
      </c>
      <c r="E46" s="18"/>
      <c r="F46" s="17">
        <f>ROUND((F57+F59)/(F57+F59+F66+F63+F64+F65),3)</f>
        <v>0.109</v>
      </c>
      <c r="G46" s="18"/>
      <c r="H46" s="17">
        <f>ROUND((H57+H59)/(H57+H59+H66+H63+H64+H65),3)</f>
        <v>0.115</v>
      </c>
      <c r="I46" s="18"/>
      <c r="J46" s="17">
        <f>ROUND((J57+J59)/(J57+J59+J66+J63+J64+J65),3)</f>
        <v>8.1000000000000003E-2</v>
      </c>
      <c r="K46" s="18"/>
      <c r="L46" s="17">
        <f>ROUND((L57+L59)/(L57+L59+L66+L63+L64+L65),3)</f>
        <v>0.13400000000000001</v>
      </c>
      <c r="N46" s="3">
        <f t="shared" si="0"/>
        <v>4.8799999999999996E-2</v>
      </c>
    </row>
    <row r="47" spans="1:15" ht="17.25" x14ac:dyDescent="0.4">
      <c r="B47" s="33" t="s">
        <v>100</v>
      </c>
      <c r="D47" s="11">
        <f>ROUND(((+D82+D83+D84+D85+D86-D87+D88-D90-D91)/(+D89-D87)),3)</f>
        <v>0.53300000000000003</v>
      </c>
      <c r="E47" s="12"/>
      <c r="F47" s="11">
        <f>ROUND(((+F82+F83+F84+F85+F86-F87+F88-F90-F91)/(+F89-F87)),3)</f>
        <v>0.66</v>
      </c>
      <c r="G47" s="12"/>
      <c r="H47" s="11">
        <f>ROUND(((+H82+H83+H84+H85+H86-H87+H88-H90-H91)/(+H89-H87)),3)</f>
        <v>0.73</v>
      </c>
      <c r="I47" s="12"/>
      <c r="J47" s="11">
        <f>ROUND(((+J82+J83+J84+J85+J86-J87+J88-J90-J91)/(+J89-J87)),3)</f>
        <v>0.65700000000000003</v>
      </c>
      <c r="K47" s="12"/>
      <c r="L47" s="11">
        <f>ROUND(((+L82+L83+L84+L85+L86-L87+L88-L90-L91)/(+L89-L87)),3)</f>
        <v>0.80600000000000005</v>
      </c>
      <c r="N47" s="3">
        <f t="shared" si="0"/>
        <v>0.67720000000000002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0.14799999999999999</v>
      </c>
      <c r="E48" s="12"/>
      <c r="F48" s="11">
        <f>ROUND(((+F82+F83+F84+F85+F86-F87+F88)/(AVERAGE(F76,H76)+AVERAGE(F79,H79)+AVERAGE(F80,H80))),3)</f>
        <v>0.17799999999999999</v>
      </c>
      <c r="G48" s="12"/>
      <c r="H48" s="11">
        <f>ROUND(((+H82+H83+H84+H85+H86-H87+H88)/(AVERAGE(H76,J76)+AVERAGE(H79,J79)+AVERAGE(H80,J80))),3)</f>
        <v>0.18099999999999999</v>
      </c>
      <c r="I48" s="12"/>
      <c r="J48" s="11">
        <f>ROUND(((+J82+J83+J84+J85+J86-J87+J88)/(AVERAGE(J76,L76)+AVERAGE(J79,L79)+AVERAGE(J80,L80))),3)</f>
        <v>0.17699999999999999</v>
      </c>
      <c r="K48" s="12"/>
      <c r="L48" s="11">
        <f>ROUND(((+L82+L83+L84+L85+L86-L87+L88)/(AVERAGE(L76,N76)+AVERAGE(L79,N79)+AVERAGE(L80,N80))),3)</f>
        <v>0.19500000000000001</v>
      </c>
      <c r="N48" s="3">
        <f t="shared" si="0"/>
        <v>0.17580000000000001</v>
      </c>
    </row>
    <row r="49" spans="1:15" ht="17.25" x14ac:dyDescent="0.4">
      <c r="B49" s="33" t="s">
        <v>102</v>
      </c>
      <c r="D49" s="27">
        <f>ROUND(((+D82+D83+D84+D85+D86-D87+D88+D92)/D61),2)</f>
        <v>5.49</v>
      </c>
      <c r="E49" t="s">
        <v>3</v>
      </c>
      <c r="F49" s="27">
        <f>ROUND(((+F82+F83+F84+F85+F86-F87+F88+F92)/F61),2)</f>
        <v>5.51</v>
      </c>
      <c r="G49" t="s">
        <v>3</v>
      </c>
      <c r="H49" s="27">
        <f>ROUND(((+H82+H83+H84+H85+H86-H87+H88+H92)/H61),2)</f>
        <v>5.39</v>
      </c>
      <c r="I49" t="s">
        <v>3</v>
      </c>
      <c r="J49" s="27">
        <f>ROUND(((+J82+J83+J84+J85+J86-J87+J88+J92)/J61),2)</f>
        <v>5.18</v>
      </c>
      <c r="K49" t="s">
        <v>3</v>
      </c>
      <c r="L49" s="27">
        <f>ROUND(((+L82+L83+L84+L85+L86-L87+L88+L92)/L61),2)</f>
        <v>5.28</v>
      </c>
      <c r="M49" t="s">
        <v>3</v>
      </c>
      <c r="N49" s="27">
        <f t="shared" si="0"/>
        <v>5.37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3.52</v>
      </c>
      <c r="E50" t="s">
        <v>3</v>
      </c>
      <c r="F50" s="27">
        <f>ROUND(((+F82+F83+F84+F85+F86-F87+F88-F91)/+F90),2)</f>
        <v>4.33</v>
      </c>
      <c r="G50" t="s">
        <v>3</v>
      </c>
      <c r="H50" s="27">
        <f>ROUND(((+H82+H83+H84+H85+H86-H87+H88-H91)/+H90),2)</f>
        <v>4.1399999999999997</v>
      </c>
      <c r="I50" t="s">
        <v>3</v>
      </c>
      <c r="J50" s="27">
        <f>ROUND(((+J82+J83+J84+J85+J86-J87+J88-J91)/+J90),2)</f>
        <v>3.87</v>
      </c>
      <c r="K50" t="s">
        <v>3</v>
      </c>
      <c r="L50" s="27">
        <f>ROUND(((+L82+L83+L84+L85+L86-L87+L88-L91)/+L90),2)</f>
        <v>4.0599999999999996</v>
      </c>
      <c r="M50" t="s">
        <v>3</v>
      </c>
      <c r="N50" s="27">
        <f t="shared" si="0"/>
        <v>3.9839999999999995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76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14964</v>
      </c>
      <c r="E56" s="22"/>
      <c r="F56" s="22">
        <v>12177</v>
      </c>
      <c r="G56" s="22"/>
      <c r="H56" s="22">
        <v>12669</v>
      </c>
      <c r="I56" s="22"/>
      <c r="J56" s="22">
        <v>14212</v>
      </c>
      <c r="K56" s="22"/>
      <c r="L56" s="22">
        <v>12607</v>
      </c>
      <c r="M56" s="22"/>
      <c r="N56" s="22">
        <v>10630</v>
      </c>
    </row>
    <row r="57" spans="1:15" x14ac:dyDescent="0.4">
      <c r="A57" s="20" t="s">
        <v>23</v>
      </c>
      <c r="B57" s="20"/>
      <c r="C57" s="20"/>
      <c r="D57" s="22">
        <v>-130</v>
      </c>
      <c r="E57" s="22"/>
      <c r="F57" s="22">
        <v>167</v>
      </c>
      <c r="G57" s="22"/>
      <c r="H57" s="22">
        <v>152</v>
      </c>
      <c r="I57" s="22"/>
      <c r="J57" s="22">
        <v>98</v>
      </c>
      <c r="K57" s="22"/>
      <c r="L57" s="22">
        <v>175</v>
      </c>
      <c r="M57" s="22"/>
      <c r="N57" s="22">
        <v>271</v>
      </c>
    </row>
    <row r="58" spans="1:15" x14ac:dyDescent="0.4">
      <c r="A58" s="20" t="s">
        <v>24</v>
      </c>
      <c r="B58" s="20"/>
      <c r="C58" s="20"/>
      <c r="D58" s="22">
        <f>13469+D57</f>
        <v>13339</v>
      </c>
      <c r="E58" s="22"/>
      <c r="F58" s="22">
        <f>10191+F57</f>
        <v>10358</v>
      </c>
      <c r="G58" s="22"/>
      <c r="H58" s="22">
        <f>10962+H57</f>
        <v>11114</v>
      </c>
      <c r="I58" s="22"/>
      <c r="J58" s="22">
        <v>12724</v>
      </c>
      <c r="K58" s="22"/>
      <c r="L58" s="22">
        <v>11136</v>
      </c>
      <c r="M58" s="22"/>
      <c r="N58" s="22">
        <v>9441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1495-D57+22-17-393+254-75+10</f>
        <v>1426</v>
      </c>
      <c r="E60" s="22"/>
      <c r="F60" s="22">
        <f>1986-F57+38-50+388-104-3</f>
        <v>2088</v>
      </c>
      <c r="G60" s="22"/>
      <c r="H60" s="22">
        <f>1707-H57+17-39+350-70-3</f>
        <v>1810</v>
      </c>
      <c r="I60" s="22"/>
      <c r="J60" s="22">
        <v>1677</v>
      </c>
      <c r="K60" s="22"/>
      <c r="L60" s="22">
        <v>1648</v>
      </c>
      <c r="M60" s="22"/>
      <c r="N60" s="22">
        <v>1306</v>
      </c>
    </row>
    <row r="61" spans="1:15" x14ac:dyDescent="0.4">
      <c r="A61" s="20" t="s">
        <v>27</v>
      </c>
      <c r="B61" s="20"/>
      <c r="C61" s="20"/>
      <c r="D61" s="22">
        <v>630</v>
      </c>
      <c r="E61" s="22"/>
      <c r="F61" s="22">
        <v>720</v>
      </c>
      <c r="G61" s="22"/>
      <c r="H61" s="22">
        <v>641</v>
      </c>
      <c r="I61" s="22"/>
      <c r="J61" s="22">
        <v>574</v>
      </c>
      <c r="K61" s="22"/>
      <c r="L61" s="22">
        <v>549</v>
      </c>
      <c r="M61" s="22"/>
      <c r="N61" s="22">
        <v>482</v>
      </c>
    </row>
    <row r="62" spans="1:15" x14ac:dyDescent="0.4">
      <c r="A62" s="20" t="s">
        <v>28</v>
      </c>
      <c r="B62" s="20"/>
      <c r="C62" s="20"/>
      <c r="D62" s="22">
        <v>39</v>
      </c>
      <c r="E62" s="22"/>
      <c r="F62" s="22">
        <v>36</v>
      </c>
      <c r="G62" s="22"/>
      <c r="H62" s="22">
        <v>39</v>
      </c>
      <c r="I62" s="22"/>
      <c r="J62" s="22">
        <v>43</v>
      </c>
      <c r="K62" s="22"/>
      <c r="L62" s="22">
        <v>36</v>
      </c>
      <c r="M62" s="22"/>
      <c r="N62" s="22">
        <v>31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f>786-(-10)</f>
        <v>796</v>
      </c>
      <c r="E66" s="22"/>
      <c r="F66" s="22">
        <v>1368</v>
      </c>
      <c r="G66" s="22"/>
      <c r="H66" s="22">
        <v>1169</v>
      </c>
      <c r="I66" s="22"/>
      <c r="J66" s="22">
        <v>1118</v>
      </c>
      <c r="K66" s="22"/>
      <c r="L66" s="22">
        <v>1132</v>
      </c>
      <c r="M66" s="22"/>
      <c r="N66" s="22">
        <v>868</v>
      </c>
    </row>
    <row r="67" spans="1:14" x14ac:dyDescent="0.4">
      <c r="A67" s="20" t="s">
        <v>33</v>
      </c>
      <c r="B67" s="20"/>
      <c r="C67" s="20"/>
      <c r="D67" s="22">
        <v>4.1100000000000003</v>
      </c>
      <c r="E67" s="22"/>
      <c r="F67" s="22">
        <v>7.09</v>
      </c>
      <c r="G67" s="22"/>
      <c r="H67" s="22">
        <v>6.32</v>
      </c>
      <c r="I67" s="22"/>
      <c r="J67" s="22">
        <v>6.18</v>
      </c>
      <c r="K67" s="22"/>
      <c r="L67" s="22">
        <v>6.32</v>
      </c>
      <c r="M67" s="22"/>
      <c r="N67" s="22">
        <v>4.84</v>
      </c>
    </row>
    <row r="68" spans="1:14" x14ac:dyDescent="0.4">
      <c r="A68" s="20" t="s">
        <v>34</v>
      </c>
      <c r="B68" s="20"/>
      <c r="C68" s="20"/>
      <c r="D68" s="22">
        <v>8705</v>
      </c>
      <c r="E68" s="22"/>
      <c r="F68" s="22">
        <v>12425</v>
      </c>
      <c r="G68" s="22"/>
      <c r="H68" s="22">
        <v>11672</v>
      </c>
      <c r="I68" s="22"/>
      <c r="J68" s="22">
        <v>10237</v>
      </c>
      <c r="K68" s="22"/>
      <c r="L68" s="22">
        <v>9512</v>
      </c>
      <c r="M68" s="22"/>
      <c r="N68" s="22">
        <v>9011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8</v>
      </c>
      <c r="E75" s="22"/>
      <c r="F75" s="22">
        <v>164</v>
      </c>
      <c r="G75" s="22"/>
      <c r="H75" s="22">
        <v>164</v>
      </c>
      <c r="I75" s="22"/>
      <c r="J75" s="22">
        <v>480</v>
      </c>
      <c r="K75" s="22"/>
      <c r="L75" s="22">
        <v>478</v>
      </c>
      <c r="M75" s="22"/>
      <c r="N75" s="22">
        <v>488</v>
      </c>
    </row>
    <row r="76" spans="1:14" x14ac:dyDescent="0.4">
      <c r="A76" s="20" t="s">
        <v>42</v>
      </c>
      <c r="B76" s="20"/>
      <c r="C76" s="20"/>
      <c r="D76" s="22">
        <v>14531</v>
      </c>
      <c r="E76" s="22"/>
      <c r="F76" s="22">
        <v>19001</v>
      </c>
      <c r="G76" s="22"/>
      <c r="H76" s="22">
        <v>15935</v>
      </c>
      <c r="I76" s="22"/>
      <c r="J76" s="22">
        <v>12134</v>
      </c>
      <c r="K76" s="22"/>
      <c r="L76" s="22">
        <v>12185</v>
      </c>
      <c r="M76" s="22"/>
      <c r="N76" s="22">
        <v>11269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23244</v>
      </c>
      <c r="E78" s="22"/>
      <c r="F78" s="22">
        <f>SUM(F68:F77)</f>
        <v>31590</v>
      </c>
      <c r="G78" s="22"/>
      <c r="H78" s="22">
        <f>SUM(H68:H77)</f>
        <v>27771</v>
      </c>
      <c r="I78" s="22"/>
      <c r="J78" s="22">
        <v>22851</v>
      </c>
      <c r="K78" s="22"/>
      <c r="L78" s="22">
        <v>22175</v>
      </c>
      <c r="M78" s="22"/>
      <c r="N78" s="22">
        <v>20768</v>
      </c>
    </row>
    <row r="79" spans="1:14" x14ac:dyDescent="0.4">
      <c r="A79" s="20" t="s">
        <v>45</v>
      </c>
      <c r="B79" s="20"/>
      <c r="C79" s="20"/>
      <c r="D79" s="22">
        <v>2874</v>
      </c>
      <c r="E79" s="22"/>
      <c r="F79" s="22">
        <v>469</v>
      </c>
      <c r="G79" s="22"/>
      <c r="H79" s="22">
        <v>687</v>
      </c>
      <c r="I79" s="22"/>
      <c r="J79" s="22">
        <v>1499</v>
      </c>
      <c r="K79" s="22"/>
      <c r="L79" s="22">
        <v>109</v>
      </c>
      <c r="M79" s="22"/>
      <c r="N79" s="22">
        <v>14</v>
      </c>
    </row>
    <row r="80" spans="1:14" x14ac:dyDescent="0.4">
      <c r="A80" s="20" t="s">
        <v>46</v>
      </c>
      <c r="B80" s="20"/>
      <c r="C80" s="20"/>
      <c r="D80" s="22">
        <v>758</v>
      </c>
      <c r="E80" s="22"/>
      <c r="F80" s="22">
        <v>38</v>
      </c>
      <c r="G80" s="22"/>
      <c r="H80" s="22">
        <v>828</v>
      </c>
      <c r="I80" s="22"/>
      <c r="J80" s="22">
        <v>609</v>
      </c>
      <c r="K80" s="22"/>
      <c r="L80" s="22">
        <v>621</v>
      </c>
      <c r="M80" s="22"/>
      <c r="N80" s="22">
        <v>499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903</v>
      </c>
      <c r="E82" s="22"/>
      <c r="F82" s="22">
        <v>1371</v>
      </c>
      <c r="G82" s="22"/>
      <c r="H82" s="22">
        <v>1172</v>
      </c>
      <c r="I82" s="22"/>
      <c r="J82" s="22">
        <v>1118</v>
      </c>
      <c r="K82" s="22"/>
      <c r="L82" s="22">
        <v>1112</v>
      </c>
      <c r="M82" s="22"/>
      <c r="N82" s="22">
        <v>834</v>
      </c>
    </row>
    <row r="83" spans="1:16" x14ac:dyDescent="0.4">
      <c r="A83" s="20" t="s">
        <v>49</v>
      </c>
      <c r="B83" s="20"/>
      <c r="C83" s="20"/>
      <c r="D83" s="22">
        <v>1459</v>
      </c>
      <c r="E83" s="22"/>
      <c r="F83" s="22">
        <v>1443</v>
      </c>
      <c r="G83" s="22"/>
      <c r="H83" s="22">
        <v>1263</v>
      </c>
      <c r="I83" s="22"/>
      <c r="J83" s="22">
        <v>1169</v>
      </c>
      <c r="K83" s="22"/>
      <c r="L83" s="22">
        <v>1083</v>
      </c>
      <c r="M83" s="22"/>
      <c r="N83" s="22">
        <v>1034</v>
      </c>
    </row>
    <row r="84" spans="1:16" x14ac:dyDescent="0.4">
      <c r="A84" s="20" t="s">
        <v>50</v>
      </c>
      <c r="B84" s="20"/>
      <c r="C84" s="20"/>
      <c r="D84" s="22">
        <v>58</v>
      </c>
      <c r="E84" s="22"/>
      <c r="F84" s="22">
        <v>37</v>
      </c>
      <c r="G84" s="22"/>
      <c r="H84" s="22">
        <v>60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6" x14ac:dyDescent="0.4">
      <c r="A85" s="20" t="s">
        <v>51</v>
      </c>
      <c r="B85" s="20"/>
      <c r="C85" s="20"/>
      <c r="D85" s="22">
        <v>-32</v>
      </c>
      <c r="E85" s="22"/>
      <c r="F85" s="22">
        <v>407</v>
      </c>
      <c r="G85" s="22"/>
      <c r="H85" s="22">
        <v>329</v>
      </c>
      <c r="I85" s="22"/>
      <c r="J85" s="22">
        <v>114</v>
      </c>
      <c r="K85" s="22"/>
      <c r="L85" s="22">
        <v>196</v>
      </c>
      <c r="M85" s="22"/>
      <c r="N85" s="22">
        <v>265</v>
      </c>
    </row>
    <row r="86" spans="1:16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6" x14ac:dyDescent="0.4">
      <c r="A87" s="20" t="s">
        <v>53</v>
      </c>
      <c r="B87" s="20"/>
      <c r="C87" s="20"/>
      <c r="D87" s="22">
        <v>27</v>
      </c>
      <c r="E87" s="22"/>
      <c r="F87" s="22">
        <v>25</v>
      </c>
      <c r="G87" s="22"/>
      <c r="H87" s="22">
        <v>24</v>
      </c>
      <c r="I87" s="22"/>
      <c r="J87" s="22">
        <v>28</v>
      </c>
      <c r="K87" s="22"/>
      <c r="L87" s="22">
        <v>23</v>
      </c>
      <c r="M87" s="22"/>
      <c r="N87" s="22">
        <v>21</v>
      </c>
      <c r="O87" s="22"/>
      <c r="P87" s="22"/>
    </row>
    <row r="88" spans="1:16" x14ac:dyDescent="0.4">
      <c r="A88" s="20" t="s">
        <v>69</v>
      </c>
      <c r="B88" s="20"/>
      <c r="C88" s="20"/>
      <c r="D88" s="22">
        <f>-97+79+393+50</f>
        <v>425</v>
      </c>
      <c r="E88" s="22"/>
      <c r="F88" s="22">
        <f>-132+142+47</f>
        <v>57</v>
      </c>
      <c r="G88" s="22"/>
      <c r="H88" s="22">
        <f>-111+160+14</f>
        <v>63</v>
      </c>
      <c r="I88" s="22"/>
      <c r="J88" s="22">
        <v>29</v>
      </c>
      <c r="K88" s="22"/>
      <c r="L88" s="22">
        <v>38</v>
      </c>
      <c r="M88" s="22"/>
      <c r="N88" s="22">
        <v>8</v>
      </c>
    </row>
    <row r="89" spans="1:16" x14ac:dyDescent="0.4">
      <c r="A89" s="20" t="s">
        <v>54</v>
      </c>
      <c r="B89" s="20"/>
      <c r="C89" s="20"/>
      <c r="D89" s="22">
        <f>3633+139</f>
        <v>3772</v>
      </c>
      <c r="E89" s="22"/>
      <c r="F89" s="22">
        <f>3241+616</f>
        <v>3857</v>
      </c>
      <c r="G89" s="22"/>
      <c r="H89" s="22">
        <f>2724+273</f>
        <v>2997</v>
      </c>
      <c r="I89" s="22"/>
      <c r="J89" s="22">
        <v>2741</v>
      </c>
      <c r="K89" s="22"/>
      <c r="L89" s="22">
        <v>2273</v>
      </c>
      <c r="M89" s="22"/>
      <c r="N89" s="22">
        <v>2066</v>
      </c>
    </row>
    <row r="90" spans="1:16" x14ac:dyDescent="0.4">
      <c r="A90" s="20" t="s">
        <v>55</v>
      </c>
      <c r="B90" s="20"/>
      <c r="C90" s="20"/>
      <c r="D90" s="22">
        <v>791</v>
      </c>
      <c r="E90" s="22"/>
      <c r="F90" s="22">
        <v>760</v>
      </c>
      <c r="G90" s="22"/>
      <c r="H90" s="22">
        <v>692</v>
      </c>
      <c r="I90" s="22"/>
      <c r="J90" s="22">
        <v>620</v>
      </c>
      <c r="K90" s="22"/>
      <c r="L90" s="22">
        <v>592</v>
      </c>
      <c r="M90" s="22"/>
      <c r="N90" s="22">
        <v>531</v>
      </c>
    </row>
    <row r="91" spans="1:16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6" x14ac:dyDescent="0.4">
      <c r="A92" s="20" t="s">
        <v>57</v>
      </c>
      <c r="B92" s="20"/>
      <c r="C92" s="20"/>
      <c r="D92" s="22">
        <v>671</v>
      </c>
      <c r="E92" s="22"/>
      <c r="F92" s="22">
        <v>679</v>
      </c>
      <c r="G92" s="22"/>
      <c r="H92" s="22">
        <v>595</v>
      </c>
      <c r="I92" s="22"/>
      <c r="J92" s="22">
        <v>572</v>
      </c>
      <c r="K92" s="22"/>
      <c r="L92" s="22">
        <v>495</v>
      </c>
      <c r="M92" s="22"/>
      <c r="N92" s="22">
        <v>448</v>
      </c>
    </row>
    <row r="93" spans="1:16" x14ac:dyDescent="0.4">
      <c r="A93" s="20" t="s">
        <v>58</v>
      </c>
      <c r="B93" s="20"/>
      <c r="C93" s="20"/>
      <c r="D93" s="22">
        <v>-3</v>
      </c>
      <c r="E93" s="22"/>
      <c r="F93" s="22">
        <v>-360</v>
      </c>
      <c r="G93" s="22"/>
      <c r="H93" s="22">
        <v>18</v>
      </c>
      <c r="I93" s="22"/>
      <c r="J93" s="22">
        <v>-26</v>
      </c>
      <c r="K93" s="22"/>
      <c r="L93" s="22">
        <v>4</v>
      </c>
      <c r="M93" s="22"/>
      <c r="N93" s="22">
        <v>-1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6" x14ac:dyDescent="0.4">
      <c r="A96" s="20" t="s">
        <v>59</v>
      </c>
      <c r="B96" s="20"/>
      <c r="C96" s="20"/>
      <c r="D96" s="22">
        <v>752</v>
      </c>
      <c r="E96" s="22"/>
      <c r="F96" s="22">
        <v>796</v>
      </c>
      <c r="G96" s="22"/>
      <c r="H96" s="22">
        <v>714</v>
      </c>
      <c r="I96" s="22"/>
      <c r="J96" s="22">
        <v>653</v>
      </c>
      <c r="K96" s="22"/>
      <c r="L96" s="22">
        <v>602</v>
      </c>
      <c r="M96" s="22"/>
      <c r="N96" s="22">
        <v>548</v>
      </c>
    </row>
    <row r="97" spans="1:14" x14ac:dyDescent="0.4">
      <c r="A97" s="20" t="s">
        <v>60</v>
      </c>
      <c r="B97" s="20"/>
      <c r="C97" s="20"/>
      <c r="D97" s="22">
        <v>3.88</v>
      </c>
      <c r="E97" s="22"/>
      <c r="F97" s="22">
        <v>4.12</v>
      </c>
      <c r="G97" s="22"/>
      <c r="H97" s="22">
        <v>3.85</v>
      </c>
      <c r="I97" s="22"/>
      <c r="J97" s="22">
        <v>3.593</v>
      </c>
      <c r="K97" s="22"/>
      <c r="L97" s="22">
        <v>3.3580000000000001</v>
      </c>
      <c r="M97" s="22"/>
      <c r="N97" s="22">
        <v>3.0550000000000002</v>
      </c>
    </row>
    <row r="98" spans="1:14" x14ac:dyDescent="0.4">
      <c r="A98" s="20" t="s">
        <v>61</v>
      </c>
      <c r="B98" s="20"/>
      <c r="C98" s="20"/>
      <c r="D98" s="22">
        <v>3.88</v>
      </c>
      <c r="E98" s="22"/>
      <c r="F98" s="22">
        <v>4.12</v>
      </c>
      <c r="G98" s="22"/>
      <c r="H98" s="22">
        <v>3.85</v>
      </c>
      <c r="I98" s="22"/>
      <c r="J98" s="22">
        <v>3.53</v>
      </c>
      <c r="K98" s="22"/>
      <c r="L98" s="22">
        <v>3.3</v>
      </c>
      <c r="M98" s="22"/>
      <c r="N98" s="22">
        <v>2.96</v>
      </c>
    </row>
    <row r="99" spans="1:14" x14ac:dyDescent="0.4">
      <c r="A99" s="20" t="s">
        <v>62</v>
      </c>
      <c r="B99" s="20"/>
      <c r="C99" s="20"/>
      <c r="D99" s="22">
        <v>124.89</v>
      </c>
      <c r="E99" s="22"/>
      <c r="F99" s="22">
        <v>135.66999999999999</v>
      </c>
      <c r="G99" s="22"/>
      <c r="H99" s="22">
        <v>134.37</v>
      </c>
      <c r="I99" s="22"/>
      <c r="J99" s="22">
        <v>121</v>
      </c>
      <c r="K99" s="22"/>
      <c r="L99" s="22">
        <v>116.74</v>
      </c>
      <c r="M99" s="22"/>
      <c r="N99" s="22">
        <v>100.45</v>
      </c>
    </row>
    <row r="100" spans="1:14" x14ac:dyDescent="0.4">
      <c r="A100" s="20" t="s">
        <v>63</v>
      </c>
      <c r="B100" s="20"/>
      <c r="C100" s="20"/>
      <c r="D100" s="22">
        <v>99.35</v>
      </c>
      <c r="E100" s="22"/>
      <c r="F100" s="22">
        <v>71.209999999999994</v>
      </c>
      <c r="G100" s="22"/>
      <c r="H100" s="22">
        <v>107.33</v>
      </c>
      <c r="I100" s="22"/>
      <c r="J100" s="22">
        <v>94.253</v>
      </c>
      <c r="K100" s="22"/>
      <c r="L100" s="22">
        <v>96.56</v>
      </c>
      <c r="M100" s="22"/>
      <c r="N100" s="22">
        <v>78.010000000000005</v>
      </c>
    </row>
    <row r="101" spans="1:14" x14ac:dyDescent="0.4">
      <c r="A101" s="20" t="s">
        <v>64</v>
      </c>
      <c r="B101" s="20"/>
      <c r="C101" s="20"/>
      <c r="D101" s="22">
        <v>119.540001</v>
      </c>
      <c r="E101" s="22"/>
      <c r="F101" s="22">
        <v>104.27</v>
      </c>
      <c r="G101" s="22"/>
      <c r="H101" s="22">
        <v>129.86999499999999</v>
      </c>
      <c r="I101" s="22"/>
      <c r="J101" s="22">
        <v>110.3</v>
      </c>
      <c r="K101" s="22"/>
      <c r="L101" s="22">
        <v>109.46</v>
      </c>
      <c r="M101" s="22"/>
      <c r="N101" s="22">
        <v>98.51</v>
      </c>
    </row>
    <row r="102" spans="1:14" x14ac:dyDescent="0.4">
      <c r="A102" s="20" t="s">
        <v>65</v>
      </c>
      <c r="B102" s="20"/>
      <c r="C102" s="20"/>
      <c r="D102" s="22">
        <v>193.74799999999999</v>
      </c>
      <c r="E102" s="22"/>
      <c r="F102" s="22">
        <v>193.77061699999999</v>
      </c>
      <c r="G102" s="22"/>
      <c r="H102" s="22">
        <v>192.20853299999999</v>
      </c>
      <c r="I102" s="22"/>
      <c r="J102" s="22">
        <v>181.92500000000001</v>
      </c>
      <c r="K102" s="22"/>
      <c r="L102" s="22">
        <v>179.387</v>
      </c>
      <c r="M102" s="22"/>
      <c r="N102" s="22">
        <v>179.43299999999999</v>
      </c>
    </row>
    <row r="103" spans="1:14" x14ac:dyDescent="0.4">
      <c r="A103" s="20" t="s">
        <v>91</v>
      </c>
      <c r="B103" s="20"/>
      <c r="C103" s="20"/>
      <c r="D103" s="22">
        <v>-112</v>
      </c>
      <c r="E103" s="22"/>
      <c r="F103" s="22">
        <v>-137</v>
      </c>
      <c r="G103" s="22"/>
      <c r="H103" s="22">
        <v>-148</v>
      </c>
      <c r="I103" s="22"/>
      <c r="J103" s="22">
        <v>-120</v>
      </c>
      <c r="K103" s="22"/>
      <c r="L103" s="22">
        <v>-120</v>
      </c>
      <c r="M103" s="22"/>
      <c r="N103" s="22">
        <v>-133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4.1100000000000003</v>
      </c>
      <c r="F105" s="15">
        <f>F67/F94</f>
        <v>7.09</v>
      </c>
      <c r="H105" s="15">
        <f>H67/H94</f>
        <v>6.32</v>
      </c>
      <c r="J105" s="15">
        <f>J67/J94</f>
        <v>6.18</v>
      </c>
      <c r="L105" s="15">
        <f>L67/L94</f>
        <v>6.32</v>
      </c>
      <c r="N105" s="15">
        <f>N67/N94</f>
        <v>4.84</v>
      </c>
    </row>
    <row r="106" spans="1:14" x14ac:dyDescent="0.4">
      <c r="B106" t="s">
        <v>60</v>
      </c>
      <c r="D106" s="15">
        <f>D97/D94</f>
        <v>3.88</v>
      </c>
      <c r="F106" s="15">
        <f>F97/F94</f>
        <v>4.12</v>
      </c>
      <c r="H106" s="15">
        <f>H97/H94</f>
        <v>3.85</v>
      </c>
      <c r="J106" s="15">
        <f>J97/J94</f>
        <v>3.593</v>
      </c>
      <c r="L106" s="15">
        <f>L97/L94</f>
        <v>3.3580000000000001</v>
      </c>
      <c r="N106" s="15">
        <f>N97/N94</f>
        <v>3.0550000000000002</v>
      </c>
    </row>
    <row r="107" spans="1:14" x14ac:dyDescent="0.4">
      <c r="B107" t="s">
        <v>61</v>
      </c>
      <c r="D107" s="15">
        <f>D98/D94</f>
        <v>3.88</v>
      </c>
      <c r="F107" s="15">
        <f>F98/F94</f>
        <v>4.12</v>
      </c>
      <c r="H107" s="15">
        <f>H98/H94</f>
        <v>3.85</v>
      </c>
      <c r="J107" s="15">
        <f>J98/J94</f>
        <v>3.53</v>
      </c>
      <c r="L107" s="15">
        <f>L98/L94</f>
        <v>3.3</v>
      </c>
      <c r="N107" s="15">
        <f>N98/N94</f>
        <v>2.96</v>
      </c>
    </row>
    <row r="108" spans="1:14" x14ac:dyDescent="0.4">
      <c r="B108" t="s">
        <v>62</v>
      </c>
      <c r="D108" s="15">
        <f>D99/D94</f>
        <v>124.89</v>
      </c>
      <c r="F108" s="15">
        <f>F99/F94</f>
        <v>135.66999999999999</v>
      </c>
      <c r="H108" s="15">
        <f>H99/H94</f>
        <v>134.37</v>
      </c>
      <c r="J108" s="15">
        <f>J99/J94</f>
        <v>121</v>
      </c>
      <c r="L108" s="15">
        <f>L99/L94</f>
        <v>116.74</v>
      </c>
      <c r="N108" s="15">
        <f>N99/N94</f>
        <v>100.45</v>
      </c>
    </row>
    <row r="109" spans="1:14" x14ac:dyDescent="0.4">
      <c r="B109" t="s">
        <v>63</v>
      </c>
      <c r="D109" s="15">
        <f>D100/D94</f>
        <v>99.35</v>
      </c>
      <c r="F109" s="15">
        <f>F100/F94</f>
        <v>71.209999999999994</v>
      </c>
      <c r="H109" s="15">
        <f>H100/H94</f>
        <v>107.33</v>
      </c>
      <c r="J109" s="15">
        <f>J100/J94</f>
        <v>94.253</v>
      </c>
      <c r="L109" s="15">
        <f>L100/L94</f>
        <v>96.56</v>
      </c>
      <c r="N109" s="15">
        <f>N100/N94</f>
        <v>78.010000000000005</v>
      </c>
    </row>
    <row r="110" spans="1:14" x14ac:dyDescent="0.4">
      <c r="B110" t="s">
        <v>64</v>
      </c>
      <c r="D110" s="15">
        <f>D101/D94</f>
        <v>119.540001</v>
      </c>
      <c r="F110" s="15">
        <f>F101/F94</f>
        <v>104.27</v>
      </c>
      <c r="H110" s="15">
        <f>H101/H94</f>
        <v>129.86999499999999</v>
      </c>
      <c r="J110" s="15">
        <f>J101/J94</f>
        <v>110.3</v>
      </c>
      <c r="L110" s="15">
        <f>L101/L94</f>
        <v>109.46</v>
      </c>
      <c r="N110" s="15">
        <f>N101/N94</f>
        <v>98.51</v>
      </c>
    </row>
    <row r="111" spans="1:14" x14ac:dyDescent="0.4">
      <c r="B111" t="s">
        <v>65</v>
      </c>
      <c r="D111" s="16">
        <f>D102*D94</f>
        <v>193.74799999999999</v>
      </c>
      <c r="E111" s="16"/>
      <c r="F111" s="16">
        <f>F102*F94</f>
        <v>193.77061699999999</v>
      </c>
      <c r="G111" s="16"/>
      <c r="H111" s="16">
        <f>H102*H94</f>
        <v>192.20853299999999</v>
      </c>
      <c r="I111" s="16"/>
      <c r="J111" s="16">
        <f>J102*J94</f>
        <v>181.92500000000001</v>
      </c>
      <c r="K111" s="16"/>
      <c r="L111" s="16">
        <f>L102*L94</f>
        <v>179.387</v>
      </c>
      <c r="M111" s="16"/>
      <c r="N111" s="16">
        <f>N102*N94</f>
        <v>179.43299999999999</v>
      </c>
    </row>
    <row r="112" spans="1:14" x14ac:dyDescent="0.4">
      <c r="B112" t="s">
        <v>66</v>
      </c>
      <c r="D112" s="15">
        <f>ROUND(D68/D111,2)</f>
        <v>44.93</v>
      </c>
      <c r="F112" s="15">
        <f>ROUND(F68/F111,2)</f>
        <v>64.12</v>
      </c>
      <c r="H112" s="15">
        <f>ROUND(H68/H111,2)</f>
        <v>60.73</v>
      </c>
      <c r="J112" s="15">
        <f>ROUND(J68/J111,2)</f>
        <v>56.27</v>
      </c>
      <c r="L112" s="15">
        <f>ROUND(L68/L111,2)</f>
        <v>53.03</v>
      </c>
      <c r="N112" s="15">
        <f>ROUND(N68/N111,2)</f>
        <v>50.22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58" orientation="portrait" r:id="rId1"/>
  <headerFooter alignWithMargins="0"/>
  <rowBreaks count="1" manualBreakCount="1"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1.33203125" bestFit="1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DUKE ENERGY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115274</v>
      </c>
      <c r="F8" s="34">
        <f>F78+F79+F81-F103</f>
        <v>109284</v>
      </c>
      <c r="H8" s="34">
        <f>H78+H79+H81-H103</f>
        <v>106207</v>
      </c>
      <c r="J8" s="34">
        <f>J78+J79+J81-J103</f>
        <v>98455</v>
      </c>
      <c r="L8" s="34">
        <f>L78+L79+L81-L103</f>
        <v>94083</v>
      </c>
    </row>
    <row r="9" spans="1:15" x14ac:dyDescent="0.4">
      <c r="B9" t="s">
        <v>5</v>
      </c>
      <c r="D9" s="9">
        <f>D80</f>
        <v>3304</v>
      </c>
      <c r="F9" s="9">
        <f>F80</f>
        <v>2873</v>
      </c>
      <c r="H9" s="9">
        <f>H80</f>
        <v>3135</v>
      </c>
      <c r="J9" s="9">
        <f>J80</f>
        <v>3410</v>
      </c>
      <c r="L9" s="9">
        <f>L80</f>
        <v>2163</v>
      </c>
    </row>
    <row r="10" spans="1:15" ht="15.4" thickBot="1" x14ac:dyDescent="0.45">
      <c r="B10" t="s">
        <v>7</v>
      </c>
      <c r="D10" s="10">
        <f>D8+D9</f>
        <v>118578</v>
      </c>
      <c r="F10" s="10">
        <f>F8+F9</f>
        <v>112157</v>
      </c>
      <c r="H10" s="10">
        <f>H8+H9</f>
        <v>109342</v>
      </c>
      <c r="J10" s="10">
        <f>J8+J9</f>
        <v>101865</v>
      </c>
      <c r="L10" s="10">
        <f>L8+L9</f>
        <v>96246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20</v>
      </c>
      <c r="E13" s="7" t="s">
        <v>3</v>
      </c>
      <c r="F13" s="30">
        <f>ROUND(AVERAGE(F108:F109)/F105,0)</f>
        <v>49</v>
      </c>
      <c r="G13" s="7" t="s">
        <v>3</v>
      </c>
      <c r="H13" s="30">
        <f>ROUND(AVERAGE(H108:H109)/H105,0)</f>
        <v>18</v>
      </c>
      <c r="I13" s="7" t="s">
        <v>3</v>
      </c>
      <c r="J13" s="30">
        <f>ROUND(AVERAGE(J108:J109)/J105,0)</f>
        <v>22</v>
      </c>
      <c r="K13" s="7" t="s">
        <v>3</v>
      </c>
      <c r="L13" s="30">
        <f>ROUND(AVERAGE(L108:L109)/L105,0)</f>
        <v>19</v>
      </c>
      <c r="M13" s="7" t="s">
        <v>3</v>
      </c>
      <c r="N13" s="30">
        <f>AVERAGE(D13,F13,H13,J13,L13)</f>
        <v>25.6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1.5980000000000001</v>
      </c>
      <c r="E14" s="3"/>
      <c r="F14" s="3">
        <f>ROUND(AVERAGE(F108:F109)/AVERAGE(F112,H112),3)</f>
        <v>1.371</v>
      </c>
      <c r="G14" s="3"/>
      <c r="H14" s="3">
        <f>ROUND(AVERAGE(H108:H109)/AVERAGE(H112,J112),3)</f>
        <v>1.48</v>
      </c>
      <c r="I14" s="3"/>
      <c r="J14" s="3">
        <f>ROUND(AVERAGE(J108:J109)/AVERAGE(J112,L112),3)</f>
        <v>1.3620000000000001</v>
      </c>
      <c r="K14" s="3"/>
      <c r="L14" s="3">
        <f>ROUND(AVERAGE(L108:L109)/AVERAGE(L112,N112),3)</f>
        <v>1.42</v>
      </c>
      <c r="M14" s="3"/>
      <c r="N14" s="3">
        <f>AVERAGE(D14,F14,H14,J14,L14)</f>
        <v>1.4461999999999999</v>
      </c>
    </row>
    <row r="15" spans="1:15" x14ac:dyDescent="0.4">
      <c r="B15" t="s">
        <v>9</v>
      </c>
      <c r="D15" s="3">
        <f>ROUND(D106/AVERAGE(D108:D109),3)</f>
        <v>0.04</v>
      </c>
      <c r="E15" s="3"/>
      <c r="F15" s="3">
        <f>ROUND(F106/AVERAGE(F108:F109),3)</f>
        <v>4.5999999999999999E-2</v>
      </c>
      <c r="G15" s="3"/>
      <c r="H15" s="3">
        <f>ROUND(H106/AVERAGE(H108:H109),3)</f>
        <v>4.2000000000000003E-2</v>
      </c>
      <c r="I15" s="3"/>
      <c r="J15" s="3">
        <f>ROUND(J106/AVERAGE(J108:J109),3)</f>
        <v>4.4999999999999998E-2</v>
      </c>
      <c r="K15" s="3"/>
      <c r="L15" s="3">
        <f>ROUND(L106/AVERAGE(L108:L109),3)</f>
        <v>4.2000000000000003E-2</v>
      </c>
      <c r="M15" s="3"/>
      <c r="N15" s="3">
        <f>AVERAGE(D15,F15,H15,J15,L15)</f>
        <v>4.2999999999999997E-2</v>
      </c>
    </row>
    <row r="16" spans="1:15" x14ac:dyDescent="0.4">
      <c r="B16" t="s">
        <v>10</v>
      </c>
      <c r="D16" s="3">
        <f>ROUND(D96/D66,3)</f>
        <v>0.79300000000000004</v>
      </c>
      <c r="E16" s="3"/>
      <c r="F16" s="3">
        <f>ROUND(F96/F66,3)</f>
        <v>2.2290000000000001</v>
      </c>
      <c r="G16" s="3"/>
      <c r="H16" s="3">
        <f>ROUND(H96/H66,3)</f>
        <v>0.73799999999999999</v>
      </c>
      <c r="I16" s="3"/>
      <c r="J16" s="3">
        <f>ROUND(J96/J66,3)</f>
        <v>0.97399999999999998</v>
      </c>
      <c r="K16" s="3"/>
      <c r="L16" s="3">
        <f>ROUND(L96/L66,3)</f>
        <v>0.79900000000000004</v>
      </c>
      <c r="M16" s="3"/>
      <c r="N16" s="3">
        <f>AVERAGE(D16,F16,H16,J16,L16)</f>
        <v>1.1066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0.55400000000000005</v>
      </c>
      <c r="E20" s="3"/>
      <c r="F20" s="3">
        <f>ROUND((+F76+F79)/F8,3)</f>
        <v>0.54800000000000004</v>
      </c>
      <c r="G20" s="3"/>
      <c r="H20" s="3">
        <f>ROUND((+H76+H79)/H8,3)</f>
        <v>0.54700000000000004</v>
      </c>
      <c r="I20" s="3"/>
      <c r="J20" s="3">
        <f>ROUND((+J76+J79)/J8,3)</f>
        <v>0.55400000000000005</v>
      </c>
      <c r="K20" s="3"/>
      <c r="L20" s="3">
        <f>ROUND((+L76+L79)/L8,3)</f>
        <v>0.55600000000000005</v>
      </c>
      <c r="M20" s="3"/>
      <c r="N20" s="3">
        <f>AVERAGE(D20,F20,H20,J20,L20)</f>
        <v>0.55180000000000007</v>
      </c>
    </row>
    <row r="21" spans="1:14" x14ac:dyDescent="0.4">
      <c r="B21" s="31" t="s">
        <v>93</v>
      </c>
      <c r="D21" s="3">
        <f>ROUND((SUM(D69:D75)+D81)/D8,3)</f>
        <v>3.3000000000000002E-2</v>
      </c>
      <c r="E21" s="3"/>
      <c r="F21" s="3">
        <f>ROUND((SUM(F69:F75)+F81)/F8,3)</f>
        <v>2.9000000000000001E-2</v>
      </c>
      <c r="G21" s="3"/>
      <c r="H21" s="3">
        <f>ROUND((SUM(H69:H75)+H81)/H8,3)</f>
        <v>2.9000000000000001E-2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3">
        <f>AVERAGE(D21,F21,H21,J21,L21)</f>
        <v>1.8200000000000001E-2</v>
      </c>
    </row>
    <row r="22" spans="1:14" ht="17.25" x14ac:dyDescent="0.4">
      <c r="B22" s="32" t="s">
        <v>94</v>
      </c>
      <c r="D22" s="4">
        <f>ROUND((D68-D103)/D8,3)</f>
        <v>0.41299999999999998</v>
      </c>
      <c r="E22" s="3"/>
      <c r="F22" s="4">
        <f>ROUND((F68-F103)/F8,3)</f>
        <v>0.42299999999999999</v>
      </c>
      <c r="G22" s="3"/>
      <c r="H22" s="4">
        <f>ROUND((H68-H103)/H8,3)</f>
        <v>0.42399999999999999</v>
      </c>
      <c r="I22" s="3"/>
      <c r="J22" s="4">
        <f>ROUND((J68-J103)/J8,3)</f>
        <v>0.44600000000000001</v>
      </c>
      <c r="K22" s="3"/>
      <c r="L22" s="4">
        <f>ROUND((L68-L103)/L8,3)</f>
        <v>0.44400000000000001</v>
      </c>
      <c r="M22" s="3"/>
      <c r="N22" s="4">
        <f>AVERAGE(D22,F22,H22,J22,L22)</f>
        <v>0.43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0.56599999999999995</v>
      </c>
      <c r="E25" s="3"/>
      <c r="F25" s="3">
        <f>ROUND((+F76+F79+F80)/F10,3)</f>
        <v>0.55900000000000005</v>
      </c>
      <c r="G25" s="3"/>
      <c r="H25" s="3">
        <f>ROUND((+H76+H79+H80)/H10,3)</f>
        <v>0.56000000000000005</v>
      </c>
      <c r="I25" s="3"/>
      <c r="J25" s="3">
        <f>ROUND((+J76+J79+J80)/J10,3)</f>
        <v>0.56899999999999995</v>
      </c>
      <c r="K25" s="3"/>
      <c r="L25" s="3">
        <f>ROUND((+L76+L79+L80)/L10,3)</f>
        <v>0.56599999999999995</v>
      </c>
      <c r="M25" s="3"/>
      <c r="N25" s="3">
        <f>AVERAGE(D25,F25,H25,J25,L25)</f>
        <v>0.56399999999999995</v>
      </c>
    </row>
    <row r="26" spans="1:14" x14ac:dyDescent="0.4">
      <c r="B26" s="31" t="s">
        <v>93</v>
      </c>
      <c r="D26" s="3">
        <f>ROUND((SUM(D69:D75)+D81)/D10,3)</f>
        <v>3.2000000000000001E-2</v>
      </c>
      <c r="E26" s="3"/>
      <c r="F26" s="3">
        <f>ROUND((SUM(F69:F75)+F81)/F10,3)</f>
        <v>2.8000000000000001E-2</v>
      </c>
      <c r="G26" s="3"/>
      <c r="H26" s="3">
        <f>ROUND((SUM(H69:H75)+H81)/H10,3)</f>
        <v>2.8000000000000001E-2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3">
        <f>AVERAGE(D26,F26,H26,J26,L26)</f>
        <v>1.7599999999999998E-2</v>
      </c>
    </row>
    <row r="27" spans="1:14" ht="17.25" x14ac:dyDescent="0.4">
      <c r="B27" s="32" t="s">
        <v>94</v>
      </c>
      <c r="D27" s="4">
        <f>ROUND((D68-D103)/D10,3)</f>
        <v>0.40200000000000002</v>
      </c>
      <c r="E27" s="3"/>
      <c r="F27" s="4">
        <f>ROUND((F68-F103)/F10,3)</f>
        <v>0.41199999999999998</v>
      </c>
      <c r="G27" s="3"/>
      <c r="H27" s="4">
        <f>ROUND((H68-H103)/H10,3)</f>
        <v>0.41099999999999998</v>
      </c>
      <c r="I27" s="3"/>
      <c r="J27" s="4">
        <f>ROUND((J68-J103)/J10,3)</f>
        <v>0.43099999999999999</v>
      </c>
      <c r="K27" s="3"/>
      <c r="L27" s="4">
        <f>ROUND((L68-L103)/L10,3)</f>
        <v>0.434</v>
      </c>
      <c r="M27" s="3"/>
      <c r="N27" s="4">
        <f>AVERAGE(D27,F27,H27,J27,L27)</f>
        <v>0.41800000000000004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0.99900000000000011</v>
      </c>
      <c r="G28" s="3"/>
      <c r="H28" s="5">
        <f>SUM(H25:H27)</f>
        <v>0.99900000000000011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0.99960000000000004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8.1000000000000003E-2</v>
      </c>
      <c r="E30" s="3"/>
      <c r="F30" s="3">
        <f>ROUND(+F66/(((F68-F103)+(H68-H103))/2),3)</f>
        <v>2.8000000000000001E-2</v>
      </c>
      <c r="G30" s="3"/>
      <c r="H30" s="3">
        <f>ROUND(+H66/(((H68-H103)+(J68-J103))/2),3)</f>
        <v>8.3000000000000004E-2</v>
      </c>
      <c r="I30" s="3"/>
      <c r="J30" s="3">
        <f>ROUND(+J66/(((J68-J103)+(L68-L103))/2),3)</f>
        <v>6.2E-2</v>
      </c>
      <c r="K30" s="3"/>
      <c r="L30" s="3">
        <f>ROUND(+L66/(((L68-L103)+(N68-N103))/2),3)</f>
        <v>7.3999999999999996E-2</v>
      </c>
      <c r="M30" s="3"/>
      <c r="N30" s="3">
        <f>AVERAGE(D30,F30,H30,J30,L30)</f>
        <v>6.5600000000000006E-2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0.78600000000000003</v>
      </c>
      <c r="E32" s="3"/>
      <c r="F32" s="3">
        <f>ROUND((+F58-F57)/F56,3)</f>
        <v>0.80900000000000005</v>
      </c>
      <c r="G32" s="3"/>
      <c r="H32" s="3">
        <f>ROUND((+H58-H57)/H56,3)</f>
        <v>0.77200000000000002</v>
      </c>
      <c r="I32" s="3"/>
      <c r="J32" s="3">
        <f>ROUND((+J58-J57)/J56,3)</f>
        <v>0.79100000000000004</v>
      </c>
      <c r="K32" s="3"/>
      <c r="L32" s="3">
        <f>ROUND((+L58-L57)/L56,3)</f>
        <v>0.74</v>
      </c>
      <c r="M32" s="3"/>
      <c r="N32" s="3">
        <f>AVERAGE(D32,F32,H32,J32,L32)</f>
        <v>0.77959999999999996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2.8</v>
      </c>
      <c r="E35" s="7" t="s">
        <v>3</v>
      </c>
      <c r="F35" s="7">
        <f>ROUND(((+F66+F65+F64+F63+F61+F59+F57)/F61),2)</f>
        <v>1.52</v>
      </c>
      <c r="G35" s="7" t="s">
        <v>3</v>
      </c>
      <c r="H35" s="7">
        <f>ROUND(((+H66+H65+H64+H63+H61+H59+H57)/H61),2)</f>
        <v>2.94</v>
      </c>
      <c r="I35" s="7" t="s">
        <v>3</v>
      </c>
      <c r="J35" s="7">
        <f>ROUND(((+J66+J65+J64+J63+J61+J59+J57)/J61),2)</f>
        <v>2.38</v>
      </c>
      <c r="K35" s="7" t="s">
        <v>3</v>
      </c>
      <c r="L35" s="7">
        <f>ROUND(((+L66+L65+L64+L63+L61+L59+L57)/L61),2)</f>
        <v>3.02</v>
      </c>
      <c r="M35" s="7" t="s">
        <v>3</v>
      </c>
      <c r="N35" s="26">
        <f>AVERAGE(D35,F35,H35,J35,L35)</f>
        <v>2.532</v>
      </c>
      <c r="O35" t="s">
        <v>3</v>
      </c>
    </row>
    <row r="36" spans="1:15" x14ac:dyDescent="0.4">
      <c r="B36" t="s">
        <v>21</v>
      </c>
      <c r="D36" s="7">
        <f>ROUND(((+D66+D65+D64+D63+D61)/(D61)),2)</f>
        <v>2.71</v>
      </c>
      <c r="E36" s="7" t="s">
        <v>3</v>
      </c>
      <c r="F36" s="7">
        <f>ROUND(((+F66+F65+F64+F63+F61)/(F61)),2)</f>
        <v>1.63</v>
      </c>
      <c r="G36" s="7" t="s">
        <v>3</v>
      </c>
      <c r="H36" s="7">
        <f>ROUND(((+H66+H65+H64+H63+H61)/(H61)),2)</f>
        <v>2.7</v>
      </c>
      <c r="I36" s="7" t="s">
        <v>3</v>
      </c>
      <c r="J36" s="7">
        <f>ROUND(((+J66+J65+J64+J63+J61)/(J61)),2)</f>
        <v>2.1800000000000002</v>
      </c>
      <c r="K36" s="7" t="s">
        <v>3</v>
      </c>
      <c r="L36" s="7">
        <f>ROUND(((+L66+L65+L64+L63+L61)/(L61)),2)</f>
        <v>2.4500000000000002</v>
      </c>
      <c r="M36" s="7" t="s">
        <v>3</v>
      </c>
      <c r="N36" s="26">
        <f>AVERAGE(D36,F36,H36,J36,L36)</f>
        <v>2.3340000000000005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2.59</v>
      </c>
      <c r="E37" s="7" t="s">
        <v>3</v>
      </c>
      <c r="F37" s="7">
        <f>ROUND(((+F66+F65+F64+F63+F61)/(F61+F63+F64+F65)),2)</f>
        <v>1.56</v>
      </c>
      <c r="G37" s="7" t="s">
        <v>3</v>
      </c>
      <c r="H37" s="7">
        <f>ROUND(((+H66+H65+H64+H63+H61)/(H61+H63+H64+H65)),2)</f>
        <v>2.65</v>
      </c>
      <c r="I37" s="7" t="s">
        <v>3</v>
      </c>
      <c r="J37" s="7">
        <f>ROUND(((+J66+J65+J64+J63+J61)/(J61+J63+J64+J65)),2)</f>
        <v>2.1800000000000002</v>
      </c>
      <c r="K37" s="7" t="s">
        <v>3</v>
      </c>
      <c r="L37" s="7">
        <f>ROUND(((+L66+L65+L64+L63+L61)/(L61+L63+L64+L65)),2)</f>
        <v>2.4500000000000002</v>
      </c>
      <c r="M37" s="7" t="s">
        <v>3</v>
      </c>
      <c r="N37" s="26">
        <f>AVERAGE(D37,F37,H37,J37,L37)</f>
        <v>2.286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2.69</v>
      </c>
      <c r="E40" s="7" t="s">
        <v>3</v>
      </c>
      <c r="F40" s="7">
        <f>ROUND(((+F66+F65+F64+F63-F62+F61+F59+F57)/F61),2)</f>
        <v>1.4</v>
      </c>
      <c r="G40" s="7" t="s">
        <v>3</v>
      </c>
      <c r="H40" s="7">
        <f>ROUND(((+H66+H65+H64+H63-H62+H61+H59+H57)/H61),2)</f>
        <v>2.8</v>
      </c>
      <c r="I40" s="7" t="s">
        <v>3</v>
      </c>
      <c r="J40" s="7">
        <f>ROUND(((+J66+J65+J64+J63-J62+J61+J59+J57)/J61),2)</f>
        <v>2.21</v>
      </c>
      <c r="K40" s="7" t="s">
        <v>3</v>
      </c>
      <c r="L40" s="7">
        <f>ROUND(((+L66+L65+L64+L63-L62+L61+L59+L57)/L61),2)</f>
        <v>2.84</v>
      </c>
      <c r="M40" s="7" t="s">
        <v>3</v>
      </c>
      <c r="N40" s="26">
        <f>AVERAGE(D40,F40,H40,J40,L40)</f>
        <v>2.3879999999999999</v>
      </c>
      <c r="O40" t="s">
        <v>3</v>
      </c>
    </row>
    <row r="41" spans="1:15" x14ac:dyDescent="0.4">
      <c r="B41" t="s">
        <v>21</v>
      </c>
      <c r="D41" s="7">
        <f>ROUND(((+D66+D65+D64+D63-D62+D61)/D61),2)</f>
        <v>2.6</v>
      </c>
      <c r="E41" s="7" t="s">
        <v>3</v>
      </c>
      <c r="F41" s="7">
        <f>ROUND(((+F66+F65+F64+F63-F62+F61)/F61),2)</f>
        <v>1.51</v>
      </c>
      <c r="G41" s="7" t="s">
        <v>3</v>
      </c>
      <c r="H41" s="7">
        <f>ROUND(((+H66+H65+H64+H63-H62+H61)/H61),2)</f>
        <v>2.57</v>
      </c>
      <c r="I41" s="7" t="s">
        <v>3</v>
      </c>
      <c r="J41" s="7">
        <f>ROUND(((+J66+J65+J64+J63-J62+J61)/J61),2)</f>
        <v>2.0099999999999998</v>
      </c>
      <c r="K41" s="7" t="s">
        <v>3</v>
      </c>
      <c r="L41" s="7">
        <f>ROUND(((+L66+L65+L64+L63-L62+L61)/L61),2)</f>
        <v>2.2799999999999998</v>
      </c>
      <c r="M41" s="7" t="s">
        <v>3</v>
      </c>
      <c r="N41" s="26">
        <f>AVERAGE(D41,F41,H41,J41,L41)</f>
        <v>2.194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2.4900000000000002</v>
      </c>
      <c r="E42" s="7" t="s">
        <v>3</v>
      </c>
      <c r="F42" s="7">
        <f>ROUND(((+F66+F65+F64+F63-F62+F61)/(F61+F63+F64+F65)),2)</f>
        <v>1.44</v>
      </c>
      <c r="G42" s="7" t="s">
        <v>3</v>
      </c>
      <c r="H42" s="7">
        <f>ROUND(((+H66+H65+H64+H63-H62+H61)/(H61+H63+H64+H65)),2)</f>
        <v>2.52</v>
      </c>
      <c r="I42" s="7" t="s">
        <v>3</v>
      </c>
      <c r="J42" s="7">
        <f>ROUND(((+J66+J65+J64+J63-J62+J61)/(J61+J63+J64+J65)),2)</f>
        <v>2.0099999999999998</v>
      </c>
      <c r="K42" s="7" t="s">
        <v>3</v>
      </c>
      <c r="L42" s="7">
        <f>ROUND(((+L66+L65+L64+L63-L62+L61)/(L61+L63+L64+L65)),2)</f>
        <v>2.2799999999999998</v>
      </c>
      <c r="M42" s="7" t="s">
        <v>3</v>
      </c>
      <c r="N42" s="26">
        <f>AVERAGE(D42,F42,H42,J42,L42)</f>
        <v>2.1480000000000001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6.4000000000000001E-2</v>
      </c>
      <c r="E45" s="11"/>
      <c r="F45" s="11">
        <f>ROUND(F62/F66,3)</f>
        <v>0.21099999999999999</v>
      </c>
      <c r="G45" s="11"/>
      <c r="H45" s="11">
        <f>ROUND(H62/H66,3)</f>
        <v>0.08</v>
      </c>
      <c r="I45" s="11"/>
      <c r="J45" s="11">
        <f>ROUND(J62/J66,3)</f>
        <v>0.14399999999999999</v>
      </c>
      <c r="K45" s="11"/>
      <c r="L45" s="11">
        <f>ROUND(L62/L66,3)</f>
        <v>0.11899999999999999</v>
      </c>
      <c r="M45" s="3"/>
      <c r="N45" s="3">
        <f t="shared" ref="N45:N50" si="0">AVERAGE(D45,F45,H45,J45,L45)</f>
        <v>0.1236</v>
      </c>
    </row>
    <row r="46" spans="1:15" x14ac:dyDescent="0.4">
      <c r="B46" t="s">
        <v>17</v>
      </c>
      <c r="D46" s="17">
        <f>ROUND((D57+D59)/(D57+D59+D66+D63+D64+D65),3)</f>
        <v>4.7E-2</v>
      </c>
      <c r="E46" s="18"/>
      <c r="F46" s="17">
        <f>ROUND((F57+F59)/(F57+F59+F66+F63+F64+F65),3)</f>
        <v>-0.20799999999999999</v>
      </c>
      <c r="G46" s="18"/>
      <c r="H46" s="17">
        <f>ROUND((H57+H59)/(H57+H59+H66+H63+H64+H65),3)</f>
        <v>0.122</v>
      </c>
      <c r="I46" s="18"/>
      <c r="J46" s="17">
        <f>ROUND((J57+J59)/(J57+J59+J66+J63+J64+J65),3)</f>
        <v>0.14499999999999999</v>
      </c>
      <c r="K46" s="18"/>
      <c r="L46" s="17">
        <f>ROUND((L57+L59)/(L57+L59+L66+L63+L64+L65),3)</f>
        <v>0.28100000000000003</v>
      </c>
      <c r="N46" s="3">
        <f t="shared" si="0"/>
        <v>7.7399999999999997E-2</v>
      </c>
    </row>
    <row r="47" spans="1:15" ht="17.25" x14ac:dyDescent="0.4">
      <c r="B47" s="33" t="s">
        <v>100</v>
      </c>
      <c r="D47" s="11">
        <f>ROUND(((+D82+D83+D84+D85+D86-D87+D88-D90-D91)/(+D89-D87)),3)</f>
        <v>0.61499999999999999</v>
      </c>
      <c r="E47" s="12"/>
      <c r="F47" s="11">
        <f>ROUND(((+F82+F83+F84+F85+F86-F87+F88-F90-F91)/(+F89-F87)),3)</f>
        <v>0.67400000000000004</v>
      </c>
      <c r="G47" s="12"/>
      <c r="H47" s="11">
        <f>ROUND(((+H82+H83+H84+H85+H86-H87+H88-H90-H91)/(+H89-H87)),3)</f>
        <v>0.48</v>
      </c>
      <c r="I47" s="12"/>
      <c r="J47" s="11">
        <f>ROUND(((+J82+J83+J84+J85+J86-J87+J88-J90-J91)/(+J89-J87)),3)</f>
        <v>0.623</v>
      </c>
      <c r="K47" s="12"/>
      <c r="L47" s="11">
        <f>ROUND(((+L82+L83+L84+L85+L86-L87+L88-L90-L91)/(+L89-L87)),3)</f>
        <v>0.69099999999999995</v>
      </c>
      <c r="N47" s="3">
        <f t="shared" si="0"/>
        <v>0.61660000000000004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0.13800000000000001</v>
      </c>
      <c r="E48" s="12"/>
      <c r="F48" s="11">
        <f>ROUND(((+F82+F83+F84+F85+F86-F87+F88)/(AVERAGE(F76,H76)+AVERAGE(F79,H79)+AVERAGE(F80,H80))),3)</f>
        <v>0.151</v>
      </c>
      <c r="G48" s="12"/>
      <c r="H48" s="11">
        <f>ROUND(((+H82+H83+H84+H85+H86-H87+H88)/(AVERAGE(H76,J76)+AVERAGE(H79,J79)+AVERAGE(H80,J80))),3)</f>
        <v>0.13300000000000001</v>
      </c>
      <c r="I48" s="12"/>
      <c r="J48" s="11">
        <f>ROUND(((+J82+J83+J84+J85+J86-J87+J88)/(AVERAGE(J76,L76)+AVERAGE(J79,L79)+AVERAGE(J80,L80))),3)</f>
        <v>0.14799999999999999</v>
      </c>
      <c r="K48" s="12"/>
      <c r="L48" s="11">
        <f>ROUND(((+L82+L83+L84+L85+L86-L87+L88)/(AVERAGE(L76,N76)+AVERAGE(L79,N79)+AVERAGE(L80,N80))),3)</f>
        <v>0.153</v>
      </c>
      <c r="N48" s="3">
        <f t="shared" si="0"/>
        <v>0.14460000000000001</v>
      </c>
    </row>
    <row r="49" spans="1:15" ht="17.25" x14ac:dyDescent="0.4">
      <c r="B49" s="33" t="s">
        <v>102</v>
      </c>
      <c r="D49" s="27">
        <f>ROUND(((+D82+D83+D84+D85+D86-D87+D88+D92)/D61),2)</f>
        <v>4.92</v>
      </c>
      <c r="E49" t="s">
        <v>3</v>
      </c>
      <c r="F49" s="27">
        <f>ROUND(((+F82+F83+F84+F85+F86-F87+F88+F92)/F61),2)</f>
        <v>5.35</v>
      </c>
      <c r="G49" t="s">
        <v>3</v>
      </c>
      <c r="H49" s="27">
        <f>ROUND(((+H82+H83+H84+H85+H86-H87+H88+H92)/H61),2)</f>
        <v>4.5999999999999996</v>
      </c>
      <c r="I49" t="s">
        <v>3</v>
      </c>
      <c r="J49" s="27">
        <f>ROUND(((+J82+J83+J84+J85+J86-J87+J88+J92)/J61),2)</f>
        <v>4.63</v>
      </c>
      <c r="K49" t="s">
        <v>3</v>
      </c>
      <c r="L49" s="27">
        <f>ROUND(((+L82+L83+L84+L85+L86-L87+L88+L92)/L61),2)</f>
        <v>4.72</v>
      </c>
      <c r="M49" t="s">
        <v>3</v>
      </c>
      <c r="N49" s="27">
        <f t="shared" si="0"/>
        <v>4.8439999999999994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2.88</v>
      </c>
      <c r="E50" t="s">
        <v>3</v>
      </c>
      <c r="F50" s="27">
        <f>ROUND(((+F82+F83+F84+F85+F86-F87+F88-F91)/+F90),2)</f>
        <v>3.34</v>
      </c>
      <c r="G50" t="s">
        <v>3</v>
      </c>
      <c r="H50" s="27">
        <f>ROUND(((+H82+H83+H84+H85+H86-H87+H88-H91)/+H90),2)</f>
        <v>2.97</v>
      </c>
      <c r="I50" t="s">
        <v>3</v>
      </c>
      <c r="J50" s="27">
        <f>ROUND(((+J82+J83+J84+J85+J86-J87+J88-J91)/+J90),2)</f>
        <v>3.37</v>
      </c>
      <c r="K50" t="s">
        <v>3</v>
      </c>
      <c r="L50" s="27">
        <f>ROUND(((+L82+L83+L84+L85+L86-L87+L88-L91)/+L90),2)</f>
        <v>3.27</v>
      </c>
      <c r="M50" t="s">
        <v>3</v>
      </c>
      <c r="N50" s="27">
        <f t="shared" si="0"/>
        <v>3.1659999999999995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77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25097</v>
      </c>
      <c r="E56" s="22"/>
      <c r="F56" s="22">
        <v>23868</v>
      </c>
      <c r="G56" s="22"/>
      <c r="H56" s="22">
        <v>25079</v>
      </c>
      <c r="I56" s="22"/>
      <c r="J56" s="22">
        <v>24521</v>
      </c>
      <c r="K56" s="22"/>
      <c r="L56" s="22">
        <v>23565</v>
      </c>
      <c r="M56" s="22"/>
      <c r="N56" s="22">
        <v>22754</v>
      </c>
    </row>
    <row r="57" spans="1:15" x14ac:dyDescent="0.4">
      <c r="A57" s="20" t="s">
        <v>23</v>
      </c>
      <c r="B57" s="20"/>
      <c r="C57" s="20"/>
      <c r="D57" s="22">
        <v>192</v>
      </c>
      <c r="E57" s="22"/>
      <c r="F57" s="22">
        <v>-236</v>
      </c>
      <c r="G57" s="22"/>
      <c r="H57" s="22">
        <v>519</v>
      </c>
      <c r="I57" s="22"/>
      <c r="J57" s="22">
        <v>448</v>
      </c>
      <c r="K57" s="22"/>
      <c r="L57" s="22">
        <v>1196</v>
      </c>
      <c r="M57" s="22"/>
      <c r="N57" s="22">
        <v>1156</v>
      </c>
    </row>
    <row r="58" spans="1:15" x14ac:dyDescent="0.4">
      <c r="A58" s="20" t="s">
        <v>24</v>
      </c>
      <c r="B58" s="20"/>
      <c r="C58" s="20"/>
      <c r="D58" s="22">
        <f>19737-13+D57</f>
        <v>19916</v>
      </c>
      <c r="E58" s="22"/>
      <c r="F58" s="22">
        <f>19325-10+F57</f>
        <v>19079</v>
      </c>
      <c r="G58" s="22"/>
      <c r="H58" s="22">
        <f>19366+H57</f>
        <v>19885</v>
      </c>
      <c r="I58" s="22"/>
      <c r="J58" s="22">
        <v>19848</v>
      </c>
      <c r="K58" s="22"/>
      <c r="L58" s="22">
        <v>18632</v>
      </c>
      <c r="M58" s="22"/>
      <c r="N58" s="22">
        <v>18188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5373-D57+671+329</f>
        <v>6181</v>
      </c>
      <c r="E60" s="22"/>
      <c r="F60" s="22">
        <f>4553-F57-1552+295</f>
        <v>3532</v>
      </c>
      <c r="G60" s="22"/>
      <c r="H60" s="22">
        <f>5709-H57+592-7+177</f>
        <v>5952</v>
      </c>
      <c r="I60" s="22"/>
      <c r="J60" s="22">
        <v>4713</v>
      </c>
      <c r="K60" s="22"/>
      <c r="L60" s="22">
        <v>5055</v>
      </c>
      <c r="M60" s="22"/>
      <c r="N60" s="22">
        <v>4260</v>
      </c>
    </row>
    <row r="61" spans="1:15" x14ac:dyDescent="0.4">
      <c r="A61" s="20" t="s">
        <v>27</v>
      </c>
      <c r="B61" s="20"/>
      <c r="C61" s="20"/>
      <c r="D61" s="22">
        <v>2280</v>
      </c>
      <c r="E61" s="22"/>
      <c r="F61" s="22">
        <v>2162</v>
      </c>
      <c r="G61" s="22"/>
      <c r="H61" s="22">
        <v>2204</v>
      </c>
      <c r="I61" s="22"/>
      <c r="J61" s="22">
        <v>2249</v>
      </c>
      <c r="K61" s="22"/>
      <c r="L61" s="22">
        <v>2113</v>
      </c>
      <c r="M61" s="22"/>
      <c r="N61" s="22">
        <v>1782</v>
      </c>
    </row>
    <row r="62" spans="1:15" x14ac:dyDescent="0.4">
      <c r="A62" s="20" t="s">
        <v>28</v>
      </c>
      <c r="B62" s="20"/>
      <c r="C62" s="20"/>
      <c r="D62" s="22">
        <f>171+72</f>
        <v>243</v>
      </c>
      <c r="E62" s="22"/>
      <c r="F62" s="22">
        <f>154+112</f>
        <v>266</v>
      </c>
      <c r="G62" s="22"/>
      <c r="H62" s="22">
        <f>139+159</f>
        <v>298</v>
      </c>
      <c r="I62" s="22"/>
      <c r="J62" s="22">
        <v>382</v>
      </c>
      <c r="K62" s="22"/>
      <c r="L62" s="22">
        <v>365</v>
      </c>
      <c r="M62" s="22"/>
      <c r="N62" s="22">
        <v>300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106</v>
      </c>
      <c r="E64" s="22"/>
      <c r="F64" s="22">
        <v>107</v>
      </c>
      <c r="G64" s="22"/>
      <c r="H64" s="22">
        <v>41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f>3572+329-106</f>
        <v>3795</v>
      </c>
      <c r="E66" s="22"/>
      <c r="F66" s="22">
        <f>1075+295-107</f>
        <v>1263</v>
      </c>
      <c r="G66" s="22"/>
      <c r="H66" s="22">
        <v>3707</v>
      </c>
      <c r="I66" s="22"/>
      <c r="J66" s="22">
        <v>2647</v>
      </c>
      <c r="K66" s="22"/>
      <c r="L66" s="22">
        <v>3065</v>
      </c>
      <c r="M66" s="22"/>
      <c r="N66" s="22">
        <v>2560</v>
      </c>
    </row>
    <row r="67" spans="1:14" x14ac:dyDescent="0.4">
      <c r="A67" s="20" t="s">
        <v>33</v>
      </c>
      <c r="B67" s="20"/>
      <c r="C67" s="20"/>
      <c r="D67" s="22">
        <v>4.93</v>
      </c>
      <c r="E67" s="22"/>
      <c r="F67" s="22">
        <v>1.71</v>
      </c>
      <c r="G67" s="22"/>
      <c r="H67" s="22">
        <v>5.07</v>
      </c>
      <c r="I67" s="22"/>
      <c r="J67" s="22">
        <v>3.73</v>
      </c>
      <c r="K67" s="22"/>
      <c r="L67" s="22">
        <v>4.37</v>
      </c>
      <c r="M67" s="22"/>
      <c r="N67" s="22">
        <v>3.71</v>
      </c>
    </row>
    <row r="68" spans="1:14" x14ac:dyDescent="0.4">
      <c r="A68" s="20" t="s">
        <v>34</v>
      </c>
      <c r="B68" s="20"/>
      <c r="C68" s="20"/>
      <c r="D68" s="22">
        <f>49296-D71</f>
        <v>47334</v>
      </c>
      <c r="E68" s="22"/>
      <c r="F68" s="22">
        <f>47964-F71</f>
        <v>46002</v>
      </c>
      <c r="G68" s="22"/>
      <c r="H68" s="22">
        <f>46822-H71</f>
        <v>44860</v>
      </c>
      <c r="I68" s="22"/>
      <c r="J68" s="22">
        <v>43817</v>
      </c>
      <c r="K68" s="22"/>
      <c r="L68" s="22">
        <v>41739</v>
      </c>
      <c r="M68" s="22"/>
      <c r="N68" s="22">
        <v>41033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f>973+989</f>
        <v>1962</v>
      </c>
      <c r="E71" s="22"/>
      <c r="F71" s="22">
        <f>973+989</f>
        <v>1962</v>
      </c>
      <c r="G71" s="22"/>
      <c r="H71" s="22">
        <f>973+989</f>
        <v>1962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1840</v>
      </c>
      <c r="E75" s="22"/>
      <c r="F75" s="22">
        <v>1220</v>
      </c>
      <c r="G75" s="22"/>
      <c r="H75" s="22">
        <v>1129</v>
      </c>
      <c r="I75" s="22"/>
      <c r="J75" s="22">
        <v>17</v>
      </c>
      <c r="K75" s="22"/>
      <c r="L75" s="22">
        <v>-2</v>
      </c>
      <c r="M75" s="22"/>
      <c r="N75" s="22">
        <v>8</v>
      </c>
    </row>
    <row r="76" spans="1:14" x14ac:dyDescent="0.4">
      <c r="A76" s="20" t="s">
        <v>42</v>
      </c>
      <c r="B76" s="20"/>
      <c r="C76" s="20"/>
      <c r="D76" s="22">
        <v>60448</v>
      </c>
      <c r="E76" s="22"/>
      <c r="F76" s="22">
        <v>55625</v>
      </c>
      <c r="G76" s="22"/>
      <c r="H76" s="22">
        <v>54985</v>
      </c>
      <c r="I76" s="22"/>
      <c r="J76" s="22">
        <v>51123</v>
      </c>
      <c r="K76" s="22"/>
      <c r="L76" s="22">
        <v>49035</v>
      </c>
      <c r="M76" s="22"/>
      <c r="N76" s="22">
        <v>45576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111584</v>
      </c>
      <c r="E78" s="22"/>
      <c r="F78" s="22">
        <f>SUM(F68:F77)</f>
        <v>104809</v>
      </c>
      <c r="G78" s="22"/>
      <c r="H78" s="22">
        <f>SUM(H68:H77)</f>
        <v>102936</v>
      </c>
      <c r="I78" s="22"/>
      <c r="J78" s="22">
        <v>94957</v>
      </c>
      <c r="K78" s="22"/>
      <c r="L78" s="22">
        <v>90772</v>
      </c>
      <c r="M78" s="22"/>
      <c r="N78" s="22">
        <v>86617</v>
      </c>
    </row>
    <row r="79" spans="1:14" x14ac:dyDescent="0.4">
      <c r="A79" s="20" t="s">
        <v>45</v>
      </c>
      <c r="B79" s="20"/>
      <c r="C79" s="20"/>
      <c r="D79" s="22">
        <v>3387</v>
      </c>
      <c r="E79" s="22"/>
      <c r="F79" s="22">
        <v>4238</v>
      </c>
      <c r="G79" s="22"/>
      <c r="H79" s="22">
        <v>3141</v>
      </c>
      <c r="I79" s="22"/>
      <c r="J79" s="22">
        <v>3406</v>
      </c>
      <c r="K79" s="22"/>
      <c r="L79" s="22">
        <v>3244</v>
      </c>
      <c r="M79" s="22"/>
      <c r="N79" s="22">
        <v>2319</v>
      </c>
    </row>
    <row r="80" spans="1:14" x14ac:dyDescent="0.4">
      <c r="A80" s="20" t="s">
        <v>46</v>
      </c>
      <c r="B80" s="20"/>
      <c r="C80" s="20"/>
      <c r="D80" s="22">
        <v>3304</v>
      </c>
      <c r="E80" s="22"/>
      <c r="F80" s="22">
        <v>2873</v>
      </c>
      <c r="G80" s="22"/>
      <c r="H80" s="22">
        <v>3135</v>
      </c>
      <c r="I80" s="22"/>
      <c r="J80" s="22">
        <v>3410</v>
      </c>
      <c r="K80" s="22"/>
      <c r="L80" s="22">
        <v>2163</v>
      </c>
      <c r="M80" s="22"/>
      <c r="N80" s="22">
        <v>2487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3579</v>
      </c>
      <c r="E82" s="22"/>
      <c r="F82" s="22">
        <v>1082</v>
      </c>
      <c r="G82" s="22"/>
      <c r="H82" s="22">
        <v>3571</v>
      </c>
      <c r="I82" s="22"/>
      <c r="J82" s="22">
        <v>2625</v>
      </c>
      <c r="K82" s="22"/>
      <c r="L82" s="22">
        <v>3070</v>
      </c>
      <c r="M82" s="22"/>
      <c r="N82" s="22">
        <v>2578</v>
      </c>
    </row>
    <row r="83" spans="1:16" x14ac:dyDescent="0.4">
      <c r="A83" s="20" t="s">
        <v>49</v>
      </c>
      <c r="B83" s="20"/>
      <c r="C83" s="20"/>
      <c r="D83" s="22">
        <v>5663</v>
      </c>
      <c r="E83" s="22"/>
      <c r="F83" s="22">
        <v>5486</v>
      </c>
      <c r="G83" s="22"/>
      <c r="H83" s="22">
        <v>5176</v>
      </c>
      <c r="I83" s="22"/>
      <c r="J83" s="22">
        <v>4696</v>
      </c>
      <c r="K83" s="22"/>
      <c r="L83" s="22">
        <v>4046</v>
      </c>
      <c r="M83" s="22"/>
      <c r="N83" s="22">
        <v>3880</v>
      </c>
    </row>
    <row r="84" spans="1:16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6" x14ac:dyDescent="0.4">
      <c r="A85" s="20" t="s">
        <v>51</v>
      </c>
      <c r="B85" s="20"/>
      <c r="C85" s="20"/>
      <c r="D85" s="22">
        <v>191</v>
      </c>
      <c r="E85" s="22"/>
      <c r="F85" s="22">
        <v>54</v>
      </c>
      <c r="G85" s="22"/>
      <c r="H85" s="22">
        <v>806</v>
      </c>
      <c r="I85" s="22"/>
      <c r="J85" s="22">
        <v>1079</v>
      </c>
      <c r="K85" s="22"/>
      <c r="L85" s="22">
        <v>1433</v>
      </c>
      <c r="M85" s="22"/>
      <c r="N85" s="22">
        <v>900</v>
      </c>
    </row>
    <row r="86" spans="1:16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6" x14ac:dyDescent="0.4">
      <c r="A87" s="20" t="s">
        <v>53</v>
      </c>
      <c r="B87" s="20"/>
      <c r="C87" s="20"/>
      <c r="D87" s="22">
        <v>171</v>
      </c>
      <c r="E87" s="22"/>
      <c r="F87" s="22">
        <v>154</v>
      </c>
      <c r="G87" s="22"/>
      <c r="H87" s="22">
        <v>139</v>
      </c>
      <c r="I87" s="22"/>
      <c r="J87" s="22">
        <v>221</v>
      </c>
      <c r="K87" s="22"/>
      <c r="L87" s="22">
        <v>237</v>
      </c>
      <c r="M87" s="22"/>
      <c r="N87" s="22">
        <v>200</v>
      </c>
      <c r="O87" s="22"/>
      <c r="P87" s="22"/>
    </row>
    <row r="88" spans="1:16" x14ac:dyDescent="0.4">
      <c r="A88" s="20" t="s">
        <v>69</v>
      </c>
      <c r="B88" s="20"/>
      <c r="C88" s="20"/>
      <c r="D88" s="22">
        <f>-28+356-540-70</f>
        <v>-282</v>
      </c>
      <c r="E88" s="22"/>
      <c r="F88" s="22">
        <f>2005-10+984-610-22+572</f>
        <v>2919</v>
      </c>
      <c r="G88" s="22"/>
      <c r="H88" s="22">
        <f>4-8-162+24-77-746+60-573</f>
        <v>-1478</v>
      </c>
      <c r="I88" s="22"/>
      <c r="J88" s="22">
        <v>146</v>
      </c>
      <c r="K88" s="22"/>
      <c r="L88" s="22">
        <v>-300</v>
      </c>
      <c r="M88" s="22"/>
      <c r="N88" s="22">
        <v>-437</v>
      </c>
    </row>
    <row r="89" spans="1:16" x14ac:dyDescent="0.4">
      <c r="A89" s="20" t="s">
        <v>54</v>
      </c>
      <c r="B89" s="20"/>
      <c r="C89" s="20"/>
      <c r="D89" s="22">
        <v>9715</v>
      </c>
      <c r="E89" s="22"/>
      <c r="F89" s="22">
        <v>9907</v>
      </c>
      <c r="G89" s="22"/>
      <c r="H89" s="22">
        <v>11122</v>
      </c>
      <c r="I89" s="22"/>
      <c r="J89" s="22">
        <v>9610</v>
      </c>
      <c r="K89" s="22"/>
      <c r="L89" s="22">
        <v>8289</v>
      </c>
      <c r="M89" s="22"/>
      <c r="N89" s="22">
        <v>8101</v>
      </c>
    </row>
    <row r="90" spans="1:16" x14ac:dyDescent="0.4">
      <c r="A90" s="20" t="s">
        <v>55</v>
      </c>
      <c r="B90" s="20"/>
      <c r="C90" s="20"/>
      <c r="D90" s="22">
        <v>3114</v>
      </c>
      <c r="E90" s="22"/>
      <c r="F90" s="22">
        <v>2812</v>
      </c>
      <c r="G90" s="22"/>
      <c r="H90" s="22">
        <v>2668</v>
      </c>
      <c r="I90" s="22"/>
      <c r="J90" s="22">
        <v>2471</v>
      </c>
      <c r="K90" s="22"/>
      <c r="L90" s="22">
        <v>2450</v>
      </c>
      <c r="M90" s="22"/>
      <c r="N90" s="22">
        <v>2332</v>
      </c>
    </row>
    <row r="91" spans="1:16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6" x14ac:dyDescent="0.4">
      <c r="A92" s="20" t="s">
        <v>57</v>
      </c>
      <c r="B92" s="20"/>
      <c r="C92" s="20"/>
      <c r="D92" s="22">
        <v>2248</v>
      </c>
      <c r="E92" s="22"/>
      <c r="F92" s="22">
        <v>2186</v>
      </c>
      <c r="G92" s="22"/>
      <c r="H92" s="22">
        <v>2195</v>
      </c>
      <c r="I92" s="22"/>
      <c r="J92" s="22">
        <v>2086</v>
      </c>
      <c r="K92" s="22"/>
      <c r="L92" s="22">
        <v>1963</v>
      </c>
      <c r="M92" s="22"/>
      <c r="N92" s="22">
        <v>1794</v>
      </c>
    </row>
    <row r="93" spans="1:16" x14ac:dyDescent="0.4">
      <c r="A93" s="20" t="s">
        <v>58</v>
      </c>
      <c r="B93" s="20"/>
      <c r="C93" s="20"/>
      <c r="D93" s="22">
        <v>-3</v>
      </c>
      <c r="E93" s="22"/>
      <c r="F93" s="22">
        <v>-585</v>
      </c>
      <c r="G93" s="22"/>
      <c r="H93" s="22">
        <v>-651</v>
      </c>
      <c r="I93" s="22"/>
      <c r="J93" s="22">
        <v>-266</v>
      </c>
      <c r="K93" s="22"/>
      <c r="L93" s="22">
        <v>4</v>
      </c>
      <c r="M93" s="22"/>
      <c r="N93" s="22">
        <v>229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6" x14ac:dyDescent="0.4">
      <c r="A96" s="20" t="s">
        <v>59</v>
      </c>
      <c r="B96" s="20"/>
      <c r="C96" s="20"/>
      <c r="D96" s="22">
        <v>3008</v>
      </c>
      <c r="E96" s="22"/>
      <c r="F96" s="22">
        <v>2815</v>
      </c>
      <c r="G96" s="22"/>
      <c r="H96" s="22">
        <v>2735</v>
      </c>
      <c r="I96" s="22"/>
      <c r="J96" s="22">
        <v>2578</v>
      </c>
      <c r="K96" s="22"/>
      <c r="L96" s="22">
        <v>2450</v>
      </c>
      <c r="M96" s="22"/>
      <c r="N96" s="22">
        <v>2332</v>
      </c>
    </row>
    <row r="97" spans="1:14" x14ac:dyDescent="0.4">
      <c r="A97" s="20" t="s">
        <v>60</v>
      </c>
      <c r="B97" s="20"/>
      <c r="C97" s="20"/>
      <c r="D97" s="22">
        <v>3.9</v>
      </c>
      <c r="E97" s="22"/>
      <c r="F97" s="22">
        <v>3.82</v>
      </c>
      <c r="G97" s="22"/>
      <c r="H97" s="22">
        <v>3.75</v>
      </c>
      <c r="I97" s="22"/>
      <c r="J97" s="22">
        <v>3.6349999999999998</v>
      </c>
      <c r="K97" s="22"/>
      <c r="L97" s="22">
        <v>3.49</v>
      </c>
      <c r="M97" s="22"/>
      <c r="N97" s="22">
        <v>3.36</v>
      </c>
    </row>
    <row r="98" spans="1:14" x14ac:dyDescent="0.4">
      <c r="A98" s="20" t="s">
        <v>61</v>
      </c>
      <c r="B98" s="20"/>
      <c r="C98" s="20"/>
      <c r="D98" s="22">
        <v>3.9</v>
      </c>
      <c r="E98" s="22"/>
      <c r="F98" s="22">
        <v>3.82</v>
      </c>
      <c r="G98" s="22"/>
      <c r="H98" s="22">
        <v>3.75</v>
      </c>
      <c r="I98" s="22"/>
      <c r="J98" s="22">
        <v>3.6349999999999998</v>
      </c>
      <c r="K98" s="22"/>
      <c r="L98" s="22">
        <v>3.49</v>
      </c>
      <c r="M98" s="22"/>
      <c r="N98" s="22">
        <v>3.36</v>
      </c>
    </row>
    <row r="99" spans="1:14" x14ac:dyDescent="0.4">
      <c r="A99" s="20" t="s">
        <v>62</v>
      </c>
      <c r="B99" s="20"/>
      <c r="C99" s="20"/>
      <c r="D99" s="22">
        <v>108.38</v>
      </c>
      <c r="E99" s="22"/>
      <c r="F99" s="22">
        <v>103.79</v>
      </c>
      <c r="G99" s="22"/>
      <c r="H99" s="22">
        <v>97.37</v>
      </c>
      <c r="I99" s="22"/>
      <c r="J99" s="22">
        <v>91.35</v>
      </c>
      <c r="K99" s="22"/>
      <c r="L99" s="22">
        <v>91.8</v>
      </c>
      <c r="M99" s="22"/>
      <c r="N99" s="22">
        <v>87.75</v>
      </c>
    </row>
    <row r="100" spans="1:14" x14ac:dyDescent="0.4">
      <c r="A100" s="20" t="s">
        <v>63</v>
      </c>
      <c r="B100" s="20"/>
      <c r="C100" s="20"/>
      <c r="D100" s="22">
        <v>85.56</v>
      </c>
      <c r="E100" s="22"/>
      <c r="F100" s="22">
        <v>62.13</v>
      </c>
      <c r="G100" s="22"/>
      <c r="H100" s="22">
        <v>82.46</v>
      </c>
      <c r="I100" s="22"/>
      <c r="J100" s="22">
        <v>71.959999999999994</v>
      </c>
      <c r="K100" s="22"/>
      <c r="L100" s="22">
        <v>76.14</v>
      </c>
      <c r="M100" s="22"/>
      <c r="N100" s="22">
        <v>70.16</v>
      </c>
    </row>
    <row r="101" spans="1:14" x14ac:dyDescent="0.4">
      <c r="A101" s="20" t="s">
        <v>64</v>
      </c>
      <c r="B101" s="20"/>
      <c r="C101" s="20"/>
      <c r="D101" s="22">
        <v>104.9</v>
      </c>
      <c r="E101" s="22"/>
      <c r="F101" s="22">
        <v>91.559997999999993</v>
      </c>
      <c r="G101" s="22"/>
      <c r="H101" s="22">
        <v>91.209998999999996</v>
      </c>
      <c r="I101" s="22"/>
      <c r="J101" s="22">
        <v>86.3</v>
      </c>
      <c r="K101" s="22"/>
      <c r="L101" s="22">
        <v>84.11</v>
      </c>
      <c r="M101" s="22"/>
      <c r="N101" s="22">
        <v>77.62</v>
      </c>
    </row>
    <row r="102" spans="1:14" x14ac:dyDescent="0.4">
      <c r="A102" s="20" t="s">
        <v>65</v>
      </c>
      <c r="B102" s="20"/>
      <c r="C102" s="20"/>
      <c r="D102" s="22">
        <v>769</v>
      </c>
      <c r="E102" s="22"/>
      <c r="F102" s="22">
        <v>769</v>
      </c>
      <c r="G102" s="22"/>
      <c r="H102" s="22">
        <v>733</v>
      </c>
      <c r="I102" s="22"/>
      <c r="J102" s="22">
        <v>727</v>
      </c>
      <c r="K102" s="22"/>
      <c r="L102" s="22">
        <v>700</v>
      </c>
      <c r="M102" s="22"/>
      <c r="N102" s="22">
        <v>700</v>
      </c>
    </row>
    <row r="103" spans="1:14" x14ac:dyDescent="0.4">
      <c r="A103" s="20" t="s">
        <v>91</v>
      </c>
      <c r="B103" s="20"/>
      <c r="C103" s="20"/>
      <c r="D103" s="22">
        <v>-303</v>
      </c>
      <c r="E103" s="22"/>
      <c r="F103" s="22">
        <v>-237</v>
      </c>
      <c r="G103" s="22"/>
      <c r="H103" s="22">
        <v>-130</v>
      </c>
      <c r="I103" s="22"/>
      <c r="J103" s="22">
        <v>-92</v>
      </c>
      <c r="K103" s="22"/>
      <c r="L103" s="22">
        <v>-67</v>
      </c>
      <c r="M103" s="22"/>
      <c r="N103" s="22">
        <v>-93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4.93</v>
      </c>
      <c r="F105" s="15">
        <f>F67/F94</f>
        <v>1.71</v>
      </c>
      <c r="H105" s="15">
        <f>H67/H94</f>
        <v>5.07</v>
      </c>
      <c r="J105" s="15">
        <f>J67/J94</f>
        <v>3.73</v>
      </c>
      <c r="L105" s="15">
        <f>L67/L94</f>
        <v>4.37</v>
      </c>
      <c r="N105" s="15">
        <f>N67/N94</f>
        <v>3.71</v>
      </c>
    </row>
    <row r="106" spans="1:14" x14ac:dyDescent="0.4">
      <c r="B106" t="s">
        <v>60</v>
      </c>
      <c r="D106" s="15">
        <f>D97/D94</f>
        <v>3.9</v>
      </c>
      <c r="F106" s="15">
        <f>F97/F94</f>
        <v>3.82</v>
      </c>
      <c r="H106" s="15">
        <f>H97/H94</f>
        <v>3.75</v>
      </c>
      <c r="J106" s="15">
        <f>J97/J94</f>
        <v>3.6349999999999998</v>
      </c>
      <c r="L106" s="15">
        <f>L97/L94</f>
        <v>3.49</v>
      </c>
      <c r="N106" s="15">
        <f>N97/N94</f>
        <v>3.36</v>
      </c>
    </row>
    <row r="107" spans="1:14" x14ac:dyDescent="0.4">
      <c r="B107" t="s">
        <v>61</v>
      </c>
      <c r="D107" s="15">
        <f>D98/D94</f>
        <v>3.9</v>
      </c>
      <c r="F107" s="15">
        <f>F98/F94</f>
        <v>3.82</v>
      </c>
      <c r="H107" s="15">
        <f>H98/H94</f>
        <v>3.75</v>
      </c>
      <c r="J107" s="15">
        <f>J98/J94</f>
        <v>3.6349999999999998</v>
      </c>
      <c r="L107" s="15">
        <f>L98/L94</f>
        <v>3.49</v>
      </c>
      <c r="N107" s="15">
        <f>N98/N94</f>
        <v>3.36</v>
      </c>
    </row>
    <row r="108" spans="1:14" x14ac:dyDescent="0.4">
      <c r="B108" t="s">
        <v>62</v>
      </c>
      <c r="D108" s="15">
        <f>D99/D94</f>
        <v>108.38</v>
      </c>
      <c r="F108" s="15">
        <f>F99/F94</f>
        <v>103.79</v>
      </c>
      <c r="H108" s="15">
        <f>H99/H94</f>
        <v>97.37</v>
      </c>
      <c r="J108" s="15">
        <f>J99/J94</f>
        <v>91.35</v>
      </c>
      <c r="L108" s="15">
        <f>L99/L94</f>
        <v>91.8</v>
      </c>
      <c r="N108" s="15">
        <f>N99/N94</f>
        <v>87.75</v>
      </c>
    </row>
    <row r="109" spans="1:14" x14ac:dyDescent="0.4">
      <c r="B109" t="s">
        <v>63</v>
      </c>
      <c r="D109" s="15">
        <f>D100/D94</f>
        <v>85.56</v>
      </c>
      <c r="F109" s="15">
        <f>F100/F94</f>
        <v>62.13</v>
      </c>
      <c r="H109" s="15">
        <f>H100/H94</f>
        <v>82.46</v>
      </c>
      <c r="J109" s="15">
        <f>J100/J94</f>
        <v>71.959999999999994</v>
      </c>
      <c r="L109" s="15">
        <f>L100/L94</f>
        <v>76.14</v>
      </c>
      <c r="N109" s="15">
        <f>N100/N94</f>
        <v>70.16</v>
      </c>
    </row>
    <row r="110" spans="1:14" x14ac:dyDescent="0.4">
      <c r="B110" t="s">
        <v>64</v>
      </c>
      <c r="D110" s="15">
        <f>D101/D94</f>
        <v>104.9</v>
      </c>
      <c r="F110" s="15">
        <f>F101/F94</f>
        <v>91.559997999999993</v>
      </c>
      <c r="H110" s="15">
        <f>H101/H94</f>
        <v>91.209998999999996</v>
      </c>
      <c r="J110" s="15">
        <f>J101/J94</f>
        <v>86.3</v>
      </c>
      <c r="L110" s="15">
        <f>L101/L94</f>
        <v>84.11</v>
      </c>
      <c r="N110" s="15">
        <f>N101/N94</f>
        <v>77.62</v>
      </c>
    </row>
    <row r="111" spans="1:14" x14ac:dyDescent="0.4">
      <c r="B111" t="s">
        <v>65</v>
      </c>
      <c r="D111" s="16">
        <f>D102*D94</f>
        <v>769</v>
      </c>
      <c r="E111" s="16"/>
      <c r="F111" s="16">
        <f>F102*F94</f>
        <v>769</v>
      </c>
      <c r="G111" s="16"/>
      <c r="H111" s="16">
        <f>H102*H94</f>
        <v>733</v>
      </c>
      <c r="I111" s="16"/>
      <c r="J111" s="16">
        <f>J102*J94</f>
        <v>727</v>
      </c>
      <c r="K111" s="16"/>
      <c r="L111" s="16">
        <f>L102*L94</f>
        <v>700</v>
      </c>
      <c r="M111" s="16"/>
      <c r="N111" s="16">
        <f>N102*N94</f>
        <v>700</v>
      </c>
    </row>
    <row r="112" spans="1:14" x14ac:dyDescent="0.4">
      <c r="B112" t="s">
        <v>66</v>
      </c>
      <c r="D112" s="15">
        <f>ROUND(D68/D111,2)</f>
        <v>61.55</v>
      </c>
      <c r="F112" s="15">
        <f>ROUND(F68/F111,2)</f>
        <v>59.82</v>
      </c>
      <c r="H112" s="15">
        <f>ROUND(H68/H111,2)</f>
        <v>61.2</v>
      </c>
      <c r="J112" s="15">
        <f>ROUND(J68/J111,2)</f>
        <v>60.27</v>
      </c>
      <c r="L112" s="15">
        <f>ROUND(L68/L111,2)</f>
        <v>59.63</v>
      </c>
      <c r="N112" s="15">
        <f>ROUND(N68/N111,2)</f>
        <v>58.62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EDISON INTERNATIONAL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43090</v>
      </c>
      <c r="F8" s="34">
        <f>F78+F79+F81-F103</f>
        <v>36679</v>
      </c>
      <c r="H8" s="34">
        <f>H78+H79+H81-H103</f>
        <v>33908</v>
      </c>
      <c r="J8" s="34">
        <f>J78+J79+J81-J103</f>
        <v>27454</v>
      </c>
      <c r="L8" s="34">
        <f>L78+L79+L81-L103</f>
        <v>26063</v>
      </c>
    </row>
    <row r="9" spans="1:15" x14ac:dyDescent="0.4">
      <c r="B9" t="s">
        <v>5</v>
      </c>
      <c r="D9" s="9">
        <f>D80</f>
        <v>2354</v>
      </c>
      <c r="F9" s="9">
        <f>F80</f>
        <v>2398</v>
      </c>
      <c r="H9" s="9">
        <f>H80</f>
        <v>550</v>
      </c>
      <c r="J9" s="9">
        <f>J80</f>
        <v>720</v>
      </c>
      <c r="L9" s="9">
        <f>L80</f>
        <v>2393</v>
      </c>
    </row>
    <row r="10" spans="1:15" ht="15.4" thickBot="1" x14ac:dyDescent="0.45">
      <c r="B10" t="s">
        <v>7</v>
      </c>
      <c r="D10" s="10">
        <f>D8+D9</f>
        <v>45444</v>
      </c>
      <c r="F10" s="10">
        <f>F8+F9</f>
        <v>39077</v>
      </c>
      <c r="H10" s="10">
        <f>H8+H9</f>
        <v>34458</v>
      </c>
      <c r="J10" s="10">
        <f>J8+J9</f>
        <v>28174</v>
      </c>
      <c r="L10" s="10">
        <f>L8+L9</f>
        <v>28456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31</v>
      </c>
      <c r="E13" s="7" t="s">
        <v>3</v>
      </c>
      <c r="F13" s="30">
        <f>ROUND(AVERAGE(F108:F109)/F105,0)</f>
        <v>31</v>
      </c>
      <c r="G13" s="7" t="s">
        <v>3</v>
      </c>
      <c r="H13" s="30">
        <f>ROUND(AVERAGE(H108:H109)/H105,0)</f>
        <v>17</v>
      </c>
      <c r="I13" s="7" t="s">
        <v>3</v>
      </c>
      <c r="J13" s="30"/>
      <c r="K13" s="7" t="s">
        <v>3</v>
      </c>
      <c r="L13" s="30">
        <f>ROUND(AVERAGE(L108:L109)/L105,0)</f>
        <v>42</v>
      </c>
      <c r="M13" s="7" t="s">
        <v>3</v>
      </c>
      <c r="N13" s="30">
        <f>AVERAGE(D13,F13,H13,J13,L13)</f>
        <v>30.25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1.6639999999999999</v>
      </c>
      <c r="E14" s="3"/>
      <c r="F14" s="3">
        <f>ROUND(AVERAGE(F108:F109)/AVERAGE(F112,H112),3)</f>
        <v>1.66</v>
      </c>
      <c r="G14" s="3"/>
      <c r="H14" s="3">
        <f>ROUND(AVERAGE(H108:H109)/AVERAGE(H112,J112),3)</f>
        <v>1.8859999999999999</v>
      </c>
      <c r="I14" s="3"/>
      <c r="J14" s="3">
        <f>ROUND(AVERAGE(J108:J109)/AVERAGE(J112,L112),3)</f>
        <v>1.7150000000000001</v>
      </c>
      <c r="K14" s="3"/>
      <c r="L14" s="3">
        <f>ROUND(AVERAGE(L108:L109)/AVERAGE(L112,N112),3)</f>
        <v>2.0110000000000001</v>
      </c>
      <c r="M14" s="3"/>
      <c r="N14" s="3">
        <f>AVERAGE(D14,F14,H14,J14,L14)</f>
        <v>1.7871999999999999</v>
      </c>
    </row>
    <row r="15" spans="1:15" x14ac:dyDescent="0.4">
      <c r="B15" t="s">
        <v>9</v>
      </c>
      <c r="D15" s="3">
        <f>ROUND(D106/AVERAGE(D108:D109),3)</f>
        <v>4.3999999999999997E-2</v>
      </c>
      <c r="E15" s="3"/>
      <c r="F15" s="3">
        <f>ROUND(F106/AVERAGE(F108:F109),3)</f>
        <v>4.2000000000000003E-2</v>
      </c>
      <c r="G15" s="3"/>
      <c r="H15" s="3">
        <f>ROUND(H106/AVERAGE(H108:H109),3)</f>
        <v>3.7999999999999999E-2</v>
      </c>
      <c r="I15" s="3"/>
      <c r="J15" s="3">
        <f>ROUND(J106/AVERAGE(J108:J109),3)</f>
        <v>4.2000000000000003E-2</v>
      </c>
      <c r="K15" s="3"/>
      <c r="L15" s="3">
        <f>ROUND(L106/AVERAGE(L108:L109),3)</f>
        <v>3.1E-2</v>
      </c>
      <c r="M15" s="3"/>
      <c r="N15" s="3">
        <f>AVERAGE(D15,F15,H15,J15,L15)</f>
        <v>3.9400000000000004E-2</v>
      </c>
    </row>
    <row r="16" spans="1:15" x14ac:dyDescent="0.4">
      <c r="B16" t="s">
        <v>10</v>
      </c>
      <c r="D16" s="3">
        <f>ROUND(D96/D66,3)</f>
        <v>1.345</v>
      </c>
      <c r="E16" s="3"/>
      <c r="F16" s="3">
        <f>ROUND(F96/F66,3)</f>
        <v>1.306</v>
      </c>
      <c r="G16" s="3"/>
      <c r="H16" s="3">
        <f>ROUND(H96/H66,3)</f>
        <v>0.66100000000000003</v>
      </c>
      <c r="I16" s="3"/>
      <c r="J16" s="3"/>
      <c r="K16" s="3"/>
      <c r="L16" s="3">
        <f>ROUND(L96/L66,3)</f>
        <v>1.2869999999999999</v>
      </c>
      <c r="M16" s="3"/>
      <c r="N16" s="3">
        <f>AVERAGE(D16,F16,H16,J16,L16)</f>
        <v>1.14975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0.58599999999999997</v>
      </c>
      <c r="E20" s="3"/>
      <c r="F20" s="3">
        <f>ROUND((+F76+F79)/F8,3)</f>
        <v>0.56299999999999994</v>
      </c>
      <c r="G20" s="3"/>
      <c r="H20" s="3">
        <f>ROUND((+H76+H79)/H8,3)</f>
        <v>0.54100000000000004</v>
      </c>
      <c r="I20" s="3"/>
      <c r="J20" s="3">
        <f>ROUND((+J76+J79)/J8,3)</f>
        <v>0.53700000000000003</v>
      </c>
      <c r="K20" s="3"/>
      <c r="L20" s="3">
        <f>ROUND((+L76+L79)/L8,3)</f>
        <v>0.46600000000000003</v>
      </c>
      <c r="M20" s="3"/>
      <c r="N20" s="3">
        <f>AVERAGE(D20,F20,H20,J20,L20)</f>
        <v>0.53859999999999997</v>
      </c>
    </row>
    <row r="21" spans="1:14" x14ac:dyDescent="0.4">
      <c r="B21" s="31" t="s">
        <v>93</v>
      </c>
      <c r="D21" s="3">
        <f>ROUND((SUM(D69:D75)+D81)/D8,3)</f>
        <v>0.09</v>
      </c>
      <c r="E21" s="3"/>
      <c r="F21" s="3">
        <f>ROUND((SUM(F69:F75)+F81)/F8,3)</f>
        <v>5.1999999999999998E-2</v>
      </c>
      <c r="G21" s="3"/>
      <c r="H21" s="3">
        <f>ROUND((SUM(H69:H75)+H81)/H8,3)</f>
        <v>6.5000000000000002E-2</v>
      </c>
      <c r="I21" s="3"/>
      <c r="J21" s="3">
        <f>ROUND((SUM(J69:J75)+J81)/J8,3)</f>
        <v>0.08</v>
      </c>
      <c r="K21" s="3"/>
      <c r="L21" s="3">
        <f>ROUND((SUM(L69:L75)+L81)/L8,3)</f>
        <v>8.5000000000000006E-2</v>
      </c>
      <c r="M21" s="3"/>
      <c r="N21" s="3">
        <f>AVERAGE(D21,F21,H21,J21,L21)</f>
        <v>7.4399999999999994E-2</v>
      </c>
    </row>
    <row r="22" spans="1:14" ht="17.25" x14ac:dyDescent="0.4">
      <c r="B22" s="32" t="s">
        <v>94</v>
      </c>
      <c r="D22" s="4">
        <f>ROUND((D68-D103)/D8,3)</f>
        <v>0.32400000000000001</v>
      </c>
      <c r="E22" s="3"/>
      <c r="F22" s="4">
        <f>ROUND((F68-F103)/F8,3)</f>
        <v>0.38500000000000001</v>
      </c>
      <c r="G22" s="3"/>
      <c r="H22" s="4">
        <f>ROUND((H68-H103)/H8,3)</f>
        <v>0.39400000000000002</v>
      </c>
      <c r="I22" s="3"/>
      <c r="J22" s="4">
        <f>ROUND((J68-J103)/J8,3)</f>
        <v>0.38300000000000001</v>
      </c>
      <c r="K22" s="3"/>
      <c r="L22" s="4">
        <f>ROUND((L68-L103)/L8,3)</f>
        <v>0.44900000000000001</v>
      </c>
      <c r="M22" s="3"/>
      <c r="N22" s="4">
        <f>AVERAGE(D22,F22,H22,J22,L22)</f>
        <v>0.38700000000000007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0.60699999999999998</v>
      </c>
      <c r="E25" s="3"/>
      <c r="F25" s="3">
        <f>ROUND((+F76+F79+F80)/F10,3)</f>
        <v>0.59</v>
      </c>
      <c r="G25" s="3"/>
      <c r="H25" s="3">
        <f>ROUND((+H76+H79+H80)/H10,3)</f>
        <v>0.54800000000000004</v>
      </c>
      <c r="I25" s="3"/>
      <c r="J25" s="3">
        <f>ROUND((+J76+J79+J80)/J10,3)</f>
        <v>0.54900000000000004</v>
      </c>
      <c r="K25" s="3"/>
      <c r="L25" s="3">
        <f>ROUND((+L76+L79+L80)/L10,3)</f>
        <v>0.51100000000000001</v>
      </c>
      <c r="M25" s="3"/>
      <c r="N25" s="3">
        <f>AVERAGE(D25,F25,H25,J25,L25)</f>
        <v>0.56100000000000005</v>
      </c>
    </row>
    <row r="26" spans="1:14" x14ac:dyDescent="0.4">
      <c r="B26" s="31" t="s">
        <v>93</v>
      </c>
      <c r="D26" s="3">
        <f>ROUND((SUM(D69:D75)+D81)/D10,3)</f>
        <v>8.5000000000000006E-2</v>
      </c>
      <c r="E26" s="3"/>
      <c r="F26" s="3">
        <f>ROUND((SUM(F69:F75)+F81)/F10,3)</f>
        <v>4.9000000000000002E-2</v>
      </c>
      <c r="G26" s="3"/>
      <c r="H26" s="3">
        <f>ROUND((SUM(H69:H75)+H81)/H10,3)</f>
        <v>6.4000000000000001E-2</v>
      </c>
      <c r="I26" s="3"/>
      <c r="J26" s="3">
        <f>ROUND((SUM(J69:J75)+J81)/J10,3)</f>
        <v>7.8E-2</v>
      </c>
      <c r="K26" s="3"/>
      <c r="L26" s="3">
        <f>ROUND((SUM(L69:L75)+L81)/L10,3)</f>
        <v>7.8E-2</v>
      </c>
      <c r="M26" s="3"/>
      <c r="N26" s="3">
        <f>AVERAGE(D26,F26,H26,J26,L26)</f>
        <v>7.0800000000000002E-2</v>
      </c>
    </row>
    <row r="27" spans="1:14" ht="17.25" x14ac:dyDescent="0.4">
      <c r="B27" s="32" t="s">
        <v>94</v>
      </c>
      <c r="D27" s="4">
        <f>ROUND((D68-D103)/D10,3)</f>
        <v>0.307</v>
      </c>
      <c r="E27" s="3"/>
      <c r="F27" s="4">
        <f>ROUND((F68-F103)/F10,3)</f>
        <v>0.36099999999999999</v>
      </c>
      <c r="G27" s="3"/>
      <c r="H27" s="4">
        <f>ROUND((H68-H103)/H10,3)</f>
        <v>0.38800000000000001</v>
      </c>
      <c r="I27" s="3"/>
      <c r="J27" s="4">
        <f>ROUND((J68-J103)/J10,3)</f>
        <v>0.373</v>
      </c>
      <c r="K27" s="3"/>
      <c r="L27" s="4">
        <f>ROUND((L68-L103)/L10,3)</f>
        <v>0.41199999999999998</v>
      </c>
      <c r="M27" s="3"/>
      <c r="N27" s="4">
        <f>AVERAGE(D27,F27,H27,J27,L27)</f>
        <v>0.36819999999999997</v>
      </c>
    </row>
    <row r="28" spans="1:14" ht="15.4" thickBot="1" x14ac:dyDescent="0.45">
      <c r="D28" s="5">
        <f>SUM(D25:D27)</f>
        <v>0.99899999999999989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1.0009999999999999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5.3999999999999999E-2</v>
      </c>
      <c r="E30" s="3"/>
      <c r="F30" s="3">
        <f>ROUND(+F66/(((F68-F103)+(H68-H103))/2),3)</f>
        <v>5.3999999999999999E-2</v>
      </c>
      <c r="G30" s="3"/>
      <c r="H30" s="3">
        <f>ROUND(+H66/(((H68-H103)+(J68-J103))/2),3)</f>
        <v>0.108</v>
      </c>
      <c r="I30" s="3"/>
      <c r="J30" s="3"/>
      <c r="K30" s="3"/>
      <c r="L30" s="3">
        <f>ROUND(+L66/(((L68-L103)+(N68-N103))/2),3)</f>
        <v>4.8000000000000001E-2</v>
      </c>
      <c r="M30" s="3"/>
      <c r="N30" s="3">
        <f>AVERAGE(D30,F30,H30,J30,L30)</f>
        <v>6.6000000000000003E-2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0.90100000000000002</v>
      </c>
      <c r="E32" s="3"/>
      <c r="F32" s="3">
        <f>ROUND((+F58-F57)/F56,3)</f>
        <v>0.91</v>
      </c>
      <c r="G32" s="3"/>
      <c r="H32" s="3">
        <f>ROUND((+H58-H57)/H56,3)</f>
        <v>0.85599999999999998</v>
      </c>
      <c r="I32" s="3"/>
      <c r="J32" s="3">
        <f>ROUND((+J58-J57)/J56,3)</f>
        <v>0.82799999999999996</v>
      </c>
      <c r="K32" s="3"/>
      <c r="L32" s="3">
        <f>ROUND((+L58-L57)/L56,3)</f>
        <v>0.82099999999999995</v>
      </c>
      <c r="M32" s="3"/>
      <c r="N32" s="3">
        <f>AVERAGE(D32,F32,H32,J32,L32)</f>
        <v>0.86319999999999997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1.85</v>
      </c>
      <c r="E35" s="7" t="s">
        <v>3</v>
      </c>
      <c r="F35" s="7">
        <f>ROUND(((+F66+F65+F64+F63+F61+F59+F57)/F61),2)</f>
        <v>1.63</v>
      </c>
      <c r="G35" s="7" t="s">
        <v>3</v>
      </c>
      <c r="H35" s="7">
        <f>ROUND(((+H66+H65+H64+H63+H61+H59+H57)/H61),2)</f>
        <v>2.34</v>
      </c>
      <c r="I35" s="7" t="s">
        <v>3</v>
      </c>
      <c r="J35" s="7"/>
      <c r="K35" s="7" t="s">
        <v>3</v>
      </c>
      <c r="L35" s="7">
        <f>ROUND(((+L66+L65+L64+L63+L61+L59+L57)/L61),2)</f>
        <v>2.4500000000000002</v>
      </c>
      <c r="M35" s="7" t="s">
        <v>3</v>
      </c>
      <c r="N35" s="26">
        <f>AVERAGE(D35,F35,H35,J35,L35)</f>
        <v>2.0674999999999999</v>
      </c>
      <c r="O35" t="s">
        <v>3</v>
      </c>
    </row>
    <row r="36" spans="1:15" x14ac:dyDescent="0.4">
      <c r="B36" t="s">
        <v>21</v>
      </c>
      <c r="D36" s="7">
        <f>ROUND(((+D66+D65+D64+D63+D61)/(D61)),2)</f>
        <v>2</v>
      </c>
      <c r="E36" s="7" t="s">
        <v>3</v>
      </c>
      <c r="F36" s="7">
        <f>ROUND(((+F66+F65+F64+F63+F61)/(F61)),2)</f>
        <v>1.97</v>
      </c>
      <c r="G36" s="7" t="s">
        <v>3</v>
      </c>
      <c r="H36" s="7">
        <f>ROUND(((+H66+H65+H64+H63+H61)/(H61)),2)</f>
        <v>2.67</v>
      </c>
      <c r="I36" s="7" t="s">
        <v>3</v>
      </c>
      <c r="J36" s="7">
        <f>ROUND(((+J66+J65+J64+J63+J61)/(J61)),2)</f>
        <v>0.56999999999999995</v>
      </c>
      <c r="K36" s="7" t="s">
        <v>3</v>
      </c>
      <c r="L36" s="7">
        <f>ROUND(((+L66+L65+L64+L63+L61)/(L61)),2)</f>
        <v>2.0299999999999998</v>
      </c>
      <c r="M36" s="7" t="s">
        <v>3</v>
      </c>
      <c r="N36" s="26">
        <f>AVERAGE(D36,F36,H36,J36,L36)</f>
        <v>1.8480000000000001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1.7</v>
      </c>
      <c r="E37" s="7" t="s">
        <v>3</v>
      </c>
      <c r="F37" s="7">
        <f>ROUND(((+F66+F65+F64+F63+F61)/(F61+F63+F64+F65)),2)</f>
        <v>1.71</v>
      </c>
      <c r="G37" s="7" t="s">
        <v>3</v>
      </c>
      <c r="H37" s="7">
        <f>ROUND(((+H66+H65+H64+H63+H61)/(H61+H63+H64+H65)),2)</f>
        <v>2.33</v>
      </c>
      <c r="I37" s="7" t="s">
        <v>3</v>
      </c>
      <c r="J37" s="7">
        <f>ROUND(((+J66+J65+J64+J63+J61)/(J61+J63+J64+J65)),2)</f>
        <v>0.49</v>
      </c>
      <c r="K37" s="7" t="s">
        <v>3</v>
      </c>
      <c r="L37" s="7">
        <f>ROUND(((+L66+L65+L64+L63+L61)/(L61+L63+L64+L65)),2)</f>
        <v>1.71</v>
      </c>
      <c r="M37" s="7" t="s">
        <v>3</v>
      </c>
      <c r="N37" s="26">
        <f>AVERAGE(D37,F37,H37,J37,L37)</f>
        <v>1.5880000000000001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1.67</v>
      </c>
      <c r="E40" s="7" t="s">
        <v>3</v>
      </c>
      <c r="F40" s="7">
        <f>ROUND(((+F66+F65+F64+F63-F62+F61+F59+F57)/F61),2)</f>
        <v>1.43</v>
      </c>
      <c r="G40" s="7" t="s">
        <v>3</v>
      </c>
      <c r="H40" s="7">
        <f>ROUND(((+H66+H65+H64+H63-H62+H61+H59+H57)/H61),2)</f>
        <v>2.15</v>
      </c>
      <c r="I40" s="7" t="s">
        <v>3</v>
      </c>
      <c r="J40" s="7"/>
      <c r="K40" s="7" t="s">
        <v>3</v>
      </c>
      <c r="L40" s="7">
        <f>ROUND(((+L66+L65+L64+L63-L62+L61+L59+L57)/L61),2)</f>
        <v>2.2799999999999998</v>
      </c>
      <c r="M40" s="7" t="s">
        <v>3</v>
      </c>
      <c r="N40" s="26">
        <f>AVERAGE(D40,F40,H40,J40,L40)</f>
        <v>1.8824999999999998</v>
      </c>
      <c r="O40" t="s">
        <v>3</v>
      </c>
    </row>
    <row r="41" spans="1:15" x14ac:dyDescent="0.4">
      <c r="B41" t="s">
        <v>21</v>
      </c>
      <c r="D41" s="7">
        <f>ROUND(((+D66+D65+D64+D63-D62+D61)/D61),2)</f>
        <v>1.82</v>
      </c>
      <c r="E41" s="7" t="s">
        <v>3</v>
      </c>
      <c r="F41" s="7">
        <f>ROUND(((+F66+F65+F64+F63-F62+F61)/F61),2)</f>
        <v>1.77</v>
      </c>
      <c r="G41" s="7" t="s">
        <v>3</v>
      </c>
      <c r="H41" s="7">
        <f>ROUND(((+H66+H65+H64+H63-H62+H61)/H61),2)</f>
        <v>2.48</v>
      </c>
      <c r="I41" s="7" t="s">
        <v>3</v>
      </c>
      <c r="J41" s="7">
        <f>ROUND(((+J66+J65+J64+J63-J62+J61)/J61),2)</f>
        <v>0.38</v>
      </c>
      <c r="K41" s="7" t="s">
        <v>3</v>
      </c>
      <c r="L41" s="7">
        <f>ROUND(((+L66+L65+L64+L63-L62+L61)/L61),2)</f>
        <v>1.86</v>
      </c>
      <c r="M41" s="7" t="s">
        <v>3</v>
      </c>
      <c r="N41" s="26">
        <f>AVERAGE(D41,F41,H41,J41,L41)</f>
        <v>1.6620000000000001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1.54</v>
      </c>
      <c r="E42" s="7" t="s">
        <v>3</v>
      </c>
      <c r="F42" s="7">
        <f>ROUND(((+F66+F65+F64+F63-F62+F61)/(F61+F63+F64+F65)),2)</f>
        <v>1.55</v>
      </c>
      <c r="G42" s="7" t="s">
        <v>3</v>
      </c>
      <c r="H42" s="7">
        <f>ROUND(((+H66+H65+H64+H63-H62+H61)/(H61+H63+H64+H65)),2)</f>
        <v>2.16</v>
      </c>
      <c r="I42" s="7" t="s">
        <v>3</v>
      </c>
      <c r="J42" s="7">
        <f>ROUND(((+J66+J65+J64+J63-J62+J61)/(J61+J63+J64+J65)),2)</f>
        <v>0.33</v>
      </c>
      <c r="K42" s="7" t="s">
        <v>3</v>
      </c>
      <c r="L42" s="7">
        <f>ROUND(((+L66+L65+L64+L63-L62+L61)/(L61+L63+L64+L65)),2)</f>
        <v>1.57</v>
      </c>
      <c r="M42" s="7" t="s">
        <v>3</v>
      </c>
      <c r="N42" s="26">
        <f>AVERAGE(D42,F42,H42,J42,L42)</f>
        <v>1.4300000000000002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0.221</v>
      </c>
      <c r="E45" s="11"/>
      <c r="F45" s="11">
        <f>ROUND(F62/F66,3)</f>
        <v>0.23499999999999999</v>
      </c>
      <c r="G45" s="11"/>
      <c r="H45" s="11">
        <f>ROUND(H62/H66,3)</f>
        <v>0.128</v>
      </c>
      <c r="I45" s="11"/>
      <c r="J45" s="11"/>
      <c r="K45" s="11"/>
      <c r="L45" s="11">
        <f>ROUND(L62/L66,3)</f>
        <v>0.20399999999999999</v>
      </c>
      <c r="M45" s="11"/>
      <c r="N45" s="3">
        <f t="shared" ref="N45:N50" si="0">AVERAGE(D45,F45,H45,J45,L45)</f>
        <v>0.19699999999999998</v>
      </c>
    </row>
    <row r="46" spans="1:15" x14ac:dyDescent="0.4">
      <c r="B46" t="s">
        <v>17</v>
      </c>
      <c r="D46" s="17">
        <f>ROUND((D57+D59)/(D57+D59+D66+D63+D64+D65),3)</f>
        <v>-0.17199999999999999</v>
      </c>
      <c r="E46" s="18"/>
      <c r="F46" s="17">
        <f>ROUND((F57+F59)/(F57+F59+F66+F63+F64+F65),3)</f>
        <v>-0.53900000000000003</v>
      </c>
      <c r="G46" s="18"/>
      <c r="H46" s="17">
        <f>ROUND((H57+H59)/(H57+H59+H66+H63+H64+H65),3)</f>
        <v>-0.247</v>
      </c>
      <c r="I46" s="18"/>
      <c r="J46" s="17"/>
      <c r="K46" s="18"/>
      <c r="L46" s="17">
        <f>ROUND((L57+L59)/(L57+L59+L66+L63+L64+L65),3)</f>
        <v>0.28999999999999998</v>
      </c>
      <c r="M46" s="18"/>
      <c r="N46" s="3">
        <f t="shared" si="0"/>
        <v>-0.16700000000000004</v>
      </c>
    </row>
    <row r="47" spans="1:15" ht="17.25" x14ac:dyDescent="0.4">
      <c r="B47" s="33" t="s">
        <v>100</v>
      </c>
      <c r="D47" s="11">
        <f>ROUND(((+D82+D83+D84+D85+D86-D87+D88-D90-D91)/(+D89-D87)),3)</f>
        <v>0.442</v>
      </c>
      <c r="E47" s="12"/>
      <c r="F47" s="11">
        <f>ROUND(((+F82+F83+F84+F85+F86-F87+F88-F90-F91)/(+F89-F87)),3)</f>
        <v>0.23599999999999999</v>
      </c>
      <c r="G47" s="12"/>
      <c r="H47" s="11">
        <f>ROUND(((+H82+H83+H84+H85+H86-H87+H88-H90-H91)/(+H89-H87)),3)</f>
        <v>0.45</v>
      </c>
      <c r="I47" s="12"/>
      <c r="J47" s="11">
        <f>ROUND(((+J82+J83+J84+J85+J86-J87+J88-J90-J91)/(+J89-J87)),3)</f>
        <v>3.9E-2</v>
      </c>
      <c r="K47" s="12"/>
      <c r="L47" s="11">
        <f>ROUND(((+L82+L83+L84+L85+L86-L87+L88-L90-L91)/(+L89-L87)),3)</f>
        <v>0.79700000000000004</v>
      </c>
      <c r="M47" s="12"/>
      <c r="N47" s="3">
        <f t="shared" si="0"/>
        <v>0.39279999999999998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0.13900000000000001</v>
      </c>
      <c r="E48" s="12"/>
      <c r="F48" s="11">
        <f>ROUND(((+F82+F83+F84+F85+F86-F87+F88)/(AVERAGE(F76,H76)+AVERAGE(F79,H79)+AVERAGE(F80,H80))),3)</f>
        <v>0.11</v>
      </c>
      <c r="G48" s="12"/>
      <c r="H48" s="11">
        <f>ROUND(((+H82+H83+H84+H85+H86-H87+H88)/(AVERAGE(H76,J76)+AVERAGE(H79,J79)+AVERAGE(H80,J80))),3)</f>
        <v>0.17899999999999999</v>
      </c>
      <c r="I48" s="12"/>
      <c r="J48" s="11">
        <f>ROUND(((+J82+J83+J84+J85+J86-J87+J88)/(AVERAGE(J76,L76)+AVERAGE(J79,L79)+AVERAGE(J80,L80))),3)</f>
        <v>6.4000000000000001E-2</v>
      </c>
      <c r="K48" s="12"/>
      <c r="L48" s="11">
        <f>ROUND(((+L82+L83+L84+L85+L86-L87+L88)/(AVERAGE(L76,N76)+AVERAGE(L79,N79)+AVERAGE(L80,N80))),3)</f>
        <v>0.27800000000000002</v>
      </c>
      <c r="M48" s="12"/>
      <c r="N48" s="3">
        <f t="shared" si="0"/>
        <v>0.154</v>
      </c>
    </row>
    <row r="49" spans="1:15" ht="17.25" x14ac:dyDescent="0.4">
      <c r="B49" s="33" t="s">
        <v>102</v>
      </c>
      <c r="D49" s="27">
        <f>ROUND(((+D82+D83+D84+D85+D86-D87+D88+D92)/D61),2)</f>
        <v>4.75</v>
      </c>
      <c r="E49" t="s">
        <v>3</v>
      </c>
      <c r="F49" s="27">
        <f>ROUND(((+F82+F83+F84+F85+F86-F87+F88+F92)/F61),2)</f>
        <v>3.49</v>
      </c>
      <c r="G49" t="s">
        <v>3</v>
      </c>
      <c r="H49" s="27">
        <f>ROUND(((+H82+H83+H84+H85+H86-H87+H88+H92)/H61),2)</f>
        <v>4.5</v>
      </c>
      <c r="I49" t="s">
        <v>3</v>
      </c>
      <c r="J49" s="27">
        <f>ROUND(((+J82+J83+J84+J85+J86-J87+J88+J92)/J61),2)</f>
        <v>2</v>
      </c>
      <c r="K49" t="s">
        <v>3</v>
      </c>
      <c r="L49" s="27">
        <f>ROUND(((+L82+L83+L84+L85+L86-L87+L88+L92)/L61),2)</f>
        <v>6.45</v>
      </c>
      <c r="M49" t="s">
        <v>3</v>
      </c>
      <c r="N49" s="27">
        <f t="shared" si="0"/>
        <v>4.2380000000000004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3.41</v>
      </c>
      <c r="E50" t="s">
        <v>3</v>
      </c>
      <c r="F50" s="27">
        <f>ROUND(((+F82+F83+F84+F85+F86-F87+F88-F91)/+F90),2)</f>
        <v>2.37</v>
      </c>
      <c r="G50" t="s">
        <v>3</v>
      </c>
      <c r="H50" s="27">
        <f>ROUND(((+H82+H83+H84+H85+H86-H87+H88-H91)/+H90),2)</f>
        <v>3.66</v>
      </c>
      <c r="I50" t="s">
        <v>3</v>
      </c>
      <c r="J50" s="27">
        <f>ROUND(((+J82+J83+J84+J85+J86-J87+J88-J91)/+J90),2)</f>
        <v>1.22</v>
      </c>
      <c r="K50" t="s">
        <v>3</v>
      </c>
      <c r="L50" s="27">
        <f>ROUND(((+L82+L83+L84+L85+L86-L87+L88-L91)/+L90),2)</f>
        <v>5.31</v>
      </c>
      <c r="M50" t="s">
        <v>3</v>
      </c>
      <c r="N50" s="27">
        <f t="shared" si="0"/>
        <v>3.1940000000000004</v>
      </c>
      <c r="O50" t="s">
        <v>3</v>
      </c>
    </row>
    <row r="51" spans="1:15" x14ac:dyDescent="0.4">
      <c r="D51" s="13"/>
      <c r="F51" s="13"/>
      <c r="H51" s="13"/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78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14905</v>
      </c>
      <c r="E56" s="22"/>
      <c r="F56" s="22">
        <v>13578</v>
      </c>
      <c r="G56" s="22"/>
      <c r="H56" s="22">
        <v>12347</v>
      </c>
      <c r="I56" s="22"/>
      <c r="J56" s="22">
        <v>12657</v>
      </c>
      <c r="K56" s="22"/>
      <c r="L56" s="22">
        <v>12320</v>
      </c>
      <c r="M56" s="22"/>
      <c r="N56" s="22">
        <v>11869</v>
      </c>
    </row>
    <row r="57" spans="1:15" x14ac:dyDescent="0.4">
      <c r="A57" s="20" t="s">
        <v>23</v>
      </c>
      <c r="B57" s="20"/>
      <c r="C57" s="20"/>
      <c r="D57" s="22">
        <v>-136</v>
      </c>
      <c r="E57" s="22"/>
      <c r="F57" s="22">
        <v>-305</v>
      </c>
      <c r="G57" s="22"/>
      <c r="H57" s="22">
        <v>-278</v>
      </c>
      <c r="I57" s="22"/>
      <c r="J57" s="22">
        <v>-739</v>
      </c>
      <c r="K57" s="22"/>
      <c r="L57" s="22">
        <v>281</v>
      </c>
      <c r="M57" s="22"/>
      <c r="N57" s="22">
        <v>177</v>
      </c>
    </row>
    <row r="58" spans="1:15" x14ac:dyDescent="0.4">
      <c r="A58" s="20" t="s">
        <v>24</v>
      </c>
      <c r="B58" s="20"/>
      <c r="C58" s="20"/>
      <c r="D58" s="22">
        <f>13428+D57</f>
        <v>13292</v>
      </c>
      <c r="E58" s="22"/>
      <c r="F58" s="22">
        <f>12361+F57</f>
        <v>12056</v>
      </c>
      <c r="G58" s="22"/>
      <c r="H58" s="22">
        <f>10572+H57</f>
        <v>10294</v>
      </c>
      <c r="I58" s="22"/>
      <c r="J58" s="22">
        <v>9739</v>
      </c>
      <c r="K58" s="22"/>
      <c r="L58" s="22">
        <v>10392</v>
      </c>
      <c r="M58" s="22"/>
      <c r="N58" s="22">
        <v>9954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1477-D57+237</f>
        <v>1850</v>
      </c>
      <c r="E60" s="22"/>
      <c r="F60" s="22">
        <f>1217-F57+251</f>
        <v>1773</v>
      </c>
      <c r="G60" s="22"/>
      <c r="H60" s="22">
        <f>1775-H57+193</f>
        <v>2246</v>
      </c>
      <c r="I60" s="22"/>
      <c r="J60" s="22">
        <v>384</v>
      </c>
      <c r="K60" s="22"/>
      <c r="L60" s="22">
        <v>1307</v>
      </c>
      <c r="M60" s="22"/>
      <c r="N60" s="22">
        <v>1994</v>
      </c>
    </row>
    <row r="61" spans="1:15" x14ac:dyDescent="0.4">
      <c r="A61" s="20" t="s">
        <v>27</v>
      </c>
      <c r="B61" s="20"/>
      <c r="C61" s="20"/>
      <c r="D61" s="22">
        <v>925</v>
      </c>
      <c r="E61" s="22"/>
      <c r="F61" s="22">
        <v>902</v>
      </c>
      <c r="G61" s="22"/>
      <c r="H61" s="22">
        <v>841</v>
      </c>
      <c r="I61" s="22"/>
      <c r="J61" s="22">
        <v>778</v>
      </c>
      <c r="K61" s="22"/>
      <c r="L61" s="22">
        <v>667</v>
      </c>
      <c r="M61" s="22"/>
      <c r="N61" s="22">
        <v>604</v>
      </c>
    </row>
    <row r="62" spans="1:15" x14ac:dyDescent="0.4">
      <c r="A62" s="20" t="s">
        <v>28</v>
      </c>
      <c r="B62" s="20"/>
      <c r="C62" s="20"/>
      <c r="D62" s="22">
        <f>118+50</f>
        <v>168</v>
      </c>
      <c r="E62" s="22"/>
      <c r="F62" s="22">
        <f>121+53</f>
        <v>174</v>
      </c>
      <c r="G62" s="22"/>
      <c r="H62" s="22">
        <f>101+63</f>
        <v>164</v>
      </c>
      <c r="I62" s="22"/>
      <c r="J62" s="22">
        <v>148</v>
      </c>
      <c r="K62" s="22"/>
      <c r="L62" s="22">
        <v>115</v>
      </c>
      <c r="M62" s="22"/>
      <c r="N62" s="22">
        <v>97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f>106+60</f>
        <v>166</v>
      </c>
      <c r="E64" s="22"/>
      <c r="F64" s="22">
        <v>132</v>
      </c>
      <c r="G64" s="22"/>
      <c r="H64" s="22">
        <v>121</v>
      </c>
      <c r="I64" s="22"/>
      <c r="J64" s="22">
        <v>121</v>
      </c>
      <c r="K64" s="22"/>
      <c r="L64" s="22">
        <v>124</v>
      </c>
      <c r="M64" s="22"/>
      <c r="N64" s="22">
        <v>123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759</v>
      </c>
      <c r="E66" s="22"/>
      <c r="F66" s="22">
        <v>739</v>
      </c>
      <c r="G66" s="22"/>
      <c r="H66" s="22">
        <v>1284</v>
      </c>
      <c r="I66" s="22"/>
      <c r="J66" s="22">
        <v>-457</v>
      </c>
      <c r="K66" s="22"/>
      <c r="L66" s="22">
        <v>565</v>
      </c>
      <c r="M66" s="22"/>
      <c r="N66" s="22">
        <v>1299</v>
      </c>
    </row>
    <row r="67" spans="1:14" x14ac:dyDescent="0.4">
      <c r="A67" s="20" t="s">
        <v>33</v>
      </c>
      <c r="B67" s="20"/>
      <c r="C67" s="20"/>
      <c r="D67" s="22">
        <v>2</v>
      </c>
      <c r="E67" s="22"/>
      <c r="F67" s="22">
        <v>1.98</v>
      </c>
      <c r="G67" s="22"/>
      <c r="H67" s="22">
        <v>3.78</v>
      </c>
      <c r="I67" s="22"/>
      <c r="J67" s="22">
        <v>-1.4</v>
      </c>
      <c r="K67" s="22"/>
      <c r="L67" s="22">
        <v>1.73</v>
      </c>
      <c r="M67" s="22"/>
      <c r="N67" s="22">
        <v>3.99</v>
      </c>
    </row>
    <row r="68" spans="1:14" x14ac:dyDescent="0.4">
      <c r="A68" s="20" t="s">
        <v>34</v>
      </c>
      <c r="B68" s="20"/>
      <c r="C68" s="20"/>
      <c r="D68" s="22">
        <f>17789-D71</f>
        <v>13911</v>
      </c>
      <c r="E68" s="22"/>
      <c r="F68" s="22">
        <v>14048</v>
      </c>
      <c r="G68" s="22"/>
      <c r="H68" s="22">
        <v>13303</v>
      </c>
      <c r="I68" s="22"/>
      <c r="J68" s="22">
        <v>10459</v>
      </c>
      <c r="K68" s="22"/>
      <c r="L68" s="22">
        <v>11671</v>
      </c>
      <c r="M68" s="22"/>
      <c r="N68" s="22">
        <v>11996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f>1977+1901</f>
        <v>3878</v>
      </c>
      <c r="E71" s="22"/>
      <c r="F71" s="22">
        <v>1901</v>
      </c>
      <c r="G71" s="22"/>
      <c r="H71" s="22">
        <v>2193</v>
      </c>
      <c r="I71" s="22"/>
      <c r="J71" s="22">
        <v>2193</v>
      </c>
      <c r="K71" s="22"/>
      <c r="L71" s="22">
        <v>2193</v>
      </c>
      <c r="M71" s="22"/>
      <c r="N71" s="22">
        <v>2191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21</v>
      </c>
      <c r="M75" s="22"/>
      <c r="N75" s="22">
        <v>5</v>
      </c>
    </row>
    <row r="76" spans="1:14" x14ac:dyDescent="0.4">
      <c r="A76" s="20" t="s">
        <v>42</v>
      </c>
      <c r="B76" s="20"/>
      <c r="C76" s="20"/>
      <c r="D76" s="22">
        <v>24170</v>
      </c>
      <c r="E76" s="22"/>
      <c r="F76" s="22">
        <v>19632</v>
      </c>
      <c r="G76" s="22"/>
      <c r="H76" s="22">
        <v>17864</v>
      </c>
      <c r="I76" s="22"/>
      <c r="J76" s="22">
        <v>14668</v>
      </c>
      <c r="K76" s="22"/>
      <c r="L76" s="22">
        <v>11652</v>
      </c>
      <c r="M76" s="22"/>
      <c r="N76" s="22">
        <v>10182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41959</v>
      </c>
      <c r="E78" s="22"/>
      <c r="F78" s="22">
        <f>SUM(F68:F77)</f>
        <v>35581</v>
      </c>
      <c r="G78" s="22"/>
      <c r="H78" s="22">
        <f>SUM(H68:H77)</f>
        <v>33360</v>
      </c>
      <c r="I78" s="22"/>
      <c r="J78" s="22">
        <v>27320</v>
      </c>
      <c r="K78" s="22"/>
      <c r="L78" s="22">
        <v>25537</v>
      </c>
      <c r="M78" s="22"/>
      <c r="N78" s="22">
        <v>24374</v>
      </c>
    </row>
    <row r="79" spans="1:14" x14ac:dyDescent="0.4">
      <c r="A79" s="20" t="s">
        <v>45</v>
      </c>
      <c r="B79" s="20"/>
      <c r="C79" s="20"/>
      <c r="D79" s="22">
        <v>1077</v>
      </c>
      <c r="E79" s="22"/>
      <c r="F79" s="22">
        <v>1029</v>
      </c>
      <c r="G79" s="22"/>
      <c r="H79" s="22">
        <v>479</v>
      </c>
      <c r="I79" s="22"/>
      <c r="J79" s="22">
        <v>84</v>
      </c>
      <c r="K79" s="22"/>
      <c r="L79" s="22">
        <v>483</v>
      </c>
      <c r="M79" s="22"/>
      <c r="N79" s="22">
        <v>982</v>
      </c>
    </row>
    <row r="80" spans="1:14" x14ac:dyDescent="0.4">
      <c r="A80" s="20" t="s">
        <v>46</v>
      </c>
      <c r="B80" s="20"/>
      <c r="C80" s="20"/>
      <c r="D80" s="22">
        <v>2354</v>
      </c>
      <c r="E80" s="22"/>
      <c r="F80" s="22">
        <v>2398</v>
      </c>
      <c r="G80" s="22"/>
      <c r="H80" s="22">
        <v>550</v>
      </c>
      <c r="I80" s="22"/>
      <c r="J80" s="22">
        <v>720</v>
      </c>
      <c r="K80" s="22"/>
      <c r="L80" s="22">
        <v>2393</v>
      </c>
      <c r="M80" s="22"/>
      <c r="N80" s="22">
        <v>1307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925</v>
      </c>
      <c r="E82" s="22"/>
      <c r="F82" s="22">
        <v>871</v>
      </c>
      <c r="G82" s="22"/>
      <c r="H82" s="22">
        <v>1405</v>
      </c>
      <c r="I82" s="22"/>
      <c r="J82" s="22">
        <v>-350</v>
      </c>
      <c r="K82" s="22"/>
      <c r="L82" s="22">
        <v>668</v>
      </c>
      <c r="M82" s="22"/>
      <c r="N82" s="22">
        <v>1413</v>
      </c>
    </row>
    <row r="83" spans="1:14" x14ac:dyDescent="0.4">
      <c r="A83" s="20" t="s">
        <v>49</v>
      </c>
      <c r="B83" s="20"/>
      <c r="C83" s="20"/>
      <c r="D83" s="22">
        <v>2288</v>
      </c>
      <c r="E83" s="22"/>
      <c r="F83" s="22">
        <v>2029</v>
      </c>
      <c r="G83" s="22"/>
      <c r="H83" s="22">
        <v>1803</v>
      </c>
      <c r="I83" s="22"/>
      <c r="J83" s="22">
        <v>1940</v>
      </c>
      <c r="K83" s="22"/>
      <c r="L83" s="22">
        <v>2115</v>
      </c>
      <c r="M83" s="22"/>
      <c r="N83" s="22">
        <v>2098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43</v>
      </c>
      <c r="E85" s="22"/>
      <c r="F85" s="22">
        <v>-296</v>
      </c>
      <c r="G85" s="22"/>
      <c r="H85" s="22">
        <v>-284</v>
      </c>
      <c r="I85" s="22"/>
      <c r="J85" s="22">
        <v>-527</v>
      </c>
      <c r="K85" s="22"/>
      <c r="L85" s="22">
        <v>498</v>
      </c>
      <c r="M85" s="22"/>
      <c r="N85" s="22">
        <v>190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118</v>
      </c>
      <c r="E87" s="22"/>
      <c r="F87" s="22">
        <v>121</v>
      </c>
      <c r="G87" s="22"/>
      <c r="H87" s="22">
        <v>101</v>
      </c>
      <c r="I87" s="22"/>
      <c r="J87" s="22">
        <v>104</v>
      </c>
      <c r="K87" s="22"/>
      <c r="L87" s="22">
        <v>87</v>
      </c>
      <c r="M87" s="22"/>
      <c r="N87" s="22">
        <v>74</v>
      </c>
    </row>
    <row r="88" spans="1:14" x14ac:dyDescent="0.4">
      <c r="A88" s="20" t="s">
        <v>69</v>
      </c>
      <c r="B88" s="20"/>
      <c r="C88" s="20"/>
      <c r="D88" s="22">
        <f>71-2+215+40-256+400-95</f>
        <v>373</v>
      </c>
      <c r="E88" s="22"/>
      <c r="F88" s="22">
        <f>-116-133+336+36-197-95</f>
        <v>-169</v>
      </c>
      <c r="G88" s="22"/>
      <c r="H88" s="22">
        <f>184+152+29-106</f>
        <v>259</v>
      </c>
      <c r="I88" s="22"/>
      <c r="J88" s="22">
        <v>4</v>
      </c>
      <c r="K88" s="22"/>
      <c r="L88" s="22">
        <v>563</v>
      </c>
      <c r="M88" s="22"/>
      <c r="N88" s="22">
        <v>-368</v>
      </c>
    </row>
    <row r="89" spans="1:14" x14ac:dyDescent="0.4">
      <c r="A89" s="20" t="s">
        <v>54</v>
      </c>
      <c r="B89" s="20"/>
      <c r="C89" s="20"/>
      <c r="D89" s="22">
        <v>5505</v>
      </c>
      <c r="E89" s="22"/>
      <c r="F89" s="22">
        <v>5484</v>
      </c>
      <c r="G89" s="22"/>
      <c r="H89" s="22">
        <v>4877</v>
      </c>
      <c r="I89" s="22"/>
      <c r="J89" s="22">
        <v>4613</v>
      </c>
      <c r="K89" s="22"/>
      <c r="L89" s="22">
        <v>3915</v>
      </c>
      <c r="M89" s="22"/>
      <c r="N89" s="22">
        <v>3808</v>
      </c>
    </row>
    <row r="90" spans="1:14" x14ac:dyDescent="0.4">
      <c r="A90" s="20" t="s">
        <v>55</v>
      </c>
      <c r="B90" s="20"/>
      <c r="C90" s="20"/>
      <c r="D90" s="22">
        <v>988</v>
      </c>
      <c r="E90" s="22"/>
      <c r="F90" s="22">
        <v>928</v>
      </c>
      <c r="G90" s="22"/>
      <c r="H90" s="22">
        <v>810</v>
      </c>
      <c r="I90" s="22"/>
      <c r="J90" s="22">
        <v>788</v>
      </c>
      <c r="K90" s="22"/>
      <c r="L90" s="22">
        <v>707</v>
      </c>
      <c r="M90" s="22"/>
      <c r="N90" s="22">
        <v>626</v>
      </c>
    </row>
    <row r="91" spans="1:14" x14ac:dyDescent="0.4">
      <c r="A91" s="20" t="s">
        <v>56</v>
      </c>
      <c r="B91" s="20"/>
      <c r="C91" s="20"/>
      <c r="D91" s="22">
        <f>106+35</f>
        <v>141</v>
      </c>
      <c r="E91" s="22"/>
      <c r="F91" s="22">
        <v>118</v>
      </c>
      <c r="G91" s="22"/>
      <c r="H91" s="22">
        <v>121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887</v>
      </c>
      <c r="E92" s="22"/>
      <c r="F92" s="22">
        <v>836</v>
      </c>
      <c r="G92" s="22"/>
      <c r="H92" s="22">
        <v>705</v>
      </c>
      <c r="I92" s="22"/>
      <c r="J92" s="22">
        <v>595</v>
      </c>
      <c r="K92" s="22"/>
      <c r="L92" s="22">
        <v>548</v>
      </c>
      <c r="M92" s="22"/>
      <c r="N92" s="22">
        <v>504</v>
      </c>
    </row>
    <row r="93" spans="1:14" x14ac:dyDescent="0.4">
      <c r="A93" s="20" t="s">
        <v>58</v>
      </c>
      <c r="B93" s="20"/>
      <c r="C93" s="20"/>
      <c r="D93" s="22">
        <v>-88</v>
      </c>
      <c r="E93" s="22"/>
      <c r="F93" s="22">
        <v>-34</v>
      </c>
      <c r="G93" s="22"/>
      <c r="H93" s="22">
        <v>-85</v>
      </c>
      <c r="I93" s="22"/>
      <c r="J93" s="22">
        <v>-135</v>
      </c>
      <c r="K93" s="22"/>
      <c r="L93" s="22">
        <v>1</v>
      </c>
      <c r="M93" s="22"/>
      <c r="N93" s="22">
        <v>18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1021</v>
      </c>
      <c r="E96" s="22"/>
      <c r="F96" s="22">
        <v>965</v>
      </c>
      <c r="G96" s="22"/>
      <c r="H96" s="22">
        <v>849</v>
      </c>
      <c r="I96" s="22"/>
      <c r="J96" s="22">
        <v>791</v>
      </c>
      <c r="K96" s="22"/>
      <c r="L96" s="22">
        <v>727</v>
      </c>
      <c r="M96" s="22"/>
      <c r="N96" s="22">
        <v>646</v>
      </c>
    </row>
    <row r="97" spans="1:14" x14ac:dyDescent="0.4">
      <c r="A97" s="20" t="s">
        <v>60</v>
      </c>
      <c r="B97" s="20"/>
      <c r="C97" s="20"/>
      <c r="D97" s="22">
        <v>2.6875</v>
      </c>
      <c r="E97" s="22"/>
      <c r="F97" s="22">
        <v>2.5750000000000002</v>
      </c>
      <c r="G97" s="22"/>
      <c r="H97" s="22">
        <v>2.4750000000000001</v>
      </c>
      <c r="I97" s="22"/>
      <c r="J97" s="22">
        <v>2.4279999999999999</v>
      </c>
      <c r="K97" s="22"/>
      <c r="L97" s="22">
        <v>2.2330000000000001</v>
      </c>
      <c r="M97" s="22"/>
      <c r="N97" s="22">
        <v>1.9830000000000001</v>
      </c>
    </row>
    <row r="98" spans="1:14" x14ac:dyDescent="0.4">
      <c r="A98" s="20" t="s">
        <v>61</v>
      </c>
      <c r="B98" s="20"/>
      <c r="C98" s="20"/>
      <c r="D98" s="22">
        <v>2.6875</v>
      </c>
      <c r="E98" s="22"/>
      <c r="F98" s="22">
        <v>2.5750000000000002</v>
      </c>
      <c r="G98" s="22"/>
      <c r="H98" s="22">
        <v>2.4750000000000001</v>
      </c>
      <c r="I98" s="22"/>
      <c r="J98" s="22">
        <v>2.42</v>
      </c>
      <c r="K98" s="22"/>
      <c r="L98" s="22">
        <v>2.17</v>
      </c>
      <c r="M98" s="22"/>
      <c r="N98" s="22">
        <v>1.92</v>
      </c>
    </row>
    <row r="99" spans="1:14" x14ac:dyDescent="0.4">
      <c r="A99" s="20" t="s">
        <v>62</v>
      </c>
      <c r="B99" s="20"/>
      <c r="C99" s="20"/>
      <c r="D99" s="22">
        <v>68.62</v>
      </c>
      <c r="E99" s="22"/>
      <c r="F99" s="22">
        <v>78.930000000000007</v>
      </c>
      <c r="G99" s="22"/>
      <c r="H99" s="22">
        <v>76.45</v>
      </c>
      <c r="I99" s="22"/>
      <c r="J99" s="22">
        <v>71</v>
      </c>
      <c r="K99" s="22"/>
      <c r="L99" s="22">
        <v>83.38</v>
      </c>
      <c r="M99" s="22"/>
      <c r="N99" s="22">
        <v>78.72</v>
      </c>
    </row>
    <row r="100" spans="1:14" x14ac:dyDescent="0.4">
      <c r="A100" s="20" t="s">
        <v>63</v>
      </c>
      <c r="B100" s="20"/>
      <c r="C100" s="20"/>
      <c r="D100" s="22">
        <v>53.92</v>
      </c>
      <c r="E100" s="22"/>
      <c r="F100" s="22">
        <v>43.63</v>
      </c>
      <c r="G100" s="22"/>
      <c r="H100" s="22">
        <v>53.4</v>
      </c>
      <c r="I100" s="22"/>
      <c r="J100" s="22">
        <v>45.5</v>
      </c>
      <c r="K100" s="22"/>
      <c r="L100" s="22">
        <v>62.67</v>
      </c>
      <c r="M100" s="22"/>
      <c r="N100" s="22">
        <v>57.97</v>
      </c>
    </row>
    <row r="101" spans="1:14" x14ac:dyDescent="0.4">
      <c r="A101" s="20" t="s">
        <v>64</v>
      </c>
      <c r="B101" s="20"/>
      <c r="C101" s="20"/>
      <c r="D101" s="22">
        <v>68.25</v>
      </c>
      <c r="E101" s="22"/>
      <c r="F101" s="22">
        <v>62.82</v>
      </c>
      <c r="G101" s="22"/>
      <c r="H101" s="22">
        <v>75.410004000000001</v>
      </c>
      <c r="I101" s="22"/>
      <c r="J101" s="22">
        <v>56.77</v>
      </c>
      <c r="K101" s="22"/>
      <c r="L101" s="22">
        <v>63.24</v>
      </c>
      <c r="M101" s="22"/>
      <c r="N101" s="22">
        <v>71.989999999999995</v>
      </c>
    </row>
    <row r="102" spans="1:14" x14ac:dyDescent="0.4">
      <c r="A102" s="20" t="s">
        <v>65</v>
      </c>
      <c r="B102" s="20"/>
      <c r="C102" s="20"/>
      <c r="D102" s="22">
        <v>380.37814500000002</v>
      </c>
      <c r="E102" s="22"/>
      <c r="F102" s="22">
        <v>378.90714700000001</v>
      </c>
      <c r="G102" s="22"/>
      <c r="H102" s="22">
        <v>361.98513300000002</v>
      </c>
      <c r="I102" s="22"/>
      <c r="J102" s="22">
        <v>325.81099999999998</v>
      </c>
      <c r="K102" s="22"/>
      <c r="L102" s="22">
        <v>325.81099999999998</v>
      </c>
      <c r="M102" s="22"/>
      <c r="N102" s="22">
        <v>325.81099999999998</v>
      </c>
    </row>
    <row r="103" spans="1:14" x14ac:dyDescent="0.4">
      <c r="A103" s="20" t="s">
        <v>91</v>
      </c>
      <c r="B103" s="20"/>
      <c r="C103" s="20"/>
      <c r="D103" s="22">
        <v>-54</v>
      </c>
      <c r="E103" s="22"/>
      <c r="F103" s="22">
        <v>-69</v>
      </c>
      <c r="G103" s="22"/>
      <c r="H103" s="22">
        <v>-69</v>
      </c>
      <c r="I103" s="22"/>
      <c r="J103" s="22">
        <v>-50</v>
      </c>
      <c r="K103" s="22"/>
      <c r="L103" s="22">
        <v>-43</v>
      </c>
      <c r="M103" s="22"/>
      <c r="N103" s="22">
        <v>-53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</v>
      </c>
      <c r="F105" s="15">
        <f>F67/F94</f>
        <v>1.98</v>
      </c>
      <c r="H105" s="15">
        <f>H67/H94</f>
        <v>3.78</v>
      </c>
      <c r="J105" s="15">
        <f>J67/J94</f>
        <v>-1.4</v>
      </c>
      <c r="L105" s="15">
        <f>L67/L94</f>
        <v>1.73</v>
      </c>
      <c r="N105" s="15">
        <f>N67/N94</f>
        <v>3.99</v>
      </c>
    </row>
    <row r="106" spans="1:14" x14ac:dyDescent="0.4">
      <c r="B106" t="s">
        <v>60</v>
      </c>
      <c r="D106" s="15">
        <f>D97/D94</f>
        <v>2.6875</v>
      </c>
      <c r="F106" s="15">
        <f>F97/F94</f>
        <v>2.5750000000000002</v>
      </c>
      <c r="H106" s="15">
        <f>H97/H94</f>
        <v>2.4750000000000001</v>
      </c>
      <c r="J106" s="15">
        <f>J97/J94</f>
        <v>2.4279999999999999</v>
      </c>
      <c r="L106" s="15">
        <f>L97/L94</f>
        <v>2.2330000000000001</v>
      </c>
      <c r="N106" s="15">
        <f>N97/N94</f>
        <v>1.9830000000000001</v>
      </c>
    </row>
    <row r="107" spans="1:14" x14ac:dyDescent="0.4">
      <c r="B107" t="s">
        <v>61</v>
      </c>
      <c r="D107" s="15">
        <f>D98/D94</f>
        <v>2.6875</v>
      </c>
      <c r="F107" s="15">
        <f>F98/F94</f>
        <v>2.5750000000000002</v>
      </c>
      <c r="H107" s="15">
        <f>H98/H94</f>
        <v>2.4750000000000001</v>
      </c>
      <c r="J107" s="15">
        <f>J98/J94</f>
        <v>2.42</v>
      </c>
      <c r="L107" s="15">
        <f>L98/L94</f>
        <v>2.17</v>
      </c>
      <c r="N107" s="15">
        <f>N98/N94</f>
        <v>1.92</v>
      </c>
    </row>
    <row r="108" spans="1:14" x14ac:dyDescent="0.4">
      <c r="B108" t="s">
        <v>62</v>
      </c>
      <c r="D108" s="15">
        <f>D99/D94</f>
        <v>68.62</v>
      </c>
      <c r="F108" s="15">
        <f>F99/F94</f>
        <v>78.930000000000007</v>
      </c>
      <c r="H108" s="15">
        <f>H99/H94</f>
        <v>76.45</v>
      </c>
      <c r="J108" s="15">
        <f>J99/J94</f>
        <v>71</v>
      </c>
      <c r="L108" s="15">
        <f>L99/L94</f>
        <v>83.38</v>
      </c>
      <c r="N108" s="15">
        <f>N99/N94</f>
        <v>78.72</v>
      </c>
    </row>
    <row r="109" spans="1:14" x14ac:dyDescent="0.4">
      <c r="B109" t="s">
        <v>63</v>
      </c>
      <c r="D109" s="15">
        <f>D100/D94</f>
        <v>53.92</v>
      </c>
      <c r="F109" s="15">
        <f>F100/F94</f>
        <v>43.63</v>
      </c>
      <c r="H109" s="15">
        <f>H100/H94</f>
        <v>53.4</v>
      </c>
      <c r="J109" s="15">
        <f>J100/J94</f>
        <v>45.5</v>
      </c>
      <c r="L109" s="15">
        <f>L100/L94</f>
        <v>62.67</v>
      </c>
      <c r="N109" s="15">
        <f>N100/N94</f>
        <v>57.97</v>
      </c>
    </row>
    <row r="110" spans="1:14" x14ac:dyDescent="0.4">
      <c r="B110" t="s">
        <v>64</v>
      </c>
      <c r="D110" s="15">
        <f>D101/D94</f>
        <v>68.25</v>
      </c>
      <c r="F110" s="15">
        <f>F101/F94</f>
        <v>62.82</v>
      </c>
      <c r="H110" s="15">
        <f>H101/H94</f>
        <v>75.410004000000001</v>
      </c>
      <c r="J110" s="15">
        <f>J101/J94</f>
        <v>56.77</v>
      </c>
      <c r="L110" s="15">
        <f>L101/L94</f>
        <v>63.24</v>
      </c>
      <c r="N110" s="15">
        <f>N101/N94</f>
        <v>71.989999999999995</v>
      </c>
    </row>
    <row r="111" spans="1:14" x14ac:dyDescent="0.4">
      <c r="B111" t="s">
        <v>65</v>
      </c>
      <c r="D111" s="16">
        <f>D102*D94</f>
        <v>380.37814500000002</v>
      </c>
      <c r="E111" s="16"/>
      <c r="F111" s="16">
        <f>F102*F94</f>
        <v>378.90714700000001</v>
      </c>
      <c r="G111" s="16"/>
      <c r="H111" s="16">
        <f>H102*H94</f>
        <v>361.98513300000002</v>
      </c>
      <c r="I111" s="16"/>
      <c r="J111" s="16">
        <f>J102*J94</f>
        <v>325.81099999999998</v>
      </c>
      <c r="K111" s="16"/>
      <c r="L111" s="16">
        <f>L102*L94</f>
        <v>325.81099999999998</v>
      </c>
      <c r="M111" s="16"/>
      <c r="N111" s="16">
        <f>N102*N94</f>
        <v>325.81099999999998</v>
      </c>
    </row>
    <row r="112" spans="1:14" x14ac:dyDescent="0.4">
      <c r="B112" t="s">
        <v>66</v>
      </c>
      <c r="D112" s="15">
        <f>ROUND(D68/D111,2)</f>
        <v>36.57</v>
      </c>
      <c r="F112" s="15">
        <f>ROUND(F68/F111,2)</f>
        <v>37.08</v>
      </c>
      <c r="H112" s="15">
        <f>ROUND(H68/H111,2)</f>
        <v>36.75</v>
      </c>
      <c r="J112" s="15">
        <f>ROUND(J68/J111,2)</f>
        <v>32.1</v>
      </c>
      <c r="L112" s="15">
        <f>ROUND(L68/L111,2)</f>
        <v>35.82</v>
      </c>
      <c r="N112" s="15">
        <f>ROUND(N68/N111,2)</f>
        <v>36.82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ENTERGY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38138.233</v>
      </c>
      <c r="F8" s="34">
        <f>F78+F79+F81-F103</f>
        <v>33999.535000000003</v>
      </c>
      <c r="H8" s="34">
        <f>H78+H79+H81-H103</f>
        <v>28798.659999999996</v>
      </c>
      <c r="J8" s="34">
        <f>J78+J79+J81-J103</f>
        <v>25811.186999999998</v>
      </c>
      <c r="L8" s="34">
        <f>L78+L79+L81-L103</f>
        <v>23312.632000000001</v>
      </c>
    </row>
    <row r="9" spans="1:15" x14ac:dyDescent="0.4">
      <c r="B9" t="s">
        <v>5</v>
      </c>
      <c r="D9" s="9">
        <f>D80</f>
        <v>1201.1769999999999</v>
      </c>
      <c r="F9" s="9">
        <f>F80</f>
        <v>1627.489</v>
      </c>
      <c r="H9" s="9">
        <f>H80</f>
        <v>1946.7270000000001</v>
      </c>
      <c r="J9" s="9">
        <f>J80</f>
        <v>1942.3389999999999</v>
      </c>
      <c r="L9" s="9">
        <f>L80</f>
        <v>1578.308</v>
      </c>
    </row>
    <row r="10" spans="1:15" ht="15.4" thickBot="1" x14ac:dyDescent="0.45">
      <c r="B10" t="s">
        <v>7</v>
      </c>
      <c r="D10" s="10">
        <f>D8+D9</f>
        <v>39339.410000000003</v>
      </c>
      <c r="F10" s="10">
        <f>F8+F9</f>
        <v>35627.024000000005</v>
      </c>
      <c r="H10" s="10">
        <f>H8+H9</f>
        <v>30745.386999999995</v>
      </c>
      <c r="J10" s="10">
        <f>J8+J9</f>
        <v>27753.525999999998</v>
      </c>
      <c r="L10" s="10">
        <f>L8+L9</f>
        <v>24890.940000000002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18</v>
      </c>
      <c r="E13" s="7" t="s">
        <v>3</v>
      </c>
      <c r="F13" s="30">
        <f>ROUND(AVERAGE(F108:F109)/F105,0)</f>
        <v>15</v>
      </c>
      <c r="G13" s="7" t="s">
        <v>3</v>
      </c>
      <c r="H13" s="30">
        <f>ROUND(AVERAGE(H108:H109)/H105,0)</f>
        <v>16</v>
      </c>
      <c r="I13" s="7" t="s">
        <v>3</v>
      </c>
      <c r="J13" s="30">
        <f>ROUND(AVERAGE(J108:J109)/J105,0)</f>
        <v>17</v>
      </c>
      <c r="K13" s="7" t="s">
        <v>3</v>
      </c>
      <c r="L13" s="30"/>
      <c r="M13" s="7" t="s">
        <v>3</v>
      </c>
      <c r="N13" s="30">
        <f>AVERAGE(D13,F13,H13,J13,L13)</f>
        <v>16.5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1.7929999999999999</v>
      </c>
      <c r="E14" s="3"/>
      <c r="F14" s="3">
        <f>ROUND(AVERAGE(F108:F109)/AVERAGE(F112,H112),3)</f>
        <v>1.99</v>
      </c>
      <c r="G14" s="3"/>
      <c r="H14" s="3">
        <f>ROUND(AVERAGE(H108:H109)/AVERAGE(H112,J112),3)</f>
        <v>2.093</v>
      </c>
      <c r="I14" s="3"/>
      <c r="J14" s="3">
        <f>ROUND(AVERAGE(J108:J109)/AVERAGE(J112,L112),3)</f>
        <v>1.7869999999999999</v>
      </c>
      <c r="K14" s="3"/>
      <c r="L14" s="3">
        <f>ROUND(AVERAGE(L108:L109)/AVERAGE(L112,N112),3)</f>
        <v>1.7629999999999999</v>
      </c>
      <c r="M14" s="3"/>
      <c r="N14" s="3">
        <f>AVERAGE(D14,F14,H14,J14,L14)</f>
        <v>1.8851999999999998</v>
      </c>
    </row>
    <row r="15" spans="1:15" x14ac:dyDescent="0.4">
      <c r="B15" t="s">
        <v>9</v>
      </c>
      <c r="D15" s="3">
        <f>ROUND(D106/AVERAGE(D108:D109),3)</f>
        <v>3.7999999999999999E-2</v>
      </c>
      <c r="E15" s="3"/>
      <c r="F15" s="3">
        <f>ROUND(F106/AVERAGE(F108:F109),3)</f>
        <v>3.5000000000000003E-2</v>
      </c>
      <c r="G15" s="3"/>
      <c r="H15" s="3">
        <f>ROUND(H106/AVERAGE(H108:H109),3)</f>
        <v>3.5999999999999997E-2</v>
      </c>
      <c r="I15" s="3"/>
      <c r="J15" s="3">
        <f>ROUND(J106/AVERAGE(J108:J109),3)</f>
        <v>4.3999999999999997E-2</v>
      </c>
      <c r="K15" s="3"/>
      <c r="L15" s="3">
        <f>ROUND(L106/AVERAGE(L108:L109),3)</f>
        <v>4.3999999999999997E-2</v>
      </c>
      <c r="M15" s="3"/>
      <c r="N15" s="3">
        <f>AVERAGE(D15,F15,H15,J15,L15)</f>
        <v>3.9400000000000004E-2</v>
      </c>
    </row>
    <row r="16" spans="1:15" x14ac:dyDescent="0.4">
      <c r="B16" t="s">
        <v>10</v>
      </c>
      <c r="D16" s="3">
        <f>ROUND(D96/D66,3)</f>
        <v>0.69299999999999995</v>
      </c>
      <c r="E16" s="3"/>
      <c r="F16" s="3">
        <f>ROUND(F96/F66,3)</f>
        <v>0.53900000000000003</v>
      </c>
      <c r="G16" s="3"/>
      <c r="H16" s="3">
        <f>ROUND(H96/H66,3)</f>
        <v>0.57299999999999995</v>
      </c>
      <c r="I16" s="3"/>
      <c r="J16" s="3">
        <f>ROUND(J96/J66,3)</f>
        <v>0.76300000000000001</v>
      </c>
      <c r="K16" s="3"/>
      <c r="L16" s="3"/>
      <c r="M16" s="3"/>
      <c r="N16" s="3">
        <f>AVERAGE(D16,F16,H16,J16,L16)</f>
        <v>0.64200000000000002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0.67900000000000005</v>
      </c>
      <c r="E20" s="3"/>
      <c r="F20" s="3">
        <f>ROUND((+F76+F79)/F8,3)</f>
        <v>0.65800000000000003</v>
      </c>
      <c r="G20" s="3"/>
      <c r="H20" s="3">
        <f>ROUND((+H76+H79)/H8,3)</f>
        <v>0.621</v>
      </c>
      <c r="I20" s="3"/>
      <c r="J20" s="3">
        <f>ROUND((+J76+J79)/J8,3)</f>
        <v>0.627</v>
      </c>
      <c r="K20" s="3"/>
      <c r="L20" s="3">
        <f>ROUND((+L76+L79)/L8,3)</f>
        <v>0.64800000000000002</v>
      </c>
      <c r="M20" s="3"/>
      <c r="N20" s="3">
        <f>AVERAGE(D20,F20,H20,J20,L20)</f>
        <v>0.64660000000000006</v>
      </c>
    </row>
    <row r="21" spans="1:14" x14ac:dyDescent="0.4">
      <c r="B21" s="31" t="s">
        <v>93</v>
      </c>
      <c r="D21" s="3">
        <f>ROUND((SUM(D69:D75)+D81)/D8,3)</f>
        <v>8.0000000000000002E-3</v>
      </c>
      <c r="E21" s="3"/>
      <c r="F21" s="3">
        <f>ROUND((SUM(F69:F75)+F81)/F8,3)</f>
        <v>7.0000000000000001E-3</v>
      </c>
      <c r="G21" s="3"/>
      <c r="H21" s="3">
        <f>ROUND((SUM(H69:H75)+H81)/H8,3)</f>
        <v>8.9999999999999993E-3</v>
      </c>
      <c r="I21" s="3"/>
      <c r="J21" s="3">
        <f>ROUND((SUM(J69:J75)+J81)/J8,3)</f>
        <v>8.9999999999999993E-3</v>
      </c>
      <c r="K21" s="3"/>
      <c r="L21" s="3">
        <f>ROUND((SUM(L69:L75)+L81)/L8,3)</f>
        <v>8.0000000000000002E-3</v>
      </c>
      <c r="M21" s="3"/>
      <c r="N21" s="3">
        <f>AVERAGE(D21,F21,H21,J21,L21)</f>
        <v>8.2000000000000007E-3</v>
      </c>
    </row>
    <row r="22" spans="1:14" ht="17.25" x14ac:dyDescent="0.4">
      <c r="B22" s="32" t="s">
        <v>94</v>
      </c>
      <c r="D22" s="4">
        <f>ROUND((D68-D103)/D8,3)</f>
        <v>0.314</v>
      </c>
      <c r="E22" s="3"/>
      <c r="F22" s="4">
        <f>ROUND((F68-F103)/F8,3)</f>
        <v>0.33500000000000002</v>
      </c>
      <c r="G22" s="3"/>
      <c r="H22" s="4">
        <f>ROUND((H68-H103)/H8,3)</f>
        <v>0.371</v>
      </c>
      <c r="I22" s="3"/>
      <c r="J22" s="4">
        <f>ROUND((J68-J103)/J8,3)</f>
        <v>0.36399999999999999</v>
      </c>
      <c r="K22" s="3"/>
      <c r="L22" s="4">
        <f>ROUND((L68-L103)/L8,3)</f>
        <v>0.34399999999999997</v>
      </c>
      <c r="M22" s="3"/>
      <c r="N22" s="4">
        <f>AVERAGE(D22,F22,H22,J22,L22)</f>
        <v>0.34559999999999996</v>
      </c>
    </row>
    <row r="23" spans="1:14" ht="15.4" thickBot="1" x14ac:dyDescent="0.45">
      <c r="D23" s="5">
        <f>SUM(D20:D22)</f>
        <v>1.0010000000000001</v>
      </c>
      <c r="E23" s="3"/>
      <c r="F23" s="5">
        <f>SUM(F20:F22)</f>
        <v>1</v>
      </c>
      <c r="G23" s="3"/>
      <c r="H23" s="5">
        <f>SUM(H20:H22)</f>
        <v>1.0009999999999999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1.0004000000000002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0.68799999999999994</v>
      </c>
      <c r="E25" s="3"/>
      <c r="F25" s="3">
        <f>ROUND((+F76+F79+F80)/F10,3)</f>
        <v>0.67400000000000004</v>
      </c>
      <c r="G25" s="3"/>
      <c r="H25" s="3">
        <f>ROUND((+H76+H79+H80)/H10,3)</f>
        <v>0.64500000000000002</v>
      </c>
      <c r="I25" s="3"/>
      <c r="J25" s="3">
        <f>ROUND((+J76+J79+J80)/J10,3)</f>
        <v>0.65300000000000002</v>
      </c>
      <c r="K25" s="3"/>
      <c r="L25" s="3">
        <f>ROUND((+L76+L79+L80)/L10,3)</f>
        <v>0.67</v>
      </c>
      <c r="M25" s="3"/>
      <c r="N25" s="3">
        <f>AVERAGE(D25,F25,H25,J25,L25)</f>
        <v>0.66600000000000004</v>
      </c>
    </row>
    <row r="26" spans="1:14" x14ac:dyDescent="0.4">
      <c r="B26" s="31" t="s">
        <v>93</v>
      </c>
      <c r="D26" s="3">
        <f>ROUND((SUM(D69:D75)+D81)/D10,3)</f>
        <v>7.0000000000000001E-3</v>
      </c>
      <c r="E26" s="3"/>
      <c r="F26" s="3">
        <f>ROUND((SUM(F69:F75)+F81)/F10,3)</f>
        <v>7.0000000000000001E-3</v>
      </c>
      <c r="G26" s="3"/>
      <c r="H26" s="3">
        <f>ROUND((SUM(H69:H75)+H81)/H10,3)</f>
        <v>8.0000000000000002E-3</v>
      </c>
      <c r="I26" s="3"/>
      <c r="J26" s="3">
        <f>ROUND((SUM(J69:J75)+J81)/J10,3)</f>
        <v>8.0000000000000002E-3</v>
      </c>
      <c r="K26" s="3"/>
      <c r="L26" s="3">
        <f>ROUND((SUM(L69:L75)+L81)/L10,3)</f>
        <v>8.0000000000000002E-3</v>
      </c>
      <c r="M26" s="3"/>
      <c r="N26" s="3">
        <f>AVERAGE(D26,F26,H26,J26,L26)</f>
        <v>7.6E-3</v>
      </c>
    </row>
    <row r="27" spans="1:14" ht="17.25" x14ac:dyDescent="0.4">
      <c r="B27" s="32" t="s">
        <v>94</v>
      </c>
      <c r="D27" s="4">
        <f>ROUND((D68-D103)/D10,3)</f>
        <v>0.30399999999999999</v>
      </c>
      <c r="E27" s="3"/>
      <c r="F27" s="4">
        <f>ROUND((F68-F103)/F10,3)</f>
        <v>0.31900000000000001</v>
      </c>
      <c r="G27" s="3"/>
      <c r="H27" s="4">
        <f>ROUND((H68-H103)/H10,3)</f>
        <v>0.34699999999999998</v>
      </c>
      <c r="I27" s="3"/>
      <c r="J27" s="4">
        <f>ROUND((J68-J103)/J10,3)</f>
        <v>0.33900000000000002</v>
      </c>
      <c r="K27" s="3"/>
      <c r="L27" s="4">
        <f>ROUND((L68-L103)/L10,3)</f>
        <v>0.32200000000000001</v>
      </c>
      <c r="M27" s="3"/>
      <c r="N27" s="4">
        <f>AVERAGE(D27,F27,H27,J27,L27)</f>
        <v>0.32619999999999999</v>
      </c>
    </row>
    <row r="28" spans="1:14" ht="15.4" thickBot="1" x14ac:dyDescent="0.45">
      <c r="D28" s="5">
        <f>SUM(D25:D27)</f>
        <v>0.99899999999999989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0.99979999999999991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9.6000000000000002E-2</v>
      </c>
      <c r="E30" s="3"/>
      <c r="F30" s="3">
        <f>ROUND(+F66/(((F68-F103)+(H68-H103))/2),3)</f>
        <v>0.126</v>
      </c>
      <c r="G30" s="3"/>
      <c r="H30" s="3">
        <f>ROUND(+H66/(((H68-H103)+(J68-J103))/2),3)</f>
        <v>0.124</v>
      </c>
      <c r="I30" s="3"/>
      <c r="J30" s="3">
        <f>ROUND(+J66/(((J68-J103)+(L68-L103))/2),3)</f>
        <v>9.7000000000000003E-2</v>
      </c>
      <c r="K30" s="3"/>
      <c r="L30" s="3">
        <f>ROUND(+L66/(((L68-L103)+(N68-N103))/2),3)</f>
        <v>5.0999999999999997E-2</v>
      </c>
      <c r="M30" s="3"/>
      <c r="N30" s="3">
        <f>AVERAGE(D30,F30,H30,J30,L30)</f>
        <v>9.8799999999999985E-2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0.84299999999999997</v>
      </c>
      <c r="E32" s="3"/>
      <c r="F32" s="3">
        <f>ROUND((+F58-F57)/F56,3)</f>
        <v>0.82499999999999996</v>
      </c>
      <c r="G32" s="3"/>
      <c r="H32" s="3">
        <f>ROUND((+H58-H57)/H56,3)</f>
        <v>0.872</v>
      </c>
      <c r="I32" s="3"/>
      <c r="J32" s="3">
        <f>ROUND((+J58-J57)/J56,3)</f>
        <v>0.90900000000000003</v>
      </c>
      <c r="K32" s="3"/>
      <c r="L32" s="3">
        <f>ROUND((+L58-L57)/L56,3)</f>
        <v>0.83899999999999997</v>
      </c>
      <c r="M32" s="3"/>
      <c r="N32" s="3">
        <f>AVERAGE(D32,F32,H32,J32,L32)</f>
        <v>0.85760000000000003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2.52</v>
      </c>
      <c r="E35" s="7" t="s">
        <v>3</v>
      </c>
      <c r="F35" s="7">
        <f>ROUND(((+F66+F65+F64+F63+F61+F59+F57)/F61),2)</f>
        <v>2.5299999999999998</v>
      </c>
      <c r="G35" s="7" t="s">
        <v>3</v>
      </c>
      <c r="H35" s="7">
        <f>ROUND(((+H66+H65+H64+H63+H61+H59+H57)/H61),2)</f>
        <v>2.35</v>
      </c>
      <c r="I35" s="7" t="s">
        <v>3</v>
      </c>
      <c r="J35" s="7">
        <f>ROUND(((+J66+J65+J64+J63+J61+J59+J57)/J61),2)</f>
        <v>0.77</v>
      </c>
      <c r="K35" s="7" t="s">
        <v>3</v>
      </c>
      <c r="L35" s="7">
        <f>ROUND(((+L66+L65+L64+L63+L61+L59+L57)/L61),2)</f>
        <v>2.37</v>
      </c>
      <c r="M35" s="7" t="s">
        <v>3</v>
      </c>
      <c r="N35" s="26">
        <f>AVERAGE(D35,F35,H35,J35,L35)</f>
        <v>2.1079999999999997</v>
      </c>
      <c r="O35" t="s">
        <v>3</v>
      </c>
    </row>
    <row r="36" spans="1:15" x14ac:dyDescent="0.4">
      <c r="B36" t="s">
        <v>21</v>
      </c>
      <c r="D36" s="7">
        <f>ROUND(((+D66+D65+D64+D63+D61)/(D61)),2)</f>
        <v>2.2999999999999998</v>
      </c>
      <c r="E36" s="7" t="s">
        <v>3</v>
      </c>
      <c r="F36" s="7">
        <f>ROUND(((+F66+F65+F64+F63+F61)/(F61)),2)</f>
        <v>2.68</v>
      </c>
      <c r="G36" s="7" t="s">
        <v>3</v>
      </c>
      <c r="H36" s="7">
        <f>ROUND(((+H66+H65+H64+H63+H61)/(H61)),2)</f>
        <v>2.56</v>
      </c>
      <c r="I36" s="7" t="s">
        <v>3</v>
      </c>
      <c r="J36" s="7">
        <f>ROUND(((+J66+J65+J64+J63+J61)/(J61)),2)</f>
        <v>2.12</v>
      </c>
      <c r="K36" s="7" t="s">
        <v>3</v>
      </c>
      <c r="L36" s="7">
        <f>ROUND(((+L66+L65+L64+L63+L61)/(L61)),2)</f>
        <v>1.6</v>
      </c>
      <c r="M36" s="7" t="s">
        <v>3</v>
      </c>
      <c r="N36" s="26">
        <f>AVERAGE(D36,F36,H36,J36,L36)</f>
        <v>2.2519999999999998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2.29</v>
      </c>
      <c r="E37" s="7" t="s">
        <v>3</v>
      </c>
      <c r="F37" s="7">
        <f>ROUND(((+F66+F65+F64+F63+F61)/(F61+F63+F64+F65)),2)</f>
        <v>2.62</v>
      </c>
      <c r="G37" s="7" t="s">
        <v>3</v>
      </c>
      <c r="H37" s="7">
        <f>ROUND(((+H66+H65+H64+H63+H61)/(H61+H63+H64+H65)),2)</f>
        <v>2.5099999999999998</v>
      </c>
      <c r="I37" s="7" t="s">
        <v>3</v>
      </c>
      <c r="J37" s="7">
        <f>ROUND(((+J66+J65+J64+J63+J61)/(J61+J63+J64+J65)),2)</f>
        <v>2.08</v>
      </c>
      <c r="K37" s="7" t="s">
        <v>3</v>
      </c>
      <c r="L37" s="7">
        <f>ROUND(((+L66+L65+L64+L63+L61)/(L61+L63+L64+L65)),2)</f>
        <v>1.57</v>
      </c>
      <c r="M37" s="7" t="s">
        <v>3</v>
      </c>
      <c r="N37" s="26">
        <f>AVERAGE(D37,F37,H37,J37,L37)</f>
        <v>2.214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2.4</v>
      </c>
      <c r="E40" s="7" t="s">
        <v>3</v>
      </c>
      <c r="F40" s="7">
        <f>ROUND(((+F66+F65+F64+F63-F62+F61+F59+F57)/F61),2)</f>
        <v>2.33</v>
      </c>
      <c r="G40" s="7" t="s">
        <v>3</v>
      </c>
      <c r="H40" s="7">
        <f>ROUND(((+H66+H65+H64+H63-H62+H61+H59+H57)/H61),2)</f>
        <v>2.09</v>
      </c>
      <c r="I40" s="7" t="s">
        <v>3</v>
      </c>
      <c r="J40" s="7">
        <f>ROUND(((+J66+J65+J64+J63-J62+J61+J59+J57)/J61),2)</f>
        <v>0.53</v>
      </c>
      <c r="K40" s="7" t="s">
        <v>3</v>
      </c>
      <c r="L40" s="7">
        <f>ROUND(((+L66+L65+L64+L63-L62+L61+L59+L57)/L61),2)</f>
        <v>2.17</v>
      </c>
      <c r="M40" s="7" t="s">
        <v>3</v>
      </c>
      <c r="N40" s="26">
        <f>AVERAGE(D40,F40,H40,J40,L40)</f>
        <v>1.9039999999999999</v>
      </c>
      <c r="O40" t="s">
        <v>3</v>
      </c>
    </row>
    <row r="41" spans="1:15" x14ac:dyDescent="0.4">
      <c r="B41" t="s">
        <v>21</v>
      </c>
      <c r="D41" s="7">
        <f>ROUND(((+D66+D65+D64+D63-D62+D61)/D61),2)</f>
        <v>2.1800000000000002</v>
      </c>
      <c r="E41" s="7" t="s">
        <v>3</v>
      </c>
      <c r="F41" s="7">
        <f>ROUND(((+F66+F65+F64+F63-F62+F61)/F61),2)</f>
        <v>2.4700000000000002</v>
      </c>
      <c r="G41" s="7" t="s">
        <v>3</v>
      </c>
      <c r="H41" s="7">
        <f>ROUND(((+H66+H65+H64+H63-H62+H61)/H61),2)</f>
        <v>2.2999999999999998</v>
      </c>
      <c r="I41" s="7" t="s">
        <v>3</v>
      </c>
      <c r="J41" s="7">
        <f>ROUND(((+J66+J65+J64+J63-J62+J61)/J61),2)</f>
        <v>1.87</v>
      </c>
      <c r="K41" s="7" t="s">
        <v>3</v>
      </c>
      <c r="L41" s="7">
        <f>ROUND(((+L66+L65+L64+L63-L62+L61)/L61),2)</f>
        <v>1.4</v>
      </c>
      <c r="M41" s="7" t="s">
        <v>3</v>
      </c>
      <c r="N41" s="26">
        <f>AVERAGE(D41,F41,H41,J41,L41)</f>
        <v>2.044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2.1800000000000002</v>
      </c>
      <c r="E42" s="7" t="s">
        <v>3</v>
      </c>
      <c r="F42" s="7">
        <f>ROUND(((+F66+F65+F64+F63-F62+F61)/(F61+F63+F64+F65)),2)</f>
        <v>2.42</v>
      </c>
      <c r="G42" s="7" t="s">
        <v>3</v>
      </c>
      <c r="H42" s="7">
        <f>ROUND(((+H66+H65+H64+H63-H62+H61)/(H61+H63+H64+H65)),2)</f>
        <v>2.25</v>
      </c>
      <c r="I42" s="7" t="s">
        <v>3</v>
      </c>
      <c r="J42" s="7">
        <f>ROUND(((+J66+J65+J64+J63-J62+J61)/(J61+J63+J64+J65)),2)</f>
        <v>1.84</v>
      </c>
      <c r="K42" s="7" t="s">
        <v>3</v>
      </c>
      <c r="L42" s="7">
        <f>ROUND(((+L66+L65+L64+L63-L62+L61)/(L61+L63+L64+L65)),2)</f>
        <v>1.38</v>
      </c>
      <c r="M42" s="7" t="s">
        <v>3</v>
      </c>
      <c r="N42" s="26">
        <f>AVERAGE(D42,F42,H42,J42,L42)</f>
        <v>2.0140000000000002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8.8999999999999996E-2</v>
      </c>
      <c r="E45" s="11"/>
      <c r="F45" s="11">
        <f>ROUND(F62/F66,3)</f>
        <v>0.124</v>
      </c>
      <c r="G45" s="11"/>
      <c r="H45" s="11">
        <f>ROUND(H62/H66,3)</f>
        <v>0.16900000000000001</v>
      </c>
      <c r="I45" s="11"/>
      <c r="J45" s="11">
        <f>ROUND(J62/J66,3)</f>
        <v>0.22500000000000001</v>
      </c>
      <c r="K45" s="11"/>
      <c r="L45" s="11">
        <f>ROUND(L62/L66,3)</f>
        <v>0.34</v>
      </c>
      <c r="M45" s="11"/>
      <c r="N45" s="3">
        <f t="shared" ref="N45:N50" si="0">AVERAGE(D45,F45,H45,J45,L45)</f>
        <v>0.18940000000000001</v>
      </c>
    </row>
    <row r="46" spans="1:15" x14ac:dyDescent="0.4">
      <c r="B46" t="s">
        <v>17</v>
      </c>
      <c r="D46" s="17">
        <f>ROUND((D57+D59)/(D57+D59+D66+D63+D64+D65),3)</f>
        <v>0.14599999999999999</v>
      </c>
      <c r="E46" s="18"/>
      <c r="F46" s="17">
        <f>ROUND((F57+F59)/(F57+F59+F66+F63+F64+F65),3)</f>
        <v>-9.5000000000000001E-2</v>
      </c>
      <c r="G46" s="18"/>
      <c r="H46" s="17">
        <f>ROUND((H57+H59)/(H57+H59+H66+H63+H64+H65),3)</f>
        <v>-0.156</v>
      </c>
      <c r="I46" s="18"/>
      <c r="J46" s="17"/>
      <c r="K46" s="18"/>
      <c r="L46" s="17">
        <f>ROUND((L57+L59)/(L57+L59+L66+L63+L64+L65),3)</f>
        <v>0.56100000000000005</v>
      </c>
      <c r="M46" s="18"/>
      <c r="N46" s="3">
        <f t="shared" si="0"/>
        <v>0.11400000000000002</v>
      </c>
    </row>
    <row r="47" spans="1:15" ht="17.25" x14ac:dyDescent="0.4">
      <c r="B47" s="33" t="s">
        <v>100</v>
      </c>
      <c r="D47" s="11">
        <f>ROUND(((+D82+D83+D84+D85+D86-D87+D88-D90-D91)/(+D89-D87)),3)</f>
        <v>0.54200000000000004</v>
      </c>
      <c r="E47" s="12"/>
      <c r="F47" s="11">
        <f>ROUND(((+F82+F83+F84+F85+F86-F87+F88-F90-F91)/(+F89-F87)),3)</f>
        <v>0.56799999999999995</v>
      </c>
      <c r="G47" s="12"/>
      <c r="H47" s="11">
        <f>ROUND(((+H82+H83+H84+H85+H86-H87+H88-H90-H91)/(+H89-H87)),3)</f>
        <v>0.57999999999999996</v>
      </c>
      <c r="I47" s="12"/>
      <c r="J47" s="11">
        <f>ROUND(((+J82+J83+J84+J85+J86-J87+J88-J90-J91)/(+J89-J87)),3)</f>
        <v>0.53800000000000003</v>
      </c>
      <c r="K47" s="12"/>
      <c r="L47" s="11">
        <f>ROUND(((+L82+L83+L84+L85+L86-L87+L88-L90-L91)/(+L89-L87)),3)</f>
        <v>0.69</v>
      </c>
      <c r="M47" s="12"/>
      <c r="N47" s="3">
        <f t="shared" si="0"/>
        <v>0.5835999999999999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0.159</v>
      </c>
      <c r="E48" s="12"/>
      <c r="F48" s="11">
        <f>ROUND(((+F82+F83+F84+F85+F86-F87+F88)/(AVERAGE(F76,H76)+AVERAGE(F79,H79)+AVERAGE(F80,H80))),3)</f>
        <v>0.154</v>
      </c>
      <c r="G48" s="12"/>
      <c r="H48" s="11">
        <f>ROUND(((+H82+H83+H84+H85+H86-H87+H88)/(AVERAGE(H76,J76)+AVERAGE(H79,J79)+AVERAGE(H80,J80))),3)</f>
        <v>0.16200000000000001</v>
      </c>
      <c r="I48" s="12"/>
      <c r="J48" s="11">
        <f>ROUND(((+J82+J83+J84+J85+J86-J87+J88)/(AVERAGE(J76,L76)+AVERAGE(J79,L79)+AVERAGE(J80,L80))),3)</f>
        <v>0.16200000000000001</v>
      </c>
      <c r="K48" s="12"/>
      <c r="L48" s="11">
        <f>ROUND(((+L82+L83+L84+L85+L86-L87+L88)/(AVERAGE(L76,N76)+AVERAGE(L79,N79)+AVERAGE(L80,N80))),3)</f>
        <v>0.20499999999999999</v>
      </c>
      <c r="M48" s="12"/>
      <c r="N48" s="3">
        <f t="shared" si="0"/>
        <v>0.16839999999999999</v>
      </c>
    </row>
    <row r="49" spans="1:15" ht="17.25" x14ac:dyDescent="0.4">
      <c r="B49" s="33" t="s">
        <v>102</v>
      </c>
      <c r="D49" s="27">
        <f>ROUND(((+D82+D83+D84+D85+D86-D87+D88+D92)/D61),2)</f>
        <v>5.67</v>
      </c>
      <c r="E49" t="s">
        <v>3</v>
      </c>
      <c r="F49" s="27">
        <f>ROUND(((+F82+F83+F84+F85+F86-F87+F88+F92)/F61),2)</f>
        <v>4.97</v>
      </c>
      <c r="G49" t="s">
        <v>3</v>
      </c>
      <c r="H49" s="27">
        <f>ROUND(((+H82+H83+H84+H85+H86-H87+H88+H92)/H61),2)</f>
        <v>4.78</v>
      </c>
      <c r="I49" t="s">
        <v>3</v>
      </c>
      <c r="J49" s="27">
        <f>ROUND(((+J82+J83+J84+J85+J86-J87+J88+J92)/J61),2)</f>
        <v>4.63</v>
      </c>
      <c r="K49" t="s">
        <v>3</v>
      </c>
      <c r="L49" s="27">
        <f>ROUND(((+L82+L83+L84+L85+L86-L87+L88+L92)/L61),2)</f>
        <v>5.58</v>
      </c>
      <c r="M49" t="s">
        <v>3</v>
      </c>
      <c r="N49" s="27">
        <f t="shared" si="0"/>
        <v>5.1260000000000003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5.21</v>
      </c>
      <c r="E50" t="s">
        <v>3</v>
      </c>
      <c r="F50" s="27">
        <f>ROUND(((+F82+F83+F84+F85+F86-F87+F88-F91)/+F90),2)</f>
        <v>4.47</v>
      </c>
      <c r="G50" t="s">
        <v>3</v>
      </c>
      <c r="H50" s="27">
        <f>ROUND(((+H82+H83+H84+H85+H86-H87+H88-H91)/+H90),2)</f>
        <v>4.3</v>
      </c>
      <c r="I50" t="s">
        <v>3</v>
      </c>
      <c r="J50" s="27">
        <f>ROUND(((+J82+J83+J84+J85+J86-J87+J88-J91)/+J90),2)</f>
        <v>4.33</v>
      </c>
      <c r="K50" t="s">
        <v>3</v>
      </c>
      <c r="L50" s="27">
        <f>ROUND(((+L82+L83+L84+L85+L86-L87+L88-L91)/+L90),2)</f>
        <v>5.18</v>
      </c>
      <c r="M50" t="s">
        <v>3</v>
      </c>
      <c r="N50" s="27">
        <f t="shared" si="0"/>
        <v>4.6980000000000004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79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11742.896000000001</v>
      </c>
      <c r="E56" s="22"/>
      <c r="F56" s="22">
        <v>10113.636</v>
      </c>
      <c r="G56" s="22"/>
      <c r="H56" s="22">
        <v>10878.673000000001</v>
      </c>
      <c r="I56" s="22"/>
      <c r="J56" s="22">
        <v>11009.451999999999</v>
      </c>
      <c r="K56" s="22"/>
      <c r="L56" s="22">
        <v>11074.481</v>
      </c>
      <c r="M56" s="22"/>
      <c r="N56" s="22">
        <v>10845.645</v>
      </c>
    </row>
    <row r="57" spans="1:15" x14ac:dyDescent="0.4">
      <c r="A57" s="20" t="s">
        <v>23</v>
      </c>
      <c r="B57" s="20"/>
      <c r="C57" s="20"/>
      <c r="D57" s="22">
        <v>191.374</v>
      </c>
      <c r="E57" s="22"/>
      <c r="F57" s="22">
        <v>-121.506</v>
      </c>
      <c r="G57" s="22"/>
      <c r="H57" s="22">
        <v>-169.82499999999999</v>
      </c>
      <c r="I57" s="22"/>
      <c r="J57" s="22">
        <v>-1036.826</v>
      </c>
      <c r="K57" s="22"/>
      <c r="L57" s="22">
        <v>542.57000000000005</v>
      </c>
      <c r="M57" s="22"/>
      <c r="N57" s="22">
        <v>-817.25900000000001</v>
      </c>
    </row>
    <row r="58" spans="1:15" x14ac:dyDescent="0.4">
      <c r="A58" s="20" t="s">
        <v>24</v>
      </c>
      <c r="B58" s="20"/>
      <c r="C58" s="20"/>
      <c r="D58" s="22">
        <f>9897.27+D57</f>
        <v>10088.644</v>
      </c>
      <c r="E58" s="22"/>
      <c r="F58" s="22">
        <f>8344.441+F57</f>
        <v>8222.9350000000013</v>
      </c>
      <c r="G58" s="22"/>
      <c r="H58" s="22">
        <f>9488.176+H57</f>
        <v>9318.3509999999987</v>
      </c>
      <c r="I58" s="22"/>
      <c r="J58" s="22">
        <v>8970.94</v>
      </c>
      <c r="K58" s="22"/>
      <c r="L58" s="22">
        <v>9835.2669999999998</v>
      </c>
      <c r="M58" s="22"/>
      <c r="N58" s="22">
        <v>8038.674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1845.626-D57+299.161+29.018</f>
        <v>1982.431</v>
      </c>
      <c r="E60" s="22"/>
      <c r="F60" s="22">
        <f>1769.195-F57+301.615+52.318</f>
        <v>2244.634</v>
      </c>
      <c r="G60" s="22"/>
      <c r="H60" s="22">
        <f>1390.497-H57+440.347+64.957</f>
        <v>2065.6260000000002</v>
      </c>
      <c r="I60" s="22"/>
      <c r="J60" s="22">
        <v>1569.903</v>
      </c>
      <c r="K60" s="22"/>
      <c r="L60" s="22">
        <v>1087.6959999999999</v>
      </c>
      <c r="M60" s="22"/>
      <c r="N60" s="22">
        <v>101.867</v>
      </c>
    </row>
    <row r="61" spans="1:15" x14ac:dyDescent="0.4">
      <c r="A61" s="20" t="s">
        <v>27</v>
      </c>
      <c r="B61" s="20"/>
      <c r="C61" s="20"/>
      <c r="D61" s="22">
        <v>863.71199999999999</v>
      </c>
      <c r="E61" s="22"/>
      <c r="F61" s="22">
        <v>837.98099999999999</v>
      </c>
      <c r="G61" s="22"/>
      <c r="H61" s="22">
        <v>807.38199999999995</v>
      </c>
      <c r="I61" s="22"/>
      <c r="J61" s="22">
        <v>768.322</v>
      </c>
      <c r="K61" s="22"/>
      <c r="L61" s="22">
        <v>707.21199999999999</v>
      </c>
      <c r="M61" s="22"/>
      <c r="N61" s="22">
        <v>700.54499999999996</v>
      </c>
    </row>
    <row r="62" spans="1:15" x14ac:dyDescent="0.4">
      <c r="A62" s="20" t="s">
        <v>28</v>
      </c>
      <c r="B62" s="20"/>
      <c r="C62" s="20"/>
      <c r="D62" s="22">
        <f>70.473+29.018</f>
        <v>99.491</v>
      </c>
      <c r="E62" s="22"/>
      <c r="F62" s="22">
        <f>119.43+52.318</f>
        <v>171.74799999999999</v>
      </c>
      <c r="G62" s="22"/>
      <c r="H62" s="22">
        <f>144.974+64.957</f>
        <v>209.93099999999998</v>
      </c>
      <c r="I62" s="22"/>
      <c r="J62" s="22">
        <v>190.57599999999999</v>
      </c>
      <c r="K62" s="22"/>
      <c r="L62" s="22">
        <v>139.95699999999999</v>
      </c>
      <c r="M62" s="22"/>
      <c r="N62" s="22">
        <v>101.738</v>
      </c>
    </row>
    <row r="63" spans="1:15" x14ac:dyDescent="0.4">
      <c r="A63" s="20" t="s">
        <v>29</v>
      </c>
      <c r="B63" s="20"/>
      <c r="C63" s="20"/>
      <c r="D63" s="22">
        <v>0.22700000000000001</v>
      </c>
      <c r="E63" s="22"/>
      <c r="F63" s="22">
        <v>18.318999999999999</v>
      </c>
      <c r="G63" s="22"/>
      <c r="H63" s="22">
        <v>17.018000000000001</v>
      </c>
      <c r="I63" s="22"/>
      <c r="J63" s="22">
        <v>13.894</v>
      </c>
      <c r="K63" s="22"/>
      <c r="L63" s="22">
        <v>13.741</v>
      </c>
      <c r="M63" s="22"/>
      <c r="N63" s="22">
        <v>19.114999999999998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1118.492</v>
      </c>
      <c r="E66" s="22"/>
      <c r="F66" s="22">
        <v>1388.3340000000001</v>
      </c>
      <c r="G66" s="22"/>
      <c r="H66" s="22">
        <v>1241.2260000000001</v>
      </c>
      <c r="I66" s="22"/>
      <c r="J66" s="22">
        <v>848.66099999999994</v>
      </c>
      <c r="K66" s="22"/>
      <c r="L66" s="22">
        <v>411.61200000000002</v>
      </c>
      <c r="M66" s="22"/>
      <c r="N66" s="22">
        <v>-583.61800000000005</v>
      </c>
    </row>
    <row r="67" spans="1:14" x14ac:dyDescent="0.4">
      <c r="A67" s="20" t="s">
        <v>33</v>
      </c>
      <c r="B67" s="20"/>
      <c r="C67" s="20"/>
      <c r="D67" s="22">
        <v>5.57</v>
      </c>
      <c r="E67" s="22"/>
      <c r="F67" s="22">
        <v>6.94</v>
      </c>
      <c r="G67" s="22"/>
      <c r="H67" s="22">
        <v>6.36</v>
      </c>
      <c r="I67" s="22"/>
      <c r="J67" s="22">
        <v>4.68</v>
      </c>
      <c r="K67" s="22"/>
      <c r="L67" s="22">
        <v>2.29</v>
      </c>
      <c r="M67" s="22"/>
      <c r="N67" s="22">
        <v>-3.26</v>
      </c>
    </row>
    <row r="68" spans="1:14" x14ac:dyDescent="0.4">
      <c r="A68" s="20" t="s">
        <v>34</v>
      </c>
      <c r="B68" s="20"/>
      <c r="C68" s="20"/>
      <c r="D68" s="22">
        <v>11637.284</v>
      </c>
      <c r="E68" s="22"/>
      <c r="F68" s="22">
        <v>10926.142</v>
      </c>
      <c r="G68" s="22"/>
      <c r="H68" s="22">
        <v>10223.674999999999</v>
      </c>
      <c r="I68" s="22"/>
      <c r="J68" s="22">
        <v>8844.3050000000003</v>
      </c>
      <c r="K68" s="22"/>
      <c r="L68" s="22">
        <v>7992.5150000000003</v>
      </c>
      <c r="M68" s="22"/>
      <c r="N68" s="22">
        <v>8081.8090000000002</v>
      </c>
    </row>
    <row r="69" spans="1:14" x14ac:dyDescent="0.4">
      <c r="A69" s="20" t="s">
        <v>35</v>
      </c>
      <c r="B69" s="20"/>
      <c r="C69" s="20"/>
      <c r="D69" s="22">
        <f>219.41+68.11</f>
        <v>287.52</v>
      </c>
      <c r="E69" s="22"/>
      <c r="F69" s="22">
        <f>219.41+35</f>
        <v>254.41</v>
      </c>
      <c r="G69" s="22"/>
      <c r="H69" s="22">
        <f>219.41+35</f>
        <v>254.41</v>
      </c>
      <c r="I69" s="22"/>
      <c r="J69" s="22">
        <v>219.40199999999999</v>
      </c>
      <c r="K69" s="22"/>
      <c r="L69" s="22">
        <v>197.803</v>
      </c>
      <c r="M69" s="22"/>
      <c r="N69" s="22">
        <v>203.185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24841.572</v>
      </c>
      <c r="E76" s="22"/>
      <c r="F76" s="22">
        <v>21205.760999999999</v>
      </c>
      <c r="G76" s="22"/>
      <c r="H76" s="22">
        <v>17078.643</v>
      </c>
      <c r="I76" s="22"/>
      <c r="J76" s="22">
        <v>15538.681</v>
      </c>
      <c r="K76" s="22"/>
      <c r="L76" s="22">
        <v>14337.273999999999</v>
      </c>
      <c r="M76" s="22"/>
      <c r="N76" s="22">
        <v>14492.236999999999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36766.376000000004</v>
      </c>
      <c r="E78" s="22"/>
      <c r="F78" s="22">
        <f>SUM(F68:F77)</f>
        <v>32386.312999999998</v>
      </c>
      <c r="G78" s="22"/>
      <c r="H78" s="22">
        <f>SUM(H68:H77)</f>
        <v>27556.727999999999</v>
      </c>
      <c r="I78" s="22"/>
      <c r="J78" s="22">
        <v>24602.387999999999</v>
      </c>
      <c r="K78" s="22"/>
      <c r="L78" s="22">
        <v>22527.592000000001</v>
      </c>
      <c r="M78" s="22"/>
      <c r="N78" s="22">
        <v>22777.231</v>
      </c>
    </row>
    <row r="79" spans="1:14" x14ac:dyDescent="0.4">
      <c r="A79" s="20" t="s">
        <v>45</v>
      </c>
      <c r="B79" s="20"/>
      <c r="C79" s="20"/>
      <c r="D79" s="22">
        <v>1039.329</v>
      </c>
      <c r="E79" s="22"/>
      <c r="F79" s="22">
        <v>1164.0150000000001</v>
      </c>
      <c r="G79" s="22"/>
      <c r="H79" s="22">
        <v>795.01199999999994</v>
      </c>
      <c r="I79" s="22"/>
      <c r="J79" s="22">
        <v>651.62599999999998</v>
      </c>
      <c r="K79" s="22"/>
      <c r="L79" s="22">
        <v>761.50900000000001</v>
      </c>
      <c r="M79" s="22"/>
      <c r="N79" s="22">
        <v>367.32299999999998</v>
      </c>
    </row>
    <row r="80" spans="1:14" x14ac:dyDescent="0.4">
      <c r="A80" s="20" t="s">
        <v>46</v>
      </c>
      <c r="B80" s="20"/>
      <c r="C80" s="20"/>
      <c r="D80" s="22">
        <v>1201.1769999999999</v>
      </c>
      <c r="E80" s="22"/>
      <c r="F80" s="22">
        <v>1627.489</v>
      </c>
      <c r="G80" s="22"/>
      <c r="H80" s="22">
        <v>1946.7270000000001</v>
      </c>
      <c r="I80" s="22"/>
      <c r="J80" s="22">
        <v>1942.3389999999999</v>
      </c>
      <c r="K80" s="22"/>
      <c r="L80" s="22">
        <v>1578.308</v>
      </c>
      <c r="M80" s="22"/>
      <c r="N80" s="22">
        <v>415.01100000000002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1118.7190000000001</v>
      </c>
      <c r="E82" s="22"/>
      <c r="F82" s="22">
        <v>1406.653</v>
      </c>
      <c r="G82" s="22"/>
      <c r="H82" s="22">
        <v>1258.2439999999999</v>
      </c>
      <c r="I82" s="22"/>
      <c r="J82" s="22">
        <v>862.55499999999995</v>
      </c>
      <c r="K82" s="22"/>
      <c r="L82" s="22">
        <v>425.35300000000001</v>
      </c>
      <c r="M82" s="22"/>
      <c r="N82" s="22">
        <v>-564.50300000000004</v>
      </c>
    </row>
    <row r="83" spans="1:14" x14ac:dyDescent="0.4">
      <c r="A83" s="20" t="s">
        <v>49</v>
      </c>
      <c r="B83" s="20"/>
      <c r="C83" s="20"/>
      <c r="D83" s="22">
        <v>2242.944</v>
      </c>
      <c r="E83" s="22"/>
      <c r="F83" s="22">
        <v>2257.75</v>
      </c>
      <c r="G83" s="22"/>
      <c r="H83" s="22">
        <v>2182.3130000000001</v>
      </c>
      <c r="I83" s="22"/>
      <c r="J83" s="22">
        <v>2040.5550000000001</v>
      </c>
      <c r="K83" s="22"/>
      <c r="L83" s="22">
        <v>2078.578</v>
      </c>
      <c r="M83" s="22"/>
      <c r="N83" s="22">
        <v>2123.2910000000002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248.71899999999999</v>
      </c>
      <c r="E85" s="22"/>
      <c r="F85" s="22">
        <v>-131.114</v>
      </c>
      <c r="G85" s="22"/>
      <c r="H85" s="22">
        <v>193.95</v>
      </c>
      <c r="I85" s="22"/>
      <c r="J85" s="22">
        <v>-256.84800000000001</v>
      </c>
      <c r="K85" s="22"/>
      <c r="L85" s="22">
        <v>529.053</v>
      </c>
      <c r="M85" s="22"/>
      <c r="N85" s="22">
        <v>0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70.472999999999999</v>
      </c>
      <c r="E87" s="22"/>
      <c r="F87" s="22">
        <v>119.43</v>
      </c>
      <c r="G87" s="22"/>
      <c r="H87" s="22">
        <v>144.86199999999999</v>
      </c>
      <c r="I87" s="22"/>
      <c r="J87" s="22">
        <v>130.19499999999999</v>
      </c>
      <c r="K87" s="22"/>
      <c r="L87" s="22">
        <v>96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263.599+250.917</f>
        <v>514.51599999999996</v>
      </c>
      <c r="E88" s="22"/>
      <c r="F88" s="22">
        <f>26.379-76.149</f>
        <v>-49.769999999999996</v>
      </c>
      <c r="G88" s="22"/>
      <c r="H88" s="22">
        <f>226.678-639.149</f>
        <v>-412.471</v>
      </c>
      <c r="I88" s="22"/>
      <c r="J88" s="22">
        <v>305.02100000000002</v>
      </c>
      <c r="K88" s="22"/>
      <c r="L88" s="22">
        <v>333.048</v>
      </c>
      <c r="M88" s="22"/>
      <c r="N88" s="22">
        <v>1598.6089999999999</v>
      </c>
    </row>
    <row r="89" spans="1:14" x14ac:dyDescent="0.4">
      <c r="A89" s="20" t="s">
        <v>54</v>
      </c>
      <c r="B89" s="20"/>
      <c r="C89" s="20"/>
      <c r="D89" s="22">
        <v>6087.2960000000003</v>
      </c>
      <c r="E89" s="22"/>
      <c r="F89" s="22">
        <v>4694.076</v>
      </c>
      <c r="G89" s="22"/>
      <c r="H89" s="22">
        <v>4197.6670000000004</v>
      </c>
      <c r="I89" s="22"/>
      <c r="J89" s="22">
        <v>4141.0219999999999</v>
      </c>
      <c r="K89" s="22"/>
      <c r="L89" s="22">
        <v>3905.6179999999999</v>
      </c>
      <c r="M89" s="22"/>
      <c r="N89" s="22">
        <v>3975.9119999999998</v>
      </c>
    </row>
    <row r="90" spans="1:14" x14ac:dyDescent="0.4">
      <c r="A90" s="20" t="s">
        <v>55</v>
      </c>
      <c r="B90" s="20"/>
      <c r="C90" s="20"/>
      <c r="D90" s="22">
        <v>775.12199999999996</v>
      </c>
      <c r="E90" s="22"/>
      <c r="F90" s="22">
        <v>748.34199999999998</v>
      </c>
      <c r="G90" s="22"/>
      <c r="H90" s="22">
        <v>711.57299999999998</v>
      </c>
      <c r="I90" s="22"/>
      <c r="J90" s="22">
        <v>647.70399999999995</v>
      </c>
      <c r="K90" s="22"/>
      <c r="L90" s="22">
        <v>628.88499999999999</v>
      </c>
      <c r="M90" s="22"/>
      <c r="N90" s="22">
        <v>611.83500000000004</v>
      </c>
    </row>
    <row r="91" spans="1:14" x14ac:dyDescent="0.4">
      <c r="A91" s="20" t="s">
        <v>56</v>
      </c>
      <c r="B91" s="20"/>
      <c r="C91" s="20"/>
      <c r="D91" s="22">
        <v>18.318999999999999</v>
      </c>
      <c r="E91" s="22"/>
      <c r="F91" s="22">
        <v>18.501999999999999</v>
      </c>
      <c r="G91" s="22"/>
      <c r="H91" s="22">
        <v>16.437999999999999</v>
      </c>
      <c r="I91" s="22"/>
      <c r="J91" s="22">
        <v>14.185</v>
      </c>
      <c r="K91" s="22"/>
      <c r="L91" s="22">
        <v>13.94</v>
      </c>
      <c r="M91" s="22"/>
      <c r="N91" s="22">
        <v>20.789000000000001</v>
      </c>
    </row>
    <row r="92" spans="1:14" x14ac:dyDescent="0.4">
      <c r="A92" s="20" t="s">
        <v>57</v>
      </c>
      <c r="B92" s="20"/>
      <c r="C92" s="20"/>
      <c r="D92" s="22">
        <v>843.22799999999995</v>
      </c>
      <c r="E92" s="22"/>
      <c r="F92" s="22">
        <v>803.923</v>
      </c>
      <c r="G92" s="22"/>
      <c r="H92" s="22">
        <v>778.20899999999995</v>
      </c>
      <c r="I92" s="22"/>
      <c r="J92" s="22">
        <v>734.84500000000003</v>
      </c>
      <c r="K92" s="22"/>
      <c r="L92" s="22">
        <v>678.37099999999998</v>
      </c>
      <c r="M92" s="22"/>
      <c r="N92" s="22">
        <v>746.779</v>
      </c>
    </row>
    <row r="93" spans="1:14" x14ac:dyDescent="0.4">
      <c r="A93" s="20" t="s">
        <v>58</v>
      </c>
      <c r="B93" s="20"/>
      <c r="C93" s="20"/>
      <c r="D93" s="22">
        <v>98.376999999999995</v>
      </c>
      <c r="E93" s="22"/>
      <c r="F93" s="22">
        <v>-31.228000000000002</v>
      </c>
      <c r="G93" s="22"/>
      <c r="H93" s="22">
        <v>-40.435000000000002</v>
      </c>
      <c r="I93" s="22"/>
      <c r="J93" s="22">
        <v>19.824999999999999</v>
      </c>
      <c r="K93" s="22"/>
      <c r="L93" s="22">
        <v>-13.375</v>
      </c>
      <c r="M93" s="22"/>
      <c r="N93" s="22">
        <v>95.316999999999993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775.12199999999996</v>
      </c>
      <c r="E96" s="22"/>
      <c r="F96" s="22">
        <v>748.34199999999998</v>
      </c>
      <c r="G96" s="22"/>
      <c r="H96" s="22">
        <v>711.57299999999998</v>
      </c>
      <c r="I96" s="22"/>
      <c r="J96" s="22">
        <v>647.70399999999995</v>
      </c>
      <c r="K96" s="22"/>
      <c r="L96" s="22">
        <v>628.88499999999999</v>
      </c>
      <c r="M96" s="22"/>
      <c r="N96" s="22">
        <v>611.83500000000004</v>
      </c>
    </row>
    <row r="97" spans="1:14" x14ac:dyDescent="0.4">
      <c r="A97" s="20" t="s">
        <v>60</v>
      </c>
      <c r="B97" s="20"/>
      <c r="C97" s="20"/>
      <c r="D97" s="22">
        <v>3.86</v>
      </c>
      <c r="E97" s="22"/>
      <c r="F97" s="22">
        <v>3.74</v>
      </c>
      <c r="G97" s="22"/>
      <c r="H97" s="22">
        <v>3.66</v>
      </c>
      <c r="I97" s="22"/>
      <c r="J97" s="22">
        <v>3.58</v>
      </c>
      <c r="K97" s="22"/>
      <c r="L97" s="22">
        <v>3.5</v>
      </c>
      <c r="M97" s="22"/>
      <c r="N97" s="22">
        <v>3.42</v>
      </c>
    </row>
    <row r="98" spans="1:14" x14ac:dyDescent="0.4">
      <c r="A98" s="20" t="s">
        <v>61</v>
      </c>
      <c r="B98" s="20"/>
      <c r="C98" s="20"/>
      <c r="D98" s="22">
        <v>3.86</v>
      </c>
      <c r="E98" s="22"/>
      <c r="F98" s="22">
        <v>3.74</v>
      </c>
      <c r="G98" s="22"/>
      <c r="H98" s="22">
        <v>3.66</v>
      </c>
      <c r="I98" s="22"/>
      <c r="J98" s="22">
        <v>3.58</v>
      </c>
      <c r="K98" s="22"/>
      <c r="L98" s="22">
        <v>3.5</v>
      </c>
      <c r="M98" s="22"/>
      <c r="N98" s="22">
        <v>3.42</v>
      </c>
    </row>
    <row r="99" spans="1:14" x14ac:dyDescent="0.4">
      <c r="A99" s="20" t="s">
        <v>62</v>
      </c>
      <c r="B99" s="20"/>
      <c r="C99" s="20"/>
      <c r="D99" s="22">
        <v>115.02</v>
      </c>
      <c r="E99" s="22"/>
      <c r="F99" s="22">
        <v>135.55000000000001</v>
      </c>
      <c r="G99" s="22"/>
      <c r="H99" s="22">
        <v>122.09</v>
      </c>
      <c r="I99" s="22"/>
      <c r="J99" s="22">
        <v>90.79</v>
      </c>
      <c r="K99" s="22"/>
      <c r="L99" s="22">
        <v>87.95</v>
      </c>
      <c r="M99" s="22"/>
      <c r="N99" s="22">
        <v>82.084999999999994</v>
      </c>
    </row>
    <row r="100" spans="1:14" x14ac:dyDescent="0.4">
      <c r="A100" s="20" t="s">
        <v>63</v>
      </c>
      <c r="B100" s="20"/>
      <c r="C100" s="20"/>
      <c r="D100" s="22">
        <v>85.78</v>
      </c>
      <c r="E100" s="22"/>
      <c r="F100" s="22">
        <v>75.19</v>
      </c>
      <c r="G100" s="22"/>
      <c r="H100" s="22">
        <v>83.24</v>
      </c>
      <c r="I100" s="22"/>
      <c r="J100" s="22">
        <v>71.95</v>
      </c>
      <c r="K100" s="22"/>
      <c r="L100" s="22">
        <v>69.63</v>
      </c>
      <c r="M100" s="22"/>
      <c r="N100" s="22">
        <v>65.38</v>
      </c>
    </row>
    <row r="101" spans="1:14" x14ac:dyDescent="0.4">
      <c r="A101" s="20" t="s">
        <v>64</v>
      </c>
      <c r="B101" s="20"/>
      <c r="C101" s="20"/>
      <c r="D101">
        <v>112.65</v>
      </c>
      <c r="E101" s="22"/>
      <c r="F101">
        <v>99.84</v>
      </c>
      <c r="G101" s="22"/>
      <c r="H101" s="22">
        <v>119.800003</v>
      </c>
      <c r="I101" s="22"/>
      <c r="J101" s="22">
        <v>86.07</v>
      </c>
      <c r="K101" s="22"/>
      <c r="L101" s="22">
        <v>81.39</v>
      </c>
      <c r="M101" s="22"/>
      <c r="N101" s="22">
        <v>73.47</v>
      </c>
    </row>
    <row r="102" spans="1:14" x14ac:dyDescent="0.4">
      <c r="A102" s="20" t="s">
        <v>65</v>
      </c>
      <c r="B102" s="20"/>
      <c r="C102" s="20"/>
      <c r="D102" s="22">
        <f>271.96551-69.312326</f>
        <v>202.65318400000001</v>
      </c>
      <c r="E102" s="22"/>
      <c r="F102" s="22">
        <f>270.03518-69.790346</f>
        <v>200.24483400000003</v>
      </c>
      <c r="G102" s="22"/>
      <c r="H102" s="22">
        <f>270.03518-70.8864</f>
        <v>199.14878000000004</v>
      </c>
      <c r="I102" s="22"/>
      <c r="J102" s="22">
        <v>189.05600000000001</v>
      </c>
      <c r="K102" s="22"/>
      <c r="L102" s="22">
        <v>180.518</v>
      </c>
      <c r="M102" s="22"/>
      <c r="N102" s="22">
        <v>179.13</v>
      </c>
    </row>
    <row r="103" spans="1:14" x14ac:dyDescent="0.4">
      <c r="A103" s="20" t="s">
        <v>91</v>
      </c>
      <c r="B103" s="20"/>
      <c r="C103" s="20"/>
      <c r="D103" s="22">
        <v>-332.52800000000002</v>
      </c>
      <c r="E103" s="22"/>
      <c r="F103" s="22">
        <v>-449.20699999999999</v>
      </c>
      <c r="G103" s="22"/>
      <c r="H103" s="22">
        <v>-446.92</v>
      </c>
      <c r="I103" s="22"/>
      <c r="J103" s="22">
        <v>-557.173</v>
      </c>
      <c r="K103" s="22"/>
      <c r="L103" s="22">
        <v>-23.530999999999999</v>
      </c>
      <c r="M103" s="22"/>
      <c r="N103" s="22">
        <v>-34.970999999999997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5.57</v>
      </c>
      <c r="F105" s="15">
        <f>F67/F94</f>
        <v>6.94</v>
      </c>
      <c r="H105" s="15">
        <f>H67/H94</f>
        <v>6.36</v>
      </c>
      <c r="J105" s="15">
        <f>J67/J94</f>
        <v>4.68</v>
      </c>
      <c r="L105" s="15">
        <f>L67/L94</f>
        <v>2.29</v>
      </c>
      <c r="N105" s="15">
        <f>N67/N94</f>
        <v>-3.26</v>
      </c>
    </row>
    <row r="106" spans="1:14" x14ac:dyDescent="0.4">
      <c r="B106" t="s">
        <v>60</v>
      </c>
      <c r="D106" s="15">
        <f>D97/D94</f>
        <v>3.86</v>
      </c>
      <c r="F106" s="15">
        <f>F97/F94</f>
        <v>3.74</v>
      </c>
      <c r="H106" s="15">
        <f>H97/H94</f>
        <v>3.66</v>
      </c>
      <c r="J106" s="15">
        <f>J97/J94</f>
        <v>3.58</v>
      </c>
      <c r="L106" s="15">
        <f>L97/L94</f>
        <v>3.5</v>
      </c>
      <c r="N106" s="15">
        <f>N97/N94</f>
        <v>3.42</v>
      </c>
    </row>
    <row r="107" spans="1:14" x14ac:dyDescent="0.4">
      <c r="B107" t="s">
        <v>61</v>
      </c>
      <c r="D107" s="15">
        <f>D98/D94</f>
        <v>3.86</v>
      </c>
      <c r="F107" s="15">
        <f>F98/F94</f>
        <v>3.74</v>
      </c>
      <c r="H107" s="15">
        <f>H98/H94</f>
        <v>3.66</v>
      </c>
      <c r="J107" s="15">
        <f>J98/J94</f>
        <v>3.58</v>
      </c>
      <c r="L107" s="15">
        <f>L98/L94</f>
        <v>3.5</v>
      </c>
      <c r="N107" s="15">
        <f>N98/N94</f>
        <v>3.42</v>
      </c>
    </row>
    <row r="108" spans="1:14" x14ac:dyDescent="0.4">
      <c r="B108" t="s">
        <v>62</v>
      </c>
      <c r="D108" s="15">
        <f>D99/D94</f>
        <v>115.02</v>
      </c>
      <c r="F108" s="15">
        <f>F99/F94</f>
        <v>135.55000000000001</v>
      </c>
      <c r="H108" s="15">
        <f>H99/H94</f>
        <v>122.09</v>
      </c>
      <c r="J108" s="15">
        <f>J99/J94</f>
        <v>90.79</v>
      </c>
      <c r="L108" s="15">
        <f>L99/L94</f>
        <v>87.95</v>
      </c>
      <c r="N108" s="15">
        <f>N99/N94</f>
        <v>82.084999999999994</v>
      </c>
    </row>
    <row r="109" spans="1:14" x14ac:dyDescent="0.4">
      <c r="B109" t="s">
        <v>63</v>
      </c>
      <c r="D109" s="15">
        <f>D100/D94</f>
        <v>85.78</v>
      </c>
      <c r="F109" s="15">
        <f>F100/F94</f>
        <v>75.19</v>
      </c>
      <c r="H109" s="15">
        <f>H100/H94</f>
        <v>83.24</v>
      </c>
      <c r="J109" s="15">
        <f>J100/J94</f>
        <v>71.95</v>
      </c>
      <c r="L109" s="15">
        <f>L100/L94</f>
        <v>69.63</v>
      </c>
      <c r="N109" s="15">
        <f>N100/N94</f>
        <v>65.38</v>
      </c>
    </row>
    <row r="110" spans="1:14" x14ac:dyDescent="0.4">
      <c r="B110" t="s">
        <v>64</v>
      </c>
      <c r="D110" s="15">
        <f>D101/D94</f>
        <v>112.65</v>
      </c>
      <c r="F110" s="15">
        <f>F101/F94</f>
        <v>99.84</v>
      </c>
      <c r="H110" s="15">
        <f>H101/H94</f>
        <v>119.800003</v>
      </c>
      <c r="J110" s="15">
        <f>J101/J94</f>
        <v>86.07</v>
      </c>
      <c r="L110" s="15">
        <f>L101/L94</f>
        <v>81.39</v>
      </c>
      <c r="N110" s="15">
        <f>N101/N94</f>
        <v>73.47</v>
      </c>
    </row>
    <row r="111" spans="1:14" x14ac:dyDescent="0.4">
      <c r="B111" t="s">
        <v>65</v>
      </c>
      <c r="D111" s="16">
        <f>D102*D94</f>
        <v>202.65318400000001</v>
      </c>
      <c r="E111" s="16"/>
      <c r="F111" s="16">
        <f>F102*F94</f>
        <v>200.24483400000003</v>
      </c>
      <c r="G111" s="16"/>
      <c r="H111" s="16">
        <f>H102*H94</f>
        <v>199.14878000000004</v>
      </c>
      <c r="I111" s="16"/>
      <c r="J111" s="16">
        <f>J102*J94</f>
        <v>189.05600000000001</v>
      </c>
      <c r="K111" s="16"/>
      <c r="L111" s="16">
        <f>L102*L94</f>
        <v>180.518</v>
      </c>
      <c r="M111" s="16"/>
      <c r="N111" s="16">
        <f>N102*N94</f>
        <v>179.13</v>
      </c>
    </row>
    <row r="112" spans="1:14" x14ac:dyDescent="0.4">
      <c r="B112" t="s">
        <v>66</v>
      </c>
      <c r="D112" s="15">
        <f>ROUND(D68/D111,2)</f>
        <v>57.42</v>
      </c>
      <c r="F112" s="15">
        <f>ROUND(F68/F111,2)</f>
        <v>54.56</v>
      </c>
      <c r="H112" s="15">
        <f>ROUND(H68/H111,2)</f>
        <v>51.34</v>
      </c>
      <c r="J112" s="15">
        <f>ROUND(J68/J111,2)</f>
        <v>46.78</v>
      </c>
      <c r="L112" s="15">
        <f>ROUND(L68/L111,2)</f>
        <v>44.28</v>
      </c>
      <c r="N112" s="15">
        <f>ROUND(N68/N111,2)</f>
        <v>45.12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EVERGY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18972.899999999998</v>
      </c>
      <c r="F8" s="34">
        <f>F78+F79+F81-F103</f>
        <v>18414.000000000004</v>
      </c>
      <c r="H8" s="34">
        <f>H78+H79+H81-H103</f>
        <v>17644.2</v>
      </c>
      <c r="J8" s="34">
        <f>J78+J79+J81-J103</f>
        <v>17465.8</v>
      </c>
      <c r="L8" s="34">
        <f>L78+L79+L81-L103</f>
        <v>7706.6289999999999</v>
      </c>
    </row>
    <row r="9" spans="1:15" x14ac:dyDescent="0.4">
      <c r="B9" t="s">
        <v>5</v>
      </c>
      <c r="D9" s="9">
        <f>D80</f>
        <v>1478.3</v>
      </c>
      <c r="F9" s="9">
        <f>F80</f>
        <v>675</v>
      </c>
      <c r="H9" s="9">
        <f>H80</f>
        <v>900.9</v>
      </c>
      <c r="J9" s="9">
        <f>J80</f>
        <v>1103.5999999999999</v>
      </c>
      <c r="L9" s="9">
        <f>L80</f>
        <v>275.7</v>
      </c>
    </row>
    <row r="10" spans="1:15" ht="15.4" thickBot="1" x14ac:dyDescent="0.45">
      <c r="B10" t="s">
        <v>7</v>
      </c>
      <c r="D10" s="10">
        <f>D8+D9</f>
        <v>20451.199999999997</v>
      </c>
      <c r="F10" s="10">
        <f>F8+F9</f>
        <v>19089.000000000004</v>
      </c>
      <c r="H10" s="10">
        <f>H8+H9</f>
        <v>18545.100000000002</v>
      </c>
      <c r="J10" s="10">
        <f>J8+J9</f>
        <v>18569.399999999998</v>
      </c>
      <c r="L10" s="10">
        <f>L8+L9</f>
        <v>7982.3289999999997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16</v>
      </c>
      <c r="E13" s="7" t="s">
        <v>3</v>
      </c>
      <c r="F13" s="30">
        <f>ROUND(AVERAGE(F108:F109)/F105,0)</f>
        <v>22</v>
      </c>
      <c r="G13" s="7" t="s">
        <v>3</v>
      </c>
      <c r="H13" s="30">
        <f>ROUND(AVERAGE(H108:H109)/H105,0)</f>
        <v>22</v>
      </c>
      <c r="I13" s="7" t="s">
        <v>3</v>
      </c>
      <c r="J13" s="30">
        <f>ROUND(AVERAGE(J108:J109)/J105,0)</f>
        <v>22</v>
      </c>
      <c r="K13" s="7" t="s">
        <v>3</v>
      </c>
      <c r="L13" s="30">
        <f>ROUND(AVERAGE(L108:L109)/L105,0)</f>
        <v>23</v>
      </c>
      <c r="M13" s="7" t="s">
        <v>3</v>
      </c>
      <c r="N13" s="30">
        <f>AVERAGE(D13,F13,H13,J13,L13)</f>
        <v>21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1.54</v>
      </c>
      <c r="E14" s="3"/>
      <c r="F14" s="3">
        <f>ROUND(AVERAGE(F108:F109)/AVERAGE(F112,H112),3)</f>
        <v>1.554</v>
      </c>
      <c r="G14" s="3"/>
      <c r="H14" s="3">
        <f>ROUND(AVERAGE(H108:H109)/AVERAGE(H112,J112),3)</f>
        <v>1.587</v>
      </c>
      <c r="I14" s="3"/>
      <c r="J14" s="3">
        <f>ROUND(AVERAGE(J108:J109)/AVERAGE(J112,L112),3)</f>
        <v>1.62</v>
      </c>
      <c r="K14" s="3"/>
      <c r="L14" s="3">
        <f>ROUND(AVERAGE(L108:L109)/AVERAGE(L112,N112),3)</f>
        <v>1.96</v>
      </c>
      <c r="M14" s="3"/>
      <c r="N14" s="3">
        <f>AVERAGE(D14,F14,H14,J14,L14)</f>
        <v>1.6521999999999999</v>
      </c>
    </row>
    <row r="15" spans="1:15" x14ac:dyDescent="0.4">
      <c r="B15" t="s">
        <v>9</v>
      </c>
      <c r="D15" s="3">
        <f>ROUND(D106/AVERAGE(D108:D109),3)</f>
        <v>3.5999999999999997E-2</v>
      </c>
      <c r="E15" s="3"/>
      <c r="F15" s="3">
        <f>ROUND(F106/AVERAGE(F108:F109),3)</f>
        <v>3.5000000000000003E-2</v>
      </c>
      <c r="G15" s="3"/>
      <c r="H15" s="3">
        <f>ROUND(H106/AVERAGE(H108:H109),3)</f>
        <v>3.2000000000000001E-2</v>
      </c>
      <c r="I15" s="3"/>
      <c r="J15" s="3">
        <f>ROUND(J106/AVERAGE(J108:J109),3)</f>
        <v>3.2000000000000001E-2</v>
      </c>
      <c r="K15" s="3"/>
      <c r="L15" s="3">
        <f>ROUND(L106/AVERAGE(L108:L109),3)</f>
        <v>0.03</v>
      </c>
      <c r="M15" s="3"/>
      <c r="N15" s="3">
        <f>AVERAGE(D15,F15,H15,J15,L15)</f>
        <v>3.3000000000000002E-2</v>
      </c>
    </row>
    <row r="16" spans="1:15" x14ac:dyDescent="0.4">
      <c r="B16" t="s">
        <v>10</v>
      </c>
      <c r="D16" s="3">
        <f>ROUND(D96/D66,3)</f>
        <v>0.56599999999999995</v>
      </c>
      <c r="E16" s="3"/>
      <c r="F16" s="3">
        <f>ROUND(F96/F66,3)</f>
        <v>0.752</v>
      </c>
      <c r="G16" s="3"/>
      <c r="H16" s="3">
        <f>ROUND(H96/H66,3)</f>
        <v>0.69</v>
      </c>
      <c r="I16" s="3"/>
      <c r="J16" s="3">
        <f>ROUND(J96/J66,3)</f>
        <v>0.67600000000000005</v>
      </c>
      <c r="K16" s="3"/>
      <c r="L16" s="3">
        <f>ROUND(L96/L66,3)</f>
        <v>0.70899999999999996</v>
      </c>
      <c r="M16" s="3"/>
      <c r="N16" s="3">
        <f>AVERAGE(D16,F16,H16,J16,L16)</f>
        <v>0.67860000000000009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0.51100000000000001</v>
      </c>
      <c r="E20" s="3"/>
      <c r="F20" s="3">
        <f>ROUND((+F76+F79)/F8,3)</f>
        <v>0.52400000000000002</v>
      </c>
      <c r="G20" s="3"/>
      <c r="H20" s="3">
        <f>ROUND((+H76+H79)/H8,3)</f>
        <v>0.51300000000000001</v>
      </c>
      <c r="I20" s="3"/>
      <c r="J20" s="3">
        <f>ROUND((+J76+J79)/J8,3)</f>
        <v>0.42799999999999999</v>
      </c>
      <c r="K20" s="3"/>
      <c r="L20" s="3">
        <f>ROUND((+L76+L79)/L8,3)</f>
        <v>0.499</v>
      </c>
      <c r="M20" s="3"/>
      <c r="N20" s="3">
        <f>AVERAGE(D20,F20,H20,J20,L20)</f>
        <v>0.495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-1E-3</v>
      </c>
      <c r="G21" s="3"/>
      <c r="H21" s="3">
        <f>ROUND((SUM(H69:H75)+H81)/H8,3)</f>
        <v>-2E-3</v>
      </c>
      <c r="I21" s="3"/>
      <c r="J21" s="3">
        <f>ROUND((SUM(J69:J75)+J81)/J8,3)</f>
        <v>-2E-3</v>
      </c>
      <c r="K21" s="3"/>
      <c r="L21" s="3">
        <f>ROUND((SUM(L69:L75)+L81)/L8,3)</f>
        <v>-6.0000000000000001E-3</v>
      </c>
      <c r="M21" s="3"/>
      <c r="N21" s="3">
        <f>AVERAGE(D21,F21,H21,J21,L21)</f>
        <v>-2.1999999999999997E-3</v>
      </c>
    </row>
    <row r="22" spans="1:14" ht="17.25" x14ac:dyDescent="0.4">
      <c r="B22" s="32" t="s">
        <v>94</v>
      </c>
      <c r="D22" s="4">
        <f>ROUND((D68-D103)/D8,3)</f>
        <v>0.49</v>
      </c>
      <c r="E22" s="3"/>
      <c r="F22" s="4">
        <f>ROUND((F68-F103)/F8,3)</f>
        <v>0.47699999999999998</v>
      </c>
      <c r="G22" s="3"/>
      <c r="H22" s="4">
        <f>ROUND((H68-H103)/H8,3)</f>
        <v>0.48899999999999999</v>
      </c>
      <c r="I22" s="3"/>
      <c r="J22" s="4">
        <f>ROUND((J68-J103)/J8,3)</f>
        <v>0.57399999999999995</v>
      </c>
      <c r="K22" s="3"/>
      <c r="L22" s="4">
        <f>ROUND((L68-L103)/L8,3)</f>
        <v>0.50700000000000001</v>
      </c>
      <c r="M22" s="3"/>
      <c r="N22" s="4">
        <f>AVERAGE(D22,F22,H22,J22,L22)</f>
        <v>0.50739999999999996</v>
      </c>
    </row>
    <row r="23" spans="1:14" ht="15.4" thickBot="1" x14ac:dyDescent="0.45">
      <c r="D23" s="5">
        <f>SUM(D20:D22)</f>
        <v>1.0009999999999999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1.0002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0.54600000000000004</v>
      </c>
      <c r="E25" s="3"/>
      <c r="F25" s="3">
        <f>ROUND((+F76+F79+F80)/F10,3)</f>
        <v>0.54100000000000004</v>
      </c>
      <c r="G25" s="3"/>
      <c r="H25" s="3">
        <f>ROUND((+H76+H79+H80)/H10,3)</f>
        <v>0.53700000000000003</v>
      </c>
      <c r="I25" s="3"/>
      <c r="J25" s="3">
        <f>ROUND((+J76+J79+J80)/J10,3)</f>
        <v>0.46200000000000002</v>
      </c>
      <c r="K25" s="3"/>
      <c r="L25" s="3">
        <f>ROUND((+L76+L79+L80)/L10,3)</f>
        <v>0.51600000000000001</v>
      </c>
      <c r="M25" s="3"/>
      <c r="N25" s="3">
        <f>AVERAGE(D25,F25,H25,J25,L25)</f>
        <v>0.52040000000000008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-1E-3</v>
      </c>
      <c r="G26" s="3"/>
      <c r="H26" s="3">
        <f>ROUND((SUM(H69:H75)+H81)/H10,3)</f>
        <v>-1E-3</v>
      </c>
      <c r="I26" s="3"/>
      <c r="J26" s="3">
        <f>ROUND((SUM(J69:J75)+J81)/J10,3)</f>
        <v>-2E-3</v>
      </c>
      <c r="K26" s="3"/>
      <c r="L26" s="3">
        <f>ROUND((SUM(L69:L75)+L81)/L10,3)</f>
        <v>-6.0000000000000001E-3</v>
      </c>
      <c r="M26" s="3"/>
      <c r="N26" s="3">
        <f>AVERAGE(D26,F26,H26,J26,L26)</f>
        <v>-2E-3</v>
      </c>
    </row>
    <row r="27" spans="1:14" ht="17.25" x14ac:dyDescent="0.4">
      <c r="B27" s="32" t="s">
        <v>94</v>
      </c>
      <c r="D27" s="4">
        <f>ROUND((D68-D103)/D10,3)</f>
        <v>0.45400000000000001</v>
      </c>
      <c r="E27" s="3"/>
      <c r="F27" s="4">
        <f>ROUND((F68-F103)/F10,3)</f>
        <v>0.46</v>
      </c>
      <c r="G27" s="3"/>
      <c r="H27" s="4">
        <f>ROUND((H68-H103)/H10,3)</f>
        <v>0.46500000000000002</v>
      </c>
      <c r="I27" s="3"/>
      <c r="J27" s="4">
        <f>ROUND((J68-J103)/J10,3)</f>
        <v>0.54</v>
      </c>
      <c r="K27" s="3"/>
      <c r="L27" s="4">
        <f>ROUND((L68-L103)/L10,3)</f>
        <v>0.49</v>
      </c>
      <c r="M27" s="3"/>
      <c r="N27" s="4">
        <f>AVERAGE(D27,F27,H27,J27,L27)</f>
        <v>0.48179999999999995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1.0010000000000001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9.7000000000000003E-2</v>
      </c>
      <c r="E30" s="3"/>
      <c r="F30" s="3">
        <f>ROUND(+F66/(((F68-F103)+(H68-H103))/2),3)</f>
        <v>7.0999999999999994E-2</v>
      </c>
      <c r="G30" s="3"/>
      <c r="H30" s="3">
        <f>ROUND(+H66/(((H68-H103)+(J68-J103))/2),3)</f>
        <v>7.1999999999999995E-2</v>
      </c>
      <c r="I30" s="3"/>
      <c r="J30" s="3">
        <f>ROUND(+J66/(((J68-J103)+(L68-L103))/2),3)</f>
        <v>7.6999999999999999E-2</v>
      </c>
      <c r="K30" s="3"/>
      <c r="L30" s="3">
        <f>ROUND(+L66/(((L68-L103)+(N68-N103))/2),3)</f>
        <v>8.4000000000000005E-2</v>
      </c>
      <c r="M30" s="3"/>
      <c r="N30" s="3">
        <f>AVERAGE(D30,F30,H30,J30,L30)</f>
        <v>8.0200000000000007E-2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0.75700000000000001</v>
      </c>
      <c r="E32" s="3"/>
      <c r="F32" s="3">
        <f>ROUND((+F58-F57)/F56,3)</f>
        <v>0.76700000000000002</v>
      </c>
      <c r="G32" s="3"/>
      <c r="H32" s="3">
        <f>ROUND((+H58-H57)/H56,3)</f>
        <v>0.77</v>
      </c>
      <c r="I32" s="3"/>
      <c r="J32" s="3">
        <f>ROUND((+J58-J57)/J56,3)</f>
        <v>0.751</v>
      </c>
      <c r="K32" s="3"/>
      <c r="L32" s="3">
        <f>ROUND((+L58-L57)/L56,3)</f>
        <v>0.74199999999999999</v>
      </c>
      <c r="M32" s="3"/>
      <c r="N32" s="3">
        <f>AVERAGE(D32,F32,H32,J32,L32)</f>
        <v>0.75739999999999996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3.68</v>
      </c>
      <c r="E35" s="7" t="s">
        <v>3</v>
      </c>
      <c r="F35" s="7">
        <f>ROUND(((+F66+F65+F64+F63+F61+F59+F57)/F61),2)</f>
        <v>2.88</v>
      </c>
      <c r="G35" s="7" t="s">
        <v>3</v>
      </c>
      <c r="H35" s="7">
        <f>ROUND(((+H66+H65+H64+H63+H61+H59+H57)/H61),2)</f>
        <v>3.05</v>
      </c>
      <c r="I35" s="7" t="s">
        <v>3</v>
      </c>
      <c r="J35" s="7">
        <f>ROUND(((+J66+J65+J64+J63+J61+J59+J57)/J61),2)</f>
        <v>3.05</v>
      </c>
      <c r="K35" s="7" t="s">
        <v>3</v>
      </c>
      <c r="L35" s="7">
        <f>ROUND(((+L66+L65+L64+L63+L61+L59+L57)/L61),2)</f>
        <v>3.69</v>
      </c>
      <c r="M35" s="7" t="s">
        <v>3</v>
      </c>
      <c r="N35" s="26">
        <f>AVERAGE(D35,F35,H35,J35,L35)</f>
        <v>3.2700000000000005</v>
      </c>
      <c r="O35" t="s">
        <v>3</v>
      </c>
    </row>
    <row r="36" spans="1:15" x14ac:dyDescent="0.4">
      <c r="B36" t="s">
        <v>21</v>
      </c>
      <c r="D36" s="7">
        <f>ROUND(((+D66+D65+D64+D63+D61)/(D61)),2)</f>
        <v>3.36</v>
      </c>
      <c r="E36" s="7" t="s">
        <v>3</v>
      </c>
      <c r="F36" s="7">
        <f>ROUND(((+F66+F65+F64+F63+F61)/(F61)),2)</f>
        <v>2.61</v>
      </c>
      <c r="G36" s="7" t="s">
        <v>3</v>
      </c>
      <c r="H36" s="7">
        <f>ROUND(((+H66+H65+H64+H63+H61)/(H61)),2)</f>
        <v>2.79</v>
      </c>
      <c r="I36" s="7" t="s">
        <v>3</v>
      </c>
      <c r="J36" s="7">
        <f>ROUND(((+J66+J65+J64+J63+J61)/(J61)),2)</f>
        <v>2.85</v>
      </c>
      <c r="K36" s="7" t="s">
        <v>3</v>
      </c>
      <c r="L36" s="7">
        <f>ROUND(((+L66+L65+L64+L63+L61)/(L61)),2)</f>
        <v>2.83</v>
      </c>
      <c r="M36" s="7" t="s">
        <v>3</v>
      </c>
      <c r="N36" s="26">
        <f>AVERAGE(D36,F36,H36,J36,L36)</f>
        <v>2.8879999999999999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3.36</v>
      </c>
      <c r="E37" s="7" t="s">
        <v>3</v>
      </c>
      <c r="F37" s="7">
        <f>ROUND(((+F66+F65+F64+F63+F61)/(F61+F63+F64+F65)),2)</f>
        <v>2.61</v>
      </c>
      <c r="G37" s="7" t="s">
        <v>3</v>
      </c>
      <c r="H37" s="7">
        <f>ROUND(((+H66+H65+H64+H63+H61)/(H61+H63+H64+H65)),2)</f>
        <v>2.79</v>
      </c>
      <c r="I37" s="7" t="s">
        <v>3</v>
      </c>
      <c r="J37" s="7">
        <f>ROUND(((+J66+J65+J64+J63+J61)/(J61+J63+J64+J65)),2)</f>
        <v>2.85</v>
      </c>
      <c r="K37" s="7" t="s">
        <v>3</v>
      </c>
      <c r="L37" s="7">
        <f>ROUND(((+L66+L65+L64+L63+L61)/(L61+L63+L64+L65)),2)</f>
        <v>2.83</v>
      </c>
      <c r="M37" s="7" t="s">
        <v>3</v>
      </c>
      <c r="N37" s="26">
        <f>AVERAGE(D37,F37,H37,J37,L37)</f>
        <v>2.8879999999999999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3.56</v>
      </c>
      <c r="E40" s="7" t="s">
        <v>3</v>
      </c>
      <c r="F40" s="7">
        <f>ROUND(((+F66+F65+F64+F63-F62+F61+F59+F57)/F61),2)</f>
        <v>2.79</v>
      </c>
      <c r="G40" s="7" t="s">
        <v>3</v>
      </c>
      <c r="H40" s="7">
        <f>ROUND(((+H66+H65+H64+H63-H62+H61+H59+H57)/H61),2)</f>
        <v>3.01</v>
      </c>
      <c r="I40" s="7" t="s">
        <v>3</v>
      </c>
      <c r="J40" s="7">
        <f>ROUND(((+J66+J65+J64+J63-J62+J61+J59+J57)/J61),2)</f>
        <v>3</v>
      </c>
      <c r="K40" s="7" t="s">
        <v>3</v>
      </c>
      <c r="L40" s="7">
        <f>ROUND(((+L66+L65+L64+L63-L62+L61+L59+L57)/L61),2)</f>
        <v>3.64</v>
      </c>
      <c r="M40" s="7" t="s">
        <v>3</v>
      </c>
      <c r="N40" s="26">
        <f>AVERAGE(D40,F40,H40,J40,L40)</f>
        <v>3.2</v>
      </c>
      <c r="O40" t="s">
        <v>3</v>
      </c>
    </row>
    <row r="41" spans="1:15" x14ac:dyDescent="0.4">
      <c r="B41" t="s">
        <v>21</v>
      </c>
      <c r="D41" s="7">
        <f>ROUND(((+D66+D65+D64+D63-D62+D61)/D61),2)</f>
        <v>3.24</v>
      </c>
      <c r="E41" s="7" t="s">
        <v>3</v>
      </c>
      <c r="F41" s="7">
        <f>ROUND(((+F66+F65+F64+F63-F62+F61)/F61),2)</f>
        <v>2.52</v>
      </c>
      <c r="G41" s="7" t="s">
        <v>3</v>
      </c>
      <c r="H41" s="7">
        <f>ROUND(((+H66+H65+H64+H63-H62+H61)/H61),2)</f>
        <v>2.75</v>
      </c>
      <c r="I41" s="7" t="s">
        <v>3</v>
      </c>
      <c r="J41" s="7">
        <f>ROUND(((+J66+J65+J64+J63-J62+J61)/J61),2)</f>
        <v>2.8</v>
      </c>
      <c r="K41" s="7" t="s">
        <v>3</v>
      </c>
      <c r="L41" s="7">
        <f>ROUND(((+L66+L65+L64+L63-L62+L61)/L61),2)</f>
        <v>2.79</v>
      </c>
      <c r="M41" s="7" t="s">
        <v>3</v>
      </c>
      <c r="N41" s="26">
        <f>AVERAGE(D41,F41,H41,J41,L41)</f>
        <v>2.8199999999999994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3.24</v>
      </c>
      <c r="E42" s="7" t="s">
        <v>3</v>
      </c>
      <c r="F42" s="7">
        <f>ROUND(((+F66+F65+F64+F63-F62+F61)/(F61+F63+F64+F65)),2)</f>
        <v>2.52</v>
      </c>
      <c r="G42" s="7" t="s">
        <v>3</v>
      </c>
      <c r="H42" s="7">
        <f>ROUND(((+H66+H65+H64+H63-H62+H61)/(H61+H63+H64+H65)),2)</f>
        <v>2.75</v>
      </c>
      <c r="I42" s="7" t="s">
        <v>3</v>
      </c>
      <c r="J42" s="7">
        <f>ROUND(((+J66+J65+J64+J63-J62+J61)/(J61+J63+J64+J65)),2)</f>
        <v>2.8</v>
      </c>
      <c r="K42" s="7" t="s">
        <v>3</v>
      </c>
      <c r="L42" s="7">
        <f>ROUND(((+L66+L65+L64+L63-L62+L61)/(L61+L63+L64+L65)),2)</f>
        <v>2.79</v>
      </c>
      <c r="M42" s="7" t="s">
        <v>3</v>
      </c>
      <c r="N42" s="26">
        <f>AVERAGE(D42,F42,H42,J42,L42)</f>
        <v>2.8199999999999994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0.05</v>
      </c>
      <c r="E45" s="11"/>
      <c r="F45" s="11">
        <f>ROUND(F62/F66,3)</f>
        <v>5.5E-2</v>
      </c>
      <c r="G45" s="11"/>
      <c r="H45" s="11">
        <f>ROUND(H62/H66,3)</f>
        <v>2.5000000000000001E-2</v>
      </c>
      <c r="I45" s="11"/>
      <c r="J45" s="11">
        <f>ROUND(J62/J66,3)</f>
        <v>2.5000000000000001E-2</v>
      </c>
      <c r="K45" s="11"/>
      <c r="L45" s="11">
        <f>ROUND(L62/L66,3)</f>
        <v>2.4E-2</v>
      </c>
      <c r="M45" s="3"/>
      <c r="N45" s="3">
        <f t="shared" ref="N45:N50" si="0">AVERAGE(D45,F45,H45,J45,L45)</f>
        <v>3.5799999999999998E-2</v>
      </c>
    </row>
    <row r="46" spans="1:15" x14ac:dyDescent="0.4">
      <c r="B46" t="s">
        <v>17</v>
      </c>
      <c r="D46" s="17">
        <f>ROUND((D57+D59)/(D57+D59+D66+D63+D64+D65),3)</f>
        <v>0.11799999999999999</v>
      </c>
      <c r="E46" s="18"/>
      <c r="F46" s="17">
        <f>ROUND((F57+F59)/(F57+F59+F66+F63+F64+F65),3)</f>
        <v>0.14199999999999999</v>
      </c>
      <c r="G46" s="18"/>
      <c r="H46" s="17">
        <f>ROUND((H57+H59)/(H57+H59+H66+H63+H64+H65),3)</f>
        <v>0.126</v>
      </c>
      <c r="I46" s="18"/>
      <c r="J46" s="17">
        <f>ROUND((J57+J59)/(J57+J59+J66+J63+J64+J65),3)</f>
        <v>9.9000000000000005E-2</v>
      </c>
      <c r="K46" s="18"/>
      <c r="L46" s="17">
        <f>ROUND((L57+L59)/(L57+L59+L66+L63+L64+L65),3)</f>
        <v>0.31900000000000001</v>
      </c>
      <c r="N46" s="3">
        <f t="shared" si="0"/>
        <v>0.1608</v>
      </c>
    </row>
    <row r="47" spans="1:15" ht="17.25" x14ac:dyDescent="0.4">
      <c r="B47" s="33" t="s">
        <v>100</v>
      </c>
      <c r="D47" s="11">
        <f>ROUND(((+D82+D83+D84+D85+D86-D87+D88-D90-D91)/(+D89-D87)),3)</f>
        <v>0.745</v>
      </c>
      <c r="E47" s="12"/>
      <c r="F47" s="11">
        <f>ROUND(((+F82+F83+F84+F85+F86-F87+F88-F90-F91)/(+F89-F87)),3)</f>
        <v>0.80400000000000005</v>
      </c>
      <c r="G47" s="12"/>
      <c r="H47" s="11">
        <f>ROUND(((+H82+H83+H84+H85+H86-H87+H88-H90-H91)/(+H89-H87)),3)</f>
        <v>1.04</v>
      </c>
      <c r="I47" s="12"/>
      <c r="J47" s="11">
        <f>ROUND(((+J82+J83+J84+J85+J86-J87+J88-J90-J91)/(+J89-J87)),3)</f>
        <v>0.84</v>
      </c>
      <c r="K47" s="12"/>
      <c r="L47" s="11">
        <f>ROUND(((+L82+L83+L84+L85+L86-L87+L88-L90-L91)/(+L89-L87)),3)</f>
        <v>0.876</v>
      </c>
      <c r="N47" s="3">
        <f t="shared" si="0"/>
        <v>0.86099999999999999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0.18099999999999999</v>
      </c>
      <c r="E48" s="12"/>
      <c r="F48" s="11">
        <f>ROUND(((+F82+F83+F84+F85+F86-F87+F88)/(AVERAGE(F76,H76)+AVERAGE(F79,H79)+AVERAGE(F80,H80))),3)</f>
        <v>0.16800000000000001</v>
      </c>
      <c r="G48" s="12"/>
      <c r="H48" s="11">
        <f>ROUND(((+H82+H83+H84+H85+H86-H87+H88)/(AVERAGE(H76,J76)+AVERAGE(H79,J79)+AVERAGE(H80,J80))),3)</f>
        <v>0.186</v>
      </c>
      <c r="I48" s="12"/>
      <c r="J48" s="11">
        <f>ROUND(((+J82+J83+J84+J85+J86-J87+J88)/(AVERAGE(J76,L76)+AVERAGE(J79,L79)+AVERAGE(J80,L80))),3)</f>
        <v>0.216</v>
      </c>
      <c r="K48" s="12"/>
      <c r="L48" s="11">
        <f>ROUND(((+L82+L83+L84+L85+L86-L87+L88)/(AVERAGE(L76,N76)+AVERAGE(L79,N79)+AVERAGE(L80,N80))),3)</f>
        <v>0.218</v>
      </c>
      <c r="N48" s="3">
        <f t="shared" si="0"/>
        <v>0.19379999999999997</v>
      </c>
    </row>
    <row r="49" spans="1:15" ht="17.25" x14ac:dyDescent="0.4">
      <c r="B49" s="33" t="s">
        <v>102</v>
      </c>
      <c r="D49" s="27">
        <f>ROUND(((+D82+D83+D84+D85+D86-D87+D88+D92)/D61),2)</f>
        <v>6.18</v>
      </c>
      <c r="E49" t="s">
        <v>3</v>
      </c>
      <c r="F49" s="27">
        <f>ROUND(((+F82+F83+F84+F85+F86-F87+F88+F92)/F61),2)</f>
        <v>5.4</v>
      </c>
      <c r="G49" t="s">
        <v>3</v>
      </c>
      <c r="H49" s="27">
        <f>ROUND(((+H82+H83+H84+H85+H86-H87+H88+H92)/H61),2)</f>
        <v>5.48</v>
      </c>
      <c r="I49" t="s">
        <v>3</v>
      </c>
      <c r="J49" s="27">
        <f>ROUND(((+J82+J83+J84+J85+J86-J87+J88+J92)/J61),2)</f>
        <v>5.63</v>
      </c>
      <c r="K49" t="s">
        <v>3</v>
      </c>
      <c r="L49" s="27">
        <f>ROUND(((+L82+L83+L84+L85+L86-L87+L88+L92)/L61),2)</f>
        <v>5.94</v>
      </c>
      <c r="M49" t="s">
        <v>3</v>
      </c>
      <c r="N49" s="27">
        <f t="shared" si="0"/>
        <v>5.7260000000000009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3.91</v>
      </c>
      <c r="E50" t="s">
        <v>3</v>
      </c>
      <c r="F50" s="27">
        <f>ROUND(((+F82+F83+F84+F85+F86-F87+F88-F91)/+F90),2)</f>
        <v>3.67</v>
      </c>
      <c r="G50" t="s">
        <v>3</v>
      </c>
      <c r="H50" s="27">
        <f>ROUND(((+H82+H83+H84+H85+H86-H87+H88-H91)/+H90),2)</f>
        <v>3.72</v>
      </c>
      <c r="I50" t="s">
        <v>3</v>
      </c>
      <c r="J50" s="27">
        <f>ROUND(((+J82+J83+J84+J85+J86-J87+J88-J91)/+J90),2)</f>
        <v>2.89</v>
      </c>
      <c r="K50" t="s">
        <v>3</v>
      </c>
      <c r="L50" s="27">
        <f>ROUND(((+L82+L83+L84+L85+L86-L87+L88-L91)/+L90),2)</f>
        <v>4</v>
      </c>
      <c r="M50" t="s">
        <v>3</v>
      </c>
      <c r="N50" s="27">
        <f t="shared" si="0"/>
        <v>3.6380000000000003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118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5586.7</v>
      </c>
      <c r="E56" s="22"/>
      <c r="F56" s="22">
        <v>4913.3999999999996</v>
      </c>
      <c r="G56" s="22"/>
      <c r="H56" s="22">
        <v>5147.8</v>
      </c>
      <c r="I56" s="22"/>
      <c r="J56" s="22">
        <v>4348.1000000000004</v>
      </c>
      <c r="K56" s="22"/>
      <c r="L56" s="22">
        <v>2571.0030000000002</v>
      </c>
      <c r="M56" s="22"/>
      <c r="N56" s="22">
        <v>2562.087</v>
      </c>
    </row>
    <row r="57" spans="1:15" x14ac:dyDescent="0.4">
      <c r="A57" s="20" t="s">
        <v>23</v>
      </c>
      <c r="B57" s="20"/>
      <c r="C57" s="20"/>
      <c r="D57" s="22">
        <v>117.4</v>
      </c>
      <c r="E57" s="22"/>
      <c r="F57" s="22">
        <v>102.2</v>
      </c>
      <c r="G57" s="22"/>
      <c r="H57" s="22">
        <v>97</v>
      </c>
      <c r="I57" s="22"/>
      <c r="J57" s="22">
        <v>59</v>
      </c>
      <c r="K57" s="22"/>
      <c r="L57" s="22">
        <v>151.155</v>
      </c>
      <c r="M57" s="22"/>
      <c r="N57" s="22">
        <v>184.54</v>
      </c>
    </row>
    <row r="58" spans="1:15" x14ac:dyDescent="0.4">
      <c r="A58" s="20" t="s">
        <v>24</v>
      </c>
      <c r="B58" s="20"/>
      <c r="C58" s="20"/>
      <c r="D58" s="22">
        <f>4231.8+D57</f>
        <v>4349.2</v>
      </c>
      <c r="E58" s="22"/>
      <c r="F58" s="22">
        <f>3769.5+F57</f>
        <v>3871.7</v>
      </c>
      <c r="G58" s="22"/>
      <c r="H58" s="22">
        <f>3962+H57</f>
        <v>4059</v>
      </c>
      <c r="I58" s="22"/>
      <c r="J58" s="22">
        <v>3325.5</v>
      </c>
      <c r="K58" s="22"/>
      <c r="L58" s="22">
        <v>2058.4389999999999</v>
      </c>
      <c r="M58" s="22"/>
      <c r="N58" s="22">
        <v>2054.5439999999999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1354.9-D57+18.8+8.2-12.2</f>
        <v>1252.3</v>
      </c>
      <c r="E60" s="22"/>
      <c r="F60" s="22">
        <f>1143.9-F57-36.1+8.3-11.7</f>
        <v>1002.1999999999999</v>
      </c>
      <c r="G60" s="22"/>
      <c r="H60" s="22">
        <f>1185.8-H57-39+9.8-15.7</f>
        <v>1043.8999999999999</v>
      </c>
      <c r="I60" s="22"/>
      <c r="J60" s="22">
        <v>825.6</v>
      </c>
      <c r="K60" s="22"/>
      <c r="L60" s="22">
        <v>507.553</v>
      </c>
      <c r="M60" s="22"/>
      <c r="N60" s="22">
        <v>522.92600000000004</v>
      </c>
    </row>
    <row r="61" spans="1:15" x14ac:dyDescent="0.4">
      <c r="A61" s="20" t="s">
        <v>27</v>
      </c>
      <c r="B61" s="20"/>
      <c r="C61" s="20"/>
      <c r="D61" s="22">
        <v>372.6</v>
      </c>
      <c r="E61" s="22"/>
      <c r="F61" s="22">
        <v>383.9</v>
      </c>
      <c r="G61" s="22"/>
      <c r="H61" s="22">
        <v>374</v>
      </c>
      <c r="I61" s="22"/>
      <c r="J61" s="22">
        <v>290</v>
      </c>
      <c r="K61" s="22"/>
      <c r="L61" s="22">
        <v>176.60599999999999</v>
      </c>
      <c r="M61" s="22"/>
      <c r="N61" s="22">
        <v>171.69</v>
      </c>
    </row>
    <row r="62" spans="1:15" x14ac:dyDescent="0.4">
      <c r="A62" s="20" t="s">
        <v>28</v>
      </c>
      <c r="B62" s="20"/>
      <c r="C62" s="20"/>
      <c r="D62" s="22">
        <v>44.1</v>
      </c>
      <c r="E62" s="22"/>
      <c r="F62" s="22">
        <v>33.700000000000003</v>
      </c>
      <c r="G62" s="22"/>
      <c r="H62" s="22">
        <v>16.7</v>
      </c>
      <c r="I62" s="22"/>
      <c r="J62" s="22">
        <v>13.5</v>
      </c>
      <c r="K62" s="22"/>
      <c r="L62" s="22">
        <v>7.601</v>
      </c>
      <c r="M62" s="22"/>
      <c r="N62" s="22">
        <v>21.594000000000001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879.7</v>
      </c>
      <c r="E66" s="22"/>
      <c r="F66" s="22">
        <v>618.29999999999995</v>
      </c>
      <c r="G66" s="22"/>
      <c r="H66" s="22">
        <v>669.9</v>
      </c>
      <c r="I66" s="22"/>
      <c r="J66" s="22">
        <v>535.79999999999995</v>
      </c>
      <c r="K66" s="22"/>
      <c r="L66" s="22">
        <v>323.33600000000001</v>
      </c>
      <c r="M66" s="22"/>
      <c r="N66" s="22">
        <v>345.863</v>
      </c>
    </row>
    <row r="67" spans="1:14" x14ac:dyDescent="0.4">
      <c r="A67" s="20" t="s">
        <v>33</v>
      </c>
      <c r="B67" s="20"/>
      <c r="C67" s="20"/>
      <c r="D67" s="22">
        <v>3.84</v>
      </c>
      <c r="E67" s="22"/>
      <c r="F67" s="22">
        <v>2.72</v>
      </c>
      <c r="G67" s="22"/>
      <c r="H67" s="22">
        <v>2.8</v>
      </c>
      <c r="I67" s="22"/>
      <c r="J67" s="22">
        <v>2.5</v>
      </c>
      <c r="K67" s="22"/>
      <c r="L67" s="22">
        <v>2.27</v>
      </c>
      <c r="M67" s="22"/>
      <c r="N67" s="22">
        <v>2.4300000000000002</v>
      </c>
    </row>
    <row r="68" spans="1:14" x14ac:dyDescent="0.4">
      <c r="A68" s="20" t="s">
        <v>34</v>
      </c>
      <c r="B68" s="20"/>
      <c r="C68" s="20"/>
      <c r="D68" s="22">
        <v>9244.4</v>
      </c>
      <c r="E68" s="22"/>
      <c r="F68" s="22">
        <v>8733.4</v>
      </c>
      <c r="G68" s="22"/>
      <c r="H68" s="22">
        <v>8571.9</v>
      </c>
      <c r="I68" s="22"/>
      <c r="J68" s="22">
        <v>10028.200000000001</v>
      </c>
      <c r="K68" s="22"/>
      <c r="L68" s="22">
        <v>3908.1219999999998</v>
      </c>
      <c r="M68" s="22"/>
      <c r="N68" s="22">
        <v>3805.875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-2.7</v>
      </c>
      <c r="E75" s="22"/>
      <c r="F75" s="22">
        <v>-14.9</v>
      </c>
      <c r="G75" s="22"/>
      <c r="H75" s="22">
        <v>-26.6</v>
      </c>
      <c r="I75" s="22"/>
      <c r="J75" s="22">
        <v>-37.5</v>
      </c>
      <c r="K75" s="22"/>
      <c r="L75" s="22">
        <v>-47.685000000000002</v>
      </c>
      <c r="M75" s="22"/>
      <c r="N75" s="22">
        <v>27.315000000000001</v>
      </c>
    </row>
    <row r="76" spans="1:14" x14ac:dyDescent="0.4">
      <c r="A76" s="20" t="s">
        <v>42</v>
      </c>
      <c r="B76" s="20"/>
      <c r="C76" s="20"/>
      <c r="D76" s="22">
        <v>9297.9</v>
      </c>
      <c r="E76" s="22"/>
      <c r="F76" s="22">
        <v>9190.9</v>
      </c>
      <c r="G76" s="22"/>
      <c r="H76" s="22">
        <f>8746.7+18.8</f>
        <v>8765.5</v>
      </c>
      <c r="I76" s="22"/>
      <c r="J76" s="22">
        <v>6732.5</v>
      </c>
      <c r="K76" s="22"/>
      <c r="L76" s="22">
        <v>3813.8490000000002</v>
      </c>
      <c r="M76" s="22"/>
      <c r="N76" s="22">
        <v>3544.3069999999998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18539.599999999999</v>
      </c>
      <c r="E78" s="22"/>
      <c r="F78" s="22">
        <f>SUM(F68:F77)</f>
        <v>17909.400000000001</v>
      </c>
      <c r="G78" s="22"/>
      <c r="H78" s="22">
        <f>SUM(H68:H77)</f>
        <v>17310.8</v>
      </c>
      <c r="I78" s="22"/>
      <c r="J78" s="22">
        <v>16723.2</v>
      </c>
      <c r="K78" s="22"/>
      <c r="L78" s="22">
        <v>7674.2860000000001</v>
      </c>
      <c r="M78" s="22"/>
      <c r="N78" s="22">
        <v>7377.4970000000003</v>
      </c>
    </row>
    <row r="79" spans="1:14" x14ac:dyDescent="0.4">
      <c r="A79" s="20" t="s">
        <v>45</v>
      </c>
      <c r="B79" s="20"/>
      <c r="C79" s="20"/>
      <c r="D79" s="22">
        <v>389.3</v>
      </c>
      <c r="E79" s="22"/>
      <c r="F79" s="22">
        <f>436.4+18.8</f>
        <v>455.2</v>
      </c>
      <c r="G79" s="22"/>
      <c r="H79" s="22">
        <f>251.1+32.3</f>
        <v>283.39999999999998</v>
      </c>
      <c r="I79" s="22"/>
      <c r="J79" s="22">
        <v>739.6</v>
      </c>
      <c r="K79" s="22"/>
      <c r="L79" s="22">
        <v>32.343000000000004</v>
      </c>
      <c r="M79" s="22"/>
      <c r="N79" s="22">
        <v>155.02099999999999</v>
      </c>
    </row>
    <row r="80" spans="1:14" x14ac:dyDescent="0.4">
      <c r="A80" s="20" t="s">
        <v>46</v>
      </c>
      <c r="B80" s="20"/>
      <c r="C80" s="20"/>
      <c r="D80" s="22">
        <f>1159.3+319</f>
        <v>1478.3</v>
      </c>
      <c r="E80" s="22"/>
      <c r="F80" s="22">
        <f>315+360</f>
        <v>675</v>
      </c>
      <c r="G80" s="22"/>
      <c r="H80" s="22">
        <f>561.9+339</f>
        <v>900.9</v>
      </c>
      <c r="I80" s="22"/>
      <c r="J80" s="22">
        <v>1103.5999999999999</v>
      </c>
      <c r="K80" s="22"/>
      <c r="L80" s="22">
        <v>275.7</v>
      </c>
      <c r="M80" s="22"/>
      <c r="N80" s="22">
        <v>366.7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891.9</v>
      </c>
      <c r="E82" s="22"/>
      <c r="F82" s="22">
        <v>630</v>
      </c>
      <c r="G82" s="22"/>
      <c r="H82" s="22">
        <v>685.6</v>
      </c>
      <c r="I82" s="22"/>
      <c r="J82" s="22">
        <v>546</v>
      </c>
      <c r="K82" s="22"/>
      <c r="L82" s="22">
        <v>336.55200000000002</v>
      </c>
      <c r="M82" s="22"/>
      <c r="N82" s="22">
        <v>361.2</v>
      </c>
    </row>
    <row r="83" spans="1:16" x14ac:dyDescent="0.4">
      <c r="A83" s="20" t="s">
        <v>49</v>
      </c>
      <c r="B83" s="20"/>
      <c r="C83" s="20"/>
      <c r="D83" s="22">
        <v>896.4</v>
      </c>
      <c r="E83" s="22"/>
      <c r="F83" s="22">
        <v>880.1</v>
      </c>
      <c r="G83" s="22"/>
      <c r="H83" s="22">
        <v>861.7</v>
      </c>
      <c r="I83" s="22"/>
      <c r="J83" s="22">
        <v>685</v>
      </c>
      <c r="K83" s="22"/>
      <c r="L83" s="22">
        <v>424.51499999999999</v>
      </c>
      <c r="M83" s="22"/>
      <c r="N83" s="22">
        <v>383.27499999999998</v>
      </c>
    </row>
    <row r="84" spans="1:16" x14ac:dyDescent="0.4">
      <c r="A84" s="20" t="s">
        <v>50</v>
      </c>
      <c r="B84" s="20"/>
      <c r="C84" s="20"/>
      <c r="D84" s="22">
        <f>51.4+25.1+24.1</f>
        <v>100.6</v>
      </c>
      <c r="E84" s="22"/>
      <c r="F84" s="22">
        <f>58.3+25.4+20.1</f>
        <v>103.79999999999998</v>
      </c>
      <c r="G84" s="22"/>
      <c r="H84" s="22">
        <f>51.4+25.5+19.8</f>
        <v>96.7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6" x14ac:dyDescent="0.4">
      <c r="A85" s="20" t="s">
        <v>51</v>
      </c>
      <c r="B85" s="20"/>
      <c r="C85" s="20"/>
      <c r="D85" s="22">
        <v>102.2</v>
      </c>
      <c r="E85" s="22"/>
      <c r="F85" s="22">
        <v>126.9</v>
      </c>
      <c r="G85" s="22"/>
      <c r="H85" s="22">
        <v>121.5</v>
      </c>
      <c r="I85" s="22"/>
      <c r="J85" s="22">
        <v>127.8</v>
      </c>
      <c r="K85" s="22"/>
      <c r="L85" s="22">
        <v>149.56800000000001</v>
      </c>
      <c r="M85" s="22"/>
      <c r="N85" s="22">
        <v>188.12200000000001</v>
      </c>
    </row>
    <row r="86" spans="1:16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-3.6</v>
      </c>
      <c r="K86" s="22"/>
      <c r="L86" s="22">
        <v>0</v>
      </c>
      <c r="M86" s="22"/>
      <c r="N86" s="22">
        <v>-2.8929999999999998</v>
      </c>
      <c r="O86" s="22"/>
      <c r="P86" s="22"/>
    </row>
    <row r="87" spans="1:16" x14ac:dyDescent="0.4">
      <c r="A87" s="20" t="s">
        <v>53</v>
      </c>
      <c r="B87" s="20"/>
      <c r="C87" s="20"/>
      <c r="D87" s="22">
        <v>29.4</v>
      </c>
      <c r="E87" s="22"/>
      <c r="F87" s="22">
        <v>17.2</v>
      </c>
      <c r="G87" s="22"/>
      <c r="H87" s="22">
        <v>2.2000000000000002</v>
      </c>
      <c r="I87" s="22"/>
      <c r="J87" s="22">
        <v>3.1</v>
      </c>
      <c r="K87" s="22"/>
      <c r="L87" s="22">
        <v>1.996</v>
      </c>
      <c r="M87" s="22"/>
      <c r="N87" s="22">
        <v>11.63</v>
      </c>
    </row>
    <row r="88" spans="1:16" x14ac:dyDescent="0.4">
      <c r="A88" s="20" t="s">
        <v>69</v>
      </c>
      <c r="B88" s="20"/>
      <c r="C88" s="20"/>
      <c r="D88" s="22">
        <f>15.6-22.6-8.2-14.2+13.8</f>
        <v>-15.599999999999998</v>
      </c>
      <c r="E88" s="22"/>
      <c r="F88" s="22">
        <f>16-18.4-8.3-8.2+0.8</f>
        <v>-18.099999999999998</v>
      </c>
      <c r="G88" s="22"/>
      <c r="H88" s="22">
        <f>16.3-17.8-9.8-29.6-3.2</f>
        <v>-44.100000000000009</v>
      </c>
      <c r="I88" s="22"/>
      <c r="J88" s="22">
        <v>21.2</v>
      </c>
      <c r="K88" s="22"/>
      <c r="L88" s="22">
        <v>-16.036000000000001</v>
      </c>
      <c r="M88" s="22"/>
      <c r="N88" s="22">
        <v>3.8580000000000001</v>
      </c>
    </row>
    <row r="89" spans="1:16" x14ac:dyDescent="0.4">
      <c r="A89" s="20" t="s">
        <v>54</v>
      </c>
      <c r="B89" s="20"/>
      <c r="C89" s="20"/>
      <c r="D89" s="22">
        <v>1972.5</v>
      </c>
      <c r="E89" s="22"/>
      <c r="F89" s="22">
        <v>1560.3</v>
      </c>
      <c r="G89" s="22"/>
      <c r="H89" s="22">
        <v>1210.0999999999999</v>
      </c>
      <c r="I89" s="22"/>
      <c r="J89" s="22">
        <v>1072.8</v>
      </c>
      <c r="K89" s="22"/>
      <c r="L89" s="22">
        <v>766.64099999999996</v>
      </c>
      <c r="M89" s="22"/>
      <c r="N89" s="22">
        <v>1098.5999999999999</v>
      </c>
    </row>
    <row r="90" spans="1:16" x14ac:dyDescent="0.4">
      <c r="A90" s="20" t="s">
        <v>55</v>
      </c>
      <c r="B90" s="20"/>
      <c r="C90" s="20"/>
      <c r="D90" s="22">
        <v>497.9</v>
      </c>
      <c r="E90" s="22"/>
      <c r="F90" s="22">
        <v>465</v>
      </c>
      <c r="G90" s="22"/>
      <c r="H90" s="22">
        <v>462.5</v>
      </c>
      <c r="I90" s="22"/>
      <c r="J90" s="22">
        <v>475</v>
      </c>
      <c r="K90" s="22"/>
      <c r="L90" s="22">
        <v>223.11699999999999</v>
      </c>
      <c r="M90" s="22"/>
      <c r="N90" s="22">
        <v>204.34</v>
      </c>
    </row>
    <row r="91" spans="1:16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6" x14ac:dyDescent="0.4">
      <c r="A92" s="20" t="s">
        <v>57</v>
      </c>
      <c r="B92" s="20"/>
      <c r="C92" s="20"/>
      <c r="D92" s="22">
        <f>356.9+0.2</f>
        <v>357.09999999999997</v>
      </c>
      <c r="E92" s="22"/>
      <c r="F92" s="22">
        <f>367.6+0.8</f>
        <v>368.40000000000003</v>
      </c>
      <c r="G92" s="22"/>
      <c r="H92" s="22">
        <f>329.5+1.6</f>
        <v>331.1</v>
      </c>
      <c r="I92" s="22"/>
      <c r="J92" s="22">
        <v>258.2</v>
      </c>
      <c r="K92" s="22"/>
      <c r="L92" s="22">
        <v>156.96600000000001</v>
      </c>
      <c r="M92" s="22"/>
      <c r="N92" s="22">
        <v>144.875</v>
      </c>
    </row>
    <row r="93" spans="1:16" x14ac:dyDescent="0.4">
      <c r="A93" s="20" t="s">
        <v>58</v>
      </c>
      <c r="B93" s="20"/>
      <c r="C93" s="20"/>
      <c r="D93" s="22">
        <v>-19.600000000000001</v>
      </c>
      <c r="E93" s="22"/>
      <c r="F93" s="22">
        <v>-46.5</v>
      </c>
      <c r="G93" s="22"/>
      <c r="H93" s="22">
        <v>-5.2</v>
      </c>
      <c r="I93" s="22"/>
      <c r="J93" s="22">
        <v>-0.9</v>
      </c>
      <c r="K93" s="22"/>
      <c r="L93" s="22">
        <v>-12.736000000000001</v>
      </c>
      <c r="M93" s="22"/>
      <c r="N93" s="22">
        <v>13.103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6" x14ac:dyDescent="0.4">
      <c r="A96" s="20" t="s">
        <v>59</v>
      </c>
      <c r="B96" s="20"/>
      <c r="C96" s="20"/>
      <c r="D96" s="22">
        <v>497.9</v>
      </c>
      <c r="E96" s="22"/>
      <c r="F96" s="22">
        <v>465</v>
      </c>
      <c r="G96" s="22"/>
      <c r="H96" s="22">
        <v>462.5</v>
      </c>
      <c r="I96" s="22"/>
      <c r="J96" s="22">
        <v>362.1</v>
      </c>
      <c r="K96" s="22"/>
      <c r="L96" s="22">
        <v>229.267</v>
      </c>
      <c r="M96" s="22"/>
      <c r="N96" s="22">
        <v>217.131</v>
      </c>
    </row>
    <row r="97" spans="1:14" x14ac:dyDescent="0.4">
      <c r="A97" s="20" t="s">
        <v>60</v>
      </c>
      <c r="B97" s="20"/>
      <c r="C97" s="20"/>
      <c r="D97" s="22">
        <v>2.1779999999999999</v>
      </c>
      <c r="E97" s="22"/>
      <c r="F97" s="22">
        <v>2.0499999999999998</v>
      </c>
      <c r="G97" s="22"/>
      <c r="H97" s="22">
        <v>1.93</v>
      </c>
      <c r="I97" s="22"/>
      <c r="J97" s="22">
        <v>1.7350000000000001</v>
      </c>
      <c r="K97" s="22"/>
      <c r="L97" s="22">
        <v>1.6</v>
      </c>
      <c r="M97" s="22"/>
      <c r="N97" s="22">
        <v>1.52</v>
      </c>
    </row>
    <row r="98" spans="1:14" x14ac:dyDescent="0.4">
      <c r="A98" s="20" t="s">
        <v>61</v>
      </c>
      <c r="B98" s="20"/>
      <c r="C98" s="20"/>
      <c r="D98" s="22">
        <v>2.1779999999999999</v>
      </c>
      <c r="E98" s="22"/>
      <c r="F98" s="22">
        <v>2.0499999999999998</v>
      </c>
      <c r="G98" s="22"/>
      <c r="H98" s="22">
        <v>1.93</v>
      </c>
      <c r="I98" s="22"/>
      <c r="J98" s="22">
        <v>2.1349999999999998</v>
      </c>
      <c r="K98" s="22"/>
      <c r="L98" s="22">
        <v>1.58</v>
      </c>
      <c r="M98" s="22"/>
      <c r="N98" s="22">
        <v>1.5</v>
      </c>
    </row>
    <row r="99" spans="1:14" x14ac:dyDescent="0.4">
      <c r="A99" s="20" t="s">
        <v>62</v>
      </c>
      <c r="B99" s="20"/>
      <c r="C99" s="20"/>
      <c r="D99" s="22">
        <v>69.45</v>
      </c>
      <c r="E99" s="22"/>
      <c r="F99" s="22">
        <v>76.569999999999993</v>
      </c>
      <c r="G99" s="22"/>
      <c r="H99" s="22">
        <v>67.81</v>
      </c>
      <c r="I99" s="22"/>
      <c r="J99" s="22">
        <v>61.1</v>
      </c>
      <c r="K99" s="22"/>
      <c r="L99" s="22">
        <v>57.32</v>
      </c>
      <c r="M99" s="22"/>
      <c r="N99" s="22">
        <v>57.5</v>
      </c>
    </row>
    <row r="100" spans="1:14" x14ac:dyDescent="0.4">
      <c r="A100" s="20" t="s">
        <v>63</v>
      </c>
      <c r="B100" s="20"/>
      <c r="C100" s="20"/>
      <c r="D100" s="22">
        <v>51.92</v>
      </c>
      <c r="E100" s="22"/>
      <c r="F100" s="22">
        <v>42.01</v>
      </c>
      <c r="G100" s="22"/>
      <c r="H100" s="22">
        <v>54.57</v>
      </c>
      <c r="I100" s="22"/>
      <c r="J100" s="22">
        <v>47.06</v>
      </c>
      <c r="K100" s="22"/>
      <c r="L100" s="22">
        <v>49.2</v>
      </c>
      <c r="M100" s="22"/>
      <c r="N100" s="22">
        <v>40.01</v>
      </c>
    </row>
    <row r="101" spans="1:14" x14ac:dyDescent="0.4">
      <c r="A101" s="20" t="s">
        <v>64</v>
      </c>
      <c r="B101" s="20"/>
      <c r="C101" s="20"/>
      <c r="D101" s="22">
        <v>68.61</v>
      </c>
      <c r="E101" s="22"/>
      <c r="F101" s="22">
        <v>55.51</v>
      </c>
      <c r="G101" s="22"/>
      <c r="H101" s="22">
        <v>65.09</v>
      </c>
      <c r="I101" s="22"/>
      <c r="J101" s="22">
        <v>56.77</v>
      </c>
      <c r="K101" s="22"/>
      <c r="L101" s="22">
        <v>52.8</v>
      </c>
      <c r="M101" s="22"/>
      <c r="N101" s="22">
        <v>56.35</v>
      </c>
    </row>
    <row r="102" spans="1:14" x14ac:dyDescent="0.4">
      <c r="A102" s="20" t="s">
        <v>65</v>
      </c>
      <c r="B102" s="20"/>
      <c r="C102" s="20"/>
      <c r="D102" s="22">
        <v>229.29990000000001</v>
      </c>
      <c r="E102" s="22"/>
      <c r="F102" s="22">
        <v>226.83667</v>
      </c>
      <c r="G102" s="22"/>
      <c r="H102" s="22">
        <v>226.64144300000001</v>
      </c>
      <c r="I102" s="22"/>
      <c r="J102" s="22">
        <v>255.32599999999999</v>
      </c>
      <c r="K102" s="22"/>
      <c r="L102" s="22">
        <v>142.09399999999999</v>
      </c>
      <c r="M102" s="22"/>
      <c r="N102" s="22">
        <v>141.791</v>
      </c>
    </row>
    <row r="103" spans="1:14" x14ac:dyDescent="0.4">
      <c r="A103" s="20" t="s">
        <v>91</v>
      </c>
      <c r="B103" s="20"/>
      <c r="C103" s="20"/>
      <c r="D103" s="22">
        <v>-44</v>
      </c>
      <c r="E103" s="22"/>
      <c r="F103" s="22">
        <v>-49.4</v>
      </c>
      <c r="G103" s="22"/>
      <c r="H103" s="22">
        <v>-50</v>
      </c>
      <c r="I103" s="22"/>
      <c r="J103" s="22">
        <v>-3</v>
      </c>
      <c r="K103" s="22"/>
      <c r="L103" s="22">
        <v>0</v>
      </c>
      <c r="M103" s="22"/>
      <c r="N103" s="22">
        <v>0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3.84</v>
      </c>
      <c r="F105" s="15">
        <f>F67/F94</f>
        <v>2.72</v>
      </c>
      <c r="H105" s="15">
        <f>H67/H94</f>
        <v>2.8</v>
      </c>
      <c r="J105" s="15">
        <f>J67/J94</f>
        <v>2.5</v>
      </c>
      <c r="L105" s="15">
        <f>L67/L94</f>
        <v>2.27</v>
      </c>
      <c r="N105" s="15">
        <f>N67/N94</f>
        <v>2.4300000000000002</v>
      </c>
    </row>
    <row r="106" spans="1:14" x14ac:dyDescent="0.4">
      <c r="B106" t="s">
        <v>60</v>
      </c>
      <c r="D106" s="15">
        <f>D97/D94</f>
        <v>2.1779999999999999</v>
      </c>
      <c r="F106" s="15">
        <f>F97/F94</f>
        <v>2.0499999999999998</v>
      </c>
      <c r="H106" s="15">
        <f>H97/H94</f>
        <v>1.93</v>
      </c>
      <c r="J106" s="15">
        <f>J97/J94</f>
        <v>1.7350000000000001</v>
      </c>
      <c r="L106" s="15">
        <f>L97/L94</f>
        <v>1.6</v>
      </c>
      <c r="N106" s="15">
        <f>N97/N94</f>
        <v>1.52</v>
      </c>
    </row>
    <row r="107" spans="1:14" x14ac:dyDescent="0.4">
      <c r="B107" t="s">
        <v>61</v>
      </c>
      <c r="D107" s="15">
        <f>D98/D94</f>
        <v>2.1779999999999999</v>
      </c>
      <c r="F107" s="15">
        <f>F98/F94</f>
        <v>2.0499999999999998</v>
      </c>
      <c r="H107" s="15">
        <f>H98/H94</f>
        <v>1.93</v>
      </c>
      <c r="J107" s="15">
        <f>J98/J94</f>
        <v>2.1349999999999998</v>
      </c>
      <c r="L107" s="15">
        <f>L98/L94</f>
        <v>1.58</v>
      </c>
      <c r="N107" s="15">
        <f>N98/N94</f>
        <v>1.5</v>
      </c>
    </row>
    <row r="108" spans="1:14" x14ac:dyDescent="0.4">
      <c r="B108" t="s">
        <v>62</v>
      </c>
      <c r="D108" s="15">
        <f>D99/D94</f>
        <v>69.45</v>
      </c>
      <c r="F108" s="15">
        <f>F99/F94</f>
        <v>76.569999999999993</v>
      </c>
      <c r="H108" s="15">
        <f>H99/H94</f>
        <v>67.81</v>
      </c>
      <c r="J108" s="15">
        <f>J99/J94</f>
        <v>61.1</v>
      </c>
      <c r="L108" s="15">
        <f>L99/L94</f>
        <v>57.32</v>
      </c>
      <c r="N108" s="15">
        <f>N99/N94</f>
        <v>57.5</v>
      </c>
    </row>
    <row r="109" spans="1:14" x14ac:dyDescent="0.4">
      <c r="B109" t="s">
        <v>63</v>
      </c>
      <c r="D109" s="15">
        <f>D100/D94</f>
        <v>51.92</v>
      </c>
      <c r="F109" s="15">
        <f>F100/F94</f>
        <v>42.01</v>
      </c>
      <c r="H109" s="15">
        <f>H100/H94</f>
        <v>54.57</v>
      </c>
      <c r="J109" s="15">
        <f>J100/J94</f>
        <v>47.06</v>
      </c>
      <c r="L109" s="15">
        <f>L100/L94</f>
        <v>49.2</v>
      </c>
      <c r="N109" s="15">
        <f>N100/N94</f>
        <v>40.01</v>
      </c>
    </row>
    <row r="110" spans="1:14" x14ac:dyDescent="0.4">
      <c r="B110" t="s">
        <v>64</v>
      </c>
      <c r="D110" s="15">
        <f>D101/D94</f>
        <v>68.61</v>
      </c>
      <c r="F110" s="15">
        <f>F101/F94</f>
        <v>55.51</v>
      </c>
      <c r="H110" s="15">
        <f>H101/H94</f>
        <v>65.09</v>
      </c>
      <c r="J110" s="15">
        <f>J101/J94</f>
        <v>56.77</v>
      </c>
      <c r="L110" s="15">
        <f>L101/L94</f>
        <v>52.8</v>
      </c>
      <c r="N110" s="15">
        <f>N101/N94</f>
        <v>56.35</v>
      </c>
    </row>
    <row r="111" spans="1:14" x14ac:dyDescent="0.4">
      <c r="B111" t="s">
        <v>65</v>
      </c>
      <c r="D111" s="16">
        <f>D102*D94</f>
        <v>229.29990000000001</v>
      </c>
      <c r="E111" s="16"/>
      <c r="F111" s="16">
        <f>F102*F94</f>
        <v>226.83667</v>
      </c>
      <c r="G111" s="16"/>
      <c r="H111" s="16">
        <f>H102*H94</f>
        <v>226.64144300000001</v>
      </c>
      <c r="I111" s="16"/>
      <c r="J111" s="16">
        <f>J102*J94</f>
        <v>255.32599999999999</v>
      </c>
      <c r="K111" s="16"/>
      <c r="L111" s="16">
        <f>L102*L94</f>
        <v>142.09399999999999</v>
      </c>
      <c r="M111" s="16"/>
      <c r="N111" s="16">
        <f>N102*N94</f>
        <v>141.791</v>
      </c>
    </row>
    <row r="112" spans="1:14" x14ac:dyDescent="0.4">
      <c r="B112" t="s">
        <v>66</v>
      </c>
      <c r="D112" s="15">
        <f>ROUND(D68/D111,2)</f>
        <v>40.32</v>
      </c>
      <c r="F112" s="15">
        <f>ROUND(F68/F111,2)</f>
        <v>38.5</v>
      </c>
      <c r="H112" s="15">
        <f>ROUND(H68/H111,2)</f>
        <v>37.82</v>
      </c>
      <c r="J112" s="15">
        <f>ROUND(J68/J111,2)</f>
        <v>39.28</v>
      </c>
      <c r="L112" s="15">
        <f>ROUND(L68/L111,2)</f>
        <v>27.5</v>
      </c>
      <c r="N112" s="15">
        <f>ROUND(N68/N111,2)</f>
        <v>26.84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EVERSOURCE ENERGY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33511.275000000001</v>
      </c>
      <c r="F8" s="34">
        <f>F78+F79+F81-F103</f>
        <v>31014.731</v>
      </c>
      <c r="H8" s="34">
        <f>H78+H79+H81-H103</f>
        <v>27532.194</v>
      </c>
      <c r="J8" s="34">
        <f>J78+J79+J81-J103</f>
        <v>25424.112000000001</v>
      </c>
      <c r="L8" s="34">
        <f>L78+L79+L81-L103</f>
        <v>23633.735000000001</v>
      </c>
    </row>
    <row r="9" spans="1:15" x14ac:dyDescent="0.4">
      <c r="B9" t="s">
        <v>5</v>
      </c>
      <c r="D9" s="9">
        <f>D80</f>
        <v>1505.45</v>
      </c>
      <c r="F9" s="9">
        <f>F80</f>
        <v>1249.325</v>
      </c>
      <c r="H9" s="9">
        <f>H80</f>
        <v>889.08399999999995</v>
      </c>
      <c r="J9" s="9">
        <f>J80</f>
        <v>910</v>
      </c>
      <c r="L9" s="9">
        <f>L80</f>
        <v>1088.087</v>
      </c>
    </row>
    <row r="10" spans="1:15" ht="15.4" thickBot="1" x14ac:dyDescent="0.45">
      <c r="B10" t="s">
        <v>7</v>
      </c>
      <c r="D10" s="10">
        <f>D8+D9</f>
        <v>35016.724999999999</v>
      </c>
      <c r="F10" s="10">
        <f>F8+F9</f>
        <v>32264.056</v>
      </c>
      <c r="H10" s="10">
        <f>H8+H9</f>
        <v>28421.277999999998</v>
      </c>
      <c r="J10" s="10">
        <f>J8+J9</f>
        <v>26334.112000000001</v>
      </c>
      <c r="L10" s="10">
        <f>L8+L9</f>
        <v>24721.822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24</v>
      </c>
      <c r="E13" s="7" t="s">
        <v>3</v>
      </c>
      <c r="F13" s="30">
        <f>ROUND(AVERAGE(F108:F109)/F105,0)</f>
        <v>22</v>
      </c>
      <c r="G13" s="7" t="s">
        <v>3</v>
      </c>
      <c r="H13" s="30">
        <f>ROUND(AVERAGE(H108:H109)/H105,0)</f>
        <v>26</v>
      </c>
      <c r="I13" s="7" t="s">
        <v>3</v>
      </c>
      <c r="J13" s="30">
        <f>ROUND(AVERAGE(J108:J109)/J105,0)</f>
        <v>19</v>
      </c>
      <c r="K13" s="7" t="s">
        <v>3</v>
      </c>
      <c r="L13" s="30">
        <f>ROUND(AVERAGE(L108:L109)/L105,0)</f>
        <v>19</v>
      </c>
      <c r="M13" s="7" t="s">
        <v>3</v>
      </c>
      <c r="N13" s="30">
        <f>AVERAGE(D13,F13,H13,J13,L13)</f>
        <v>22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2.0299999999999998</v>
      </c>
      <c r="E14" s="3"/>
      <c r="F14" s="3">
        <f>ROUND(AVERAGE(F108:F109)/AVERAGE(F112,H112),3)</f>
        <v>2.0190000000000001</v>
      </c>
      <c r="G14" s="3"/>
      <c r="H14" s="3">
        <f>ROUND(AVERAGE(H108:H109)/AVERAGE(H112,J112),3)</f>
        <v>2.008</v>
      </c>
      <c r="I14" s="3"/>
      <c r="J14" s="3">
        <f>ROUND(AVERAGE(J108:J109)/AVERAGE(J112,L112),3)</f>
        <v>1.7310000000000001</v>
      </c>
      <c r="K14" s="3"/>
      <c r="L14" s="3">
        <f>ROUND(AVERAGE(L108:L109)/AVERAGE(L112,N112),3)</f>
        <v>1.748</v>
      </c>
      <c r="M14" s="3"/>
      <c r="N14" s="3">
        <f>AVERAGE(D14,F14,H14,J14,L14)</f>
        <v>1.9072</v>
      </c>
    </row>
    <row r="15" spans="1:15" x14ac:dyDescent="0.4">
      <c r="B15" t="s">
        <v>9</v>
      </c>
      <c r="D15" s="3">
        <f>ROUND(D106/AVERAGE(D108:D109),3)</f>
        <v>2.8000000000000001E-2</v>
      </c>
      <c r="E15" s="3"/>
      <c r="F15" s="3">
        <f>ROUND(F106/AVERAGE(F108:F109),3)</f>
        <v>2.8000000000000001E-2</v>
      </c>
      <c r="G15" s="3"/>
      <c r="H15" s="3">
        <f>ROUND(H106/AVERAGE(H108:H109),3)</f>
        <v>2.9000000000000001E-2</v>
      </c>
      <c r="I15" s="3"/>
      <c r="J15" s="3">
        <f>ROUND(J106/AVERAGE(J108:J109),3)</f>
        <v>3.3000000000000002E-2</v>
      </c>
      <c r="K15" s="3"/>
      <c r="L15" s="3">
        <f>ROUND(L106/AVERAGE(L108:L109),3)</f>
        <v>3.2000000000000001E-2</v>
      </c>
      <c r="M15" s="3"/>
      <c r="N15" s="3">
        <f>AVERAGE(D15,F15,H15,J15,L15)</f>
        <v>3.0000000000000006E-2</v>
      </c>
    </row>
    <row r="16" spans="1:15" x14ac:dyDescent="0.4">
      <c r="B16" t="s">
        <v>10</v>
      </c>
      <c r="D16" s="3">
        <f>ROUND(D96/D66,3)</f>
        <v>0.67900000000000005</v>
      </c>
      <c r="E16" s="3"/>
      <c r="F16" s="3">
        <f>ROUND(F96/F66,3)</f>
        <v>0.63700000000000001</v>
      </c>
      <c r="G16" s="3"/>
      <c r="H16" s="3">
        <f>ROUND(H96/H66,3)</f>
        <v>0.755</v>
      </c>
      <c r="I16" s="3"/>
      <c r="J16" s="3">
        <f>ROUND(J96/J66,3)</f>
        <v>0.62</v>
      </c>
      <c r="K16" s="3"/>
      <c r="L16" s="3">
        <f>ROUND(L96/L66,3)</f>
        <v>0.60899999999999999</v>
      </c>
      <c r="M16" s="3"/>
      <c r="N16" s="3">
        <f>AVERAGE(D16,F16,H16,J16,L16)</f>
        <v>0.66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0.55800000000000005</v>
      </c>
      <c r="E20" s="3"/>
      <c r="F20" s="3">
        <f>ROUND((+F76+F79)/F8,3)</f>
        <v>0.53900000000000003</v>
      </c>
      <c r="G20" s="3"/>
      <c r="H20" s="3">
        <f>ROUND((+H76+H79)/H8,3)</f>
        <v>0.53300000000000003</v>
      </c>
      <c r="I20" s="3"/>
      <c r="J20" s="3">
        <f>ROUND((+J76+J79)/J8,3)</f>
        <v>0.54</v>
      </c>
      <c r="K20" s="3"/>
      <c r="L20" s="3">
        <f>ROUND((+L76+L79)/L8,3)</f>
        <v>0.52200000000000002</v>
      </c>
      <c r="M20" s="3"/>
      <c r="N20" s="3">
        <f>AVERAGE(D20,F20,H20,J20,L20)</f>
        <v>0.53839999999999999</v>
      </c>
    </row>
    <row r="21" spans="1:14" x14ac:dyDescent="0.4">
      <c r="B21" s="31" t="s">
        <v>93</v>
      </c>
      <c r="D21" s="3">
        <f>ROUND((SUM(D69:D75)+D81)/D8,3)</f>
        <v>5.0000000000000001E-3</v>
      </c>
      <c r="E21" s="3"/>
      <c r="F21" s="3">
        <f>ROUND((SUM(F69:F75)+F81)/F8,3)</f>
        <v>5.0000000000000001E-3</v>
      </c>
      <c r="G21" s="3"/>
      <c r="H21" s="3">
        <f>ROUND((SUM(H69:H75)+H81)/H8,3)</f>
        <v>6.0000000000000001E-3</v>
      </c>
      <c r="I21" s="3"/>
      <c r="J21" s="3">
        <f>ROUND((SUM(J69:J75)+J81)/J8,3)</f>
        <v>6.0000000000000001E-3</v>
      </c>
      <c r="K21" s="3"/>
      <c r="L21" s="3">
        <f>ROUND((SUM(L69:L75)+L81)/L8,3)</f>
        <v>7.0000000000000001E-3</v>
      </c>
      <c r="M21" s="3"/>
      <c r="N21" s="3">
        <f>AVERAGE(D21,F21,H21,J21,L21)</f>
        <v>5.7999999999999996E-3</v>
      </c>
    </row>
    <row r="22" spans="1:14" ht="17.25" x14ac:dyDescent="0.4">
      <c r="B22" s="32" t="s">
        <v>94</v>
      </c>
      <c r="D22" s="4">
        <f>ROUND((D68-D103)/D8,3)</f>
        <v>0.437</v>
      </c>
      <c r="E22" s="3"/>
      <c r="F22" s="4">
        <f>ROUND((F68-F103)/F8,3)</f>
        <v>0.45600000000000002</v>
      </c>
      <c r="G22" s="3"/>
      <c r="H22" s="4">
        <f>ROUND((H68-H103)/H8,3)</f>
        <v>0.46100000000000002</v>
      </c>
      <c r="I22" s="3"/>
      <c r="J22" s="4">
        <f>ROUND((J68-J103)/J8,3)</f>
        <v>0.45400000000000001</v>
      </c>
      <c r="K22" s="3"/>
      <c r="L22" s="4">
        <f>ROUND((L68-L103)/L8,3)</f>
        <v>0.47199999999999998</v>
      </c>
      <c r="M22" s="3"/>
      <c r="N22" s="4">
        <f>AVERAGE(D22,F22,H22,J22,L22)</f>
        <v>0.45600000000000007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1.0009999999999999</v>
      </c>
      <c r="M23" s="3"/>
      <c r="N23" s="5">
        <f>AVERAGE(D23,F23,H23,J23,L23)</f>
        <v>1.0002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0.57699999999999996</v>
      </c>
      <c r="E25" s="3"/>
      <c r="F25" s="3">
        <f>ROUND((+F76+F79+F80)/F10,3)</f>
        <v>0.55700000000000005</v>
      </c>
      <c r="G25" s="3"/>
      <c r="H25" s="3">
        <f>ROUND((+H76+H79+H80)/H10,3)</f>
        <v>0.54800000000000004</v>
      </c>
      <c r="I25" s="3"/>
      <c r="J25" s="3">
        <f>ROUND((+J76+J79+J80)/J10,3)</f>
        <v>0.55600000000000005</v>
      </c>
      <c r="K25" s="3"/>
      <c r="L25" s="3">
        <f>ROUND((+L76+L79+L80)/L10,3)</f>
        <v>0.54300000000000004</v>
      </c>
      <c r="M25" s="3"/>
      <c r="N25" s="3">
        <f>AVERAGE(D25,F25,H25,J25,L25)</f>
        <v>0.55620000000000003</v>
      </c>
    </row>
    <row r="26" spans="1:14" x14ac:dyDescent="0.4">
      <c r="B26" s="31" t="s">
        <v>93</v>
      </c>
      <c r="D26" s="3">
        <f>ROUND((SUM(D69:D75)+D81)/D10,3)</f>
        <v>4.0000000000000001E-3</v>
      </c>
      <c r="E26" s="3"/>
      <c r="F26" s="3">
        <f>ROUND((SUM(F69:F75)+F81)/F10,3)</f>
        <v>5.0000000000000001E-3</v>
      </c>
      <c r="G26" s="3"/>
      <c r="H26" s="3">
        <f>ROUND((SUM(H69:H75)+H81)/H10,3)</f>
        <v>5.0000000000000001E-3</v>
      </c>
      <c r="I26" s="3"/>
      <c r="J26" s="3">
        <f>ROUND((SUM(J69:J75)+J81)/J10,3)</f>
        <v>6.0000000000000001E-3</v>
      </c>
      <c r="K26" s="3"/>
      <c r="L26" s="3">
        <f>ROUND((SUM(L69:L75)+L81)/L10,3)</f>
        <v>6.0000000000000001E-3</v>
      </c>
      <c r="M26" s="3"/>
      <c r="N26" s="3">
        <f>AVERAGE(D26,F26,H26,J26,L26)</f>
        <v>5.2000000000000006E-3</v>
      </c>
    </row>
    <row r="27" spans="1:14" ht="17.25" x14ac:dyDescent="0.4">
      <c r="B27" s="32" t="s">
        <v>94</v>
      </c>
      <c r="D27" s="4">
        <f>ROUND((D68-D103)/D10,3)</f>
        <v>0.41799999999999998</v>
      </c>
      <c r="E27" s="3"/>
      <c r="F27" s="4">
        <f>ROUND((F68-F103)/F10,3)</f>
        <v>0.438</v>
      </c>
      <c r="G27" s="3"/>
      <c r="H27" s="4">
        <f>ROUND((H68-H103)/H10,3)</f>
        <v>0.44700000000000001</v>
      </c>
      <c r="I27" s="3"/>
      <c r="J27" s="4">
        <f>ROUND((J68-J103)/J10,3)</f>
        <v>0.438</v>
      </c>
      <c r="K27" s="3"/>
      <c r="L27" s="4">
        <f>ROUND((L68-L103)/L10,3)</f>
        <v>0.45100000000000001</v>
      </c>
      <c r="M27" s="3"/>
      <c r="N27" s="4">
        <f>AVERAGE(D27,F27,H27,J27,L27)</f>
        <v>0.43839999999999996</v>
      </c>
    </row>
    <row r="28" spans="1:14" ht="15.4" thickBot="1" x14ac:dyDescent="0.45">
      <c r="D28" s="5">
        <f>SUM(D25:D27)</f>
        <v>0.99899999999999989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0.99979999999999991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8.5000000000000006E-2</v>
      </c>
      <c r="E30" s="3"/>
      <c r="F30" s="3">
        <f>ROUND(+F66/(((F68-F103)+(H68-H103))/2),3)</f>
        <v>0.09</v>
      </c>
      <c r="G30" s="3"/>
      <c r="H30" s="3">
        <f>ROUND(+H66/(((H68-H103)+(J68-J103))/2),3)</f>
        <v>7.4999999999999997E-2</v>
      </c>
      <c r="I30" s="3"/>
      <c r="J30" s="3">
        <f>ROUND(+J66/(((J68-J103)+(L68-L103))/2),3)</f>
        <v>9.0999999999999998E-2</v>
      </c>
      <c r="K30" s="3"/>
      <c r="L30" s="3">
        <f>ROUND(+L66/(((L68-L103)+(N68-N103))/2),3)</f>
        <v>0.09</v>
      </c>
      <c r="M30" s="3"/>
      <c r="N30" s="3">
        <f>AVERAGE(D30,F30,H30,J30,L30)</f>
        <v>8.6199999999999985E-2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0.79800000000000004</v>
      </c>
      <c r="E32" s="3"/>
      <c r="F32" s="3">
        <f>ROUND((+F58-F57)/F56,3)</f>
        <v>0.77700000000000002</v>
      </c>
      <c r="G32" s="3"/>
      <c r="H32" s="3">
        <f>ROUND((+H58-H57)/H56,3)</f>
        <v>0.81299999999999994</v>
      </c>
      <c r="I32" s="3"/>
      <c r="J32" s="3">
        <f>ROUND((+J58-J57)/J56,3)</f>
        <v>0.79900000000000004</v>
      </c>
      <c r="K32" s="3"/>
      <c r="L32" s="3">
        <f>ROUND((+L58-L57)/L56,3)</f>
        <v>0.753</v>
      </c>
      <c r="M32" s="3"/>
      <c r="N32" s="3">
        <f>AVERAGE(D32,F32,H32,J32,L32)</f>
        <v>0.78800000000000003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3.7</v>
      </c>
      <c r="E35" s="7" t="s">
        <v>3</v>
      </c>
      <c r="F35" s="7">
        <f>ROUND(((+F66+F65+F64+F63+F61+F59+F57)/F61),2)</f>
        <v>3.9</v>
      </c>
      <c r="G35" s="7" t="s">
        <v>3</v>
      </c>
      <c r="H35" s="7">
        <f>ROUND(((+H66+H65+H64+H63+H61+H59+H57)/H61),2)</f>
        <v>3.23</v>
      </c>
      <c r="I35" s="7" t="s">
        <v>3</v>
      </c>
      <c r="J35" s="7">
        <f>ROUND(((+J66+J65+J64+J63+J61+J59+J57)/J61),2)</f>
        <v>3.56</v>
      </c>
      <c r="K35" s="7" t="s">
        <v>3</v>
      </c>
      <c r="L35" s="7">
        <f>ROUND(((+L66+L65+L64+L63+L61+L59+L57)/L61),2)</f>
        <v>4.63</v>
      </c>
      <c r="M35" s="7" t="s">
        <v>3</v>
      </c>
      <c r="N35" s="26">
        <f>AVERAGE(D35,F35,H35,J35,L35)</f>
        <v>3.8039999999999998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3.11</v>
      </c>
      <c r="E36" s="7" t="s">
        <v>3</v>
      </c>
      <c r="F36" s="7">
        <f>ROUND(((+F66+F65+F64+F63+F61)/(F61)),2)</f>
        <v>3.25</v>
      </c>
      <c r="G36" s="7" t="s">
        <v>3</v>
      </c>
      <c r="H36" s="7">
        <f>ROUND(((+H66+H65+H64+H63+H61)/(H61)),2)</f>
        <v>2.72</v>
      </c>
      <c r="I36" s="7" t="s">
        <v>3</v>
      </c>
      <c r="J36" s="7">
        <f>ROUND(((+J66+J65+J64+J63+J61)/(J61)),2)</f>
        <v>3.01</v>
      </c>
      <c r="K36" s="7" t="s">
        <v>3</v>
      </c>
      <c r="L36" s="7">
        <f>ROUND(((+L66+L65+L64+L63+L61)/(L61)),2)</f>
        <v>3.29</v>
      </c>
      <c r="M36" s="7" t="s">
        <v>3</v>
      </c>
      <c r="N36" s="26">
        <f>AVERAGE(D36,F36,H36,J36,L36)</f>
        <v>3.0759999999999996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3.07</v>
      </c>
      <c r="E37" s="7" t="s">
        <v>3</v>
      </c>
      <c r="F37" s="7">
        <f>ROUND(((+F66+F65+F64+F63+F61)/(F61+F63+F64+F65)),2)</f>
        <v>3.21</v>
      </c>
      <c r="G37" s="7" t="s">
        <v>3</v>
      </c>
      <c r="H37" s="7">
        <f>ROUND(((+H66+H65+H64+H63+H61)/(H61+H63+H64+H65)),2)</f>
        <v>2.68</v>
      </c>
      <c r="I37" s="7" t="s">
        <v>3</v>
      </c>
      <c r="J37" s="7">
        <f>ROUND(((+J66+J65+J64+J63+J61)/(J61+J63+J64+J65)),2)</f>
        <v>2.96</v>
      </c>
      <c r="K37" s="7" t="s">
        <v>3</v>
      </c>
      <c r="L37" s="7">
        <f>ROUND(((+L66+L65+L64+L63+L61)/(L61+L63+L64+L65)),2)</f>
        <v>3.24</v>
      </c>
      <c r="M37" s="7" t="s">
        <v>3</v>
      </c>
      <c r="N37" s="26">
        <f>AVERAGE(D37,F37,H37,J37,L37)</f>
        <v>3.0319999999999996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3.6</v>
      </c>
      <c r="E40" s="7" t="s">
        <v>3</v>
      </c>
      <c r="F40" s="7">
        <f>ROUND(((+F66+F65+F64+F63-F62+F61+F59+F57)/F61),2)</f>
        <v>3.77</v>
      </c>
      <c r="G40" s="7" t="s">
        <v>3</v>
      </c>
      <c r="H40" s="7">
        <f>ROUND(((+H66+H65+H64+H63-H62+H61+H59+H57)/H61),2)</f>
        <v>3.1</v>
      </c>
      <c r="I40" s="7" t="s">
        <v>3</v>
      </c>
      <c r="J40" s="7">
        <f>ROUND(((+J66+J65+J64+J63-J62+J61+J59+J57)/J61),2)</f>
        <v>3.44</v>
      </c>
      <c r="K40" s="7" t="s">
        <v>3</v>
      </c>
      <c r="L40" s="7">
        <f>ROUND(((+L66+L65+L64+L63-L62+L61+L59+L57)/L61),2)</f>
        <v>4.5199999999999996</v>
      </c>
      <c r="M40" s="7" t="s">
        <v>3</v>
      </c>
      <c r="N40" s="26">
        <f>AVERAGE(D40,F40,H40,J40,L40)</f>
        <v>3.6859999999999999</v>
      </c>
      <c r="O40" t="s">
        <v>3</v>
      </c>
    </row>
    <row r="41" spans="1:15" x14ac:dyDescent="0.4">
      <c r="B41" t="s">
        <v>21</v>
      </c>
      <c r="D41" s="7">
        <f>ROUND(((+D66+D65+D64+D63-D62+D61)/D61),2)</f>
        <v>3.01</v>
      </c>
      <c r="E41" s="7" t="s">
        <v>3</v>
      </c>
      <c r="F41" s="7">
        <f>ROUND(((+F66+F65+F64+F63-F62+F61)/F61),2)</f>
        <v>3.13</v>
      </c>
      <c r="G41" s="7" t="s">
        <v>3</v>
      </c>
      <c r="H41" s="7">
        <f>ROUND(((+H66+H65+H64+H63-H62+H61)/H61),2)</f>
        <v>2.59</v>
      </c>
      <c r="I41" s="7" t="s">
        <v>3</v>
      </c>
      <c r="J41" s="7">
        <f>ROUND(((+J66+J65+J64+J63-J62+J61)/J61),2)</f>
        <v>2.88</v>
      </c>
      <c r="K41" s="7" t="s">
        <v>3</v>
      </c>
      <c r="L41" s="7">
        <f>ROUND(((+L66+L65+L64+L63-L62+L61)/L61),2)</f>
        <v>3.18</v>
      </c>
      <c r="M41" s="7" t="s">
        <v>3</v>
      </c>
      <c r="N41" s="26">
        <f>AVERAGE(D41,F41,H41,J41,L41)</f>
        <v>2.9579999999999997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2.97</v>
      </c>
      <c r="E42" s="7" t="s">
        <v>3</v>
      </c>
      <c r="F42" s="7">
        <f>ROUND(((+F66+F65+F64+F63-F62+F61)/(F61+F63+F64+F65)),2)</f>
        <v>3.09</v>
      </c>
      <c r="G42" s="7" t="s">
        <v>3</v>
      </c>
      <c r="H42" s="7">
        <f>ROUND(((+H66+H65+H64+H63-H62+H61)/(H61+H63+H64+H65)),2)</f>
        <v>2.5499999999999998</v>
      </c>
      <c r="I42" s="7" t="s">
        <v>3</v>
      </c>
      <c r="J42" s="7">
        <f>ROUND(((+J66+J65+J64+J63-J62+J61)/(J61+J63+J64+J65)),2)</f>
        <v>2.84</v>
      </c>
      <c r="K42" s="7" t="s">
        <v>3</v>
      </c>
      <c r="L42" s="7">
        <f>ROUND(((+L66+L65+L64+L63-L62+L61)/(L61+L63+L64+L65)),2)</f>
        <v>3.13</v>
      </c>
      <c r="M42" s="7" t="s">
        <v>3</v>
      </c>
      <c r="N42" s="26">
        <f>AVERAGE(D42,F42,H42,J42,L42)</f>
        <v>2.9159999999999995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4.5999999999999999E-2</v>
      </c>
      <c r="E45" s="11"/>
      <c r="F45" s="11">
        <f>ROUND(F62/F66,3)</f>
        <v>5.5E-2</v>
      </c>
      <c r="G45" s="11"/>
      <c r="H45" s="11">
        <f>ROUND(H62/H66,3)</f>
        <v>7.8E-2</v>
      </c>
      <c r="I45" s="11"/>
      <c r="J45" s="11">
        <f>ROUND(J62/J66,3)</f>
        <v>6.2E-2</v>
      </c>
      <c r="K45" s="11"/>
      <c r="L45" s="11">
        <f>ROUND(L62/L66,3)</f>
        <v>4.7E-2</v>
      </c>
      <c r="M45" s="3"/>
      <c r="N45" s="3">
        <f t="shared" ref="N45:N50" si="0">AVERAGE(D45,F45,H45,J45,L45)</f>
        <v>5.7599999999999998E-2</v>
      </c>
    </row>
    <row r="46" spans="1:15" x14ac:dyDescent="0.4">
      <c r="B46" t="s">
        <v>17</v>
      </c>
      <c r="D46" s="17">
        <f>ROUND((D57+D59)/(D57+D59+D66+D63+D64+D65),3)</f>
        <v>0.219</v>
      </c>
      <c r="E46" s="18"/>
      <c r="F46" s="17">
        <f>ROUND((F57+F59)/(F57+F59+F66+F63+F64+F65),3)</f>
        <v>0.222</v>
      </c>
      <c r="G46" s="18"/>
      <c r="H46" s="17">
        <f>ROUND((H57+H59)/(H57+H59+H66+H63+H64+H65),3)</f>
        <v>0.23</v>
      </c>
      <c r="I46" s="18"/>
      <c r="J46" s="17">
        <f>ROUND((J57+J59)/(J57+J59+J66+J63+J64+J65),3)</f>
        <v>0.217</v>
      </c>
      <c r="K46" s="18"/>
      <c r="L46" s="17">
        <f>ROUND((L57+L59)/(L57+L59+L66+L63+L64+L65),3)</f>
        <v>0.36799999999999999</v>
      </c>
      <c r="N46" s="3">
        <f t="shared" si="0"/>
        <v>0.25119999999999998</v>
      </c>
    </row>
    <row r="47" spans="1:15" ht="17.25" x14ac:dyDescent="0.4">
      <c r="B47" s="33" t="s">
        <v>100</v>
      </c>
      <c r="D47" s="11">
        <f>ROUND(((+D82+D83+D84+D85+D86-D87+D88-D90-D91)/(+D89-D87)),3)</f>
        <v>0.52400000000000002</v>
      </c>
      <c r="E47" s="12"/>
      <c r="F47" s="11">
        <f>ROUND(((+F82+F83+F84+F85+F86-F87+F88-F90-F91)/(+F89-F87)),3)</f>
        <v>0.38800000000000001</v>
      </c>
      <c r="G47" s="12"/>
      <c r="H47" s="11">
        <f>ROUND(((+H82+H83+H84+H85+H86-H87+H88-H90-H91)/(+H89-H87)),3)</f>
        <v>0.501</v>
      </c>
      <c r="I47" s="12"/>
      <c r="J47" s="11">
        <f>ROUND(((+J82+J83+J84+J85+J86-J87+J88-J90-J91)/(+J89-J87)),3)</f>
        <v>0.51100000000000001</v>
      </c>
      <c r="K47" s="12"/>
      <c r="L47" s="11">
        <f>ROUND(((+L82+L83+L84+L85+L86-L87+L88-L90-L91)/(+L89-L87)),3)</f>
        <v>0.56399999999999995</v>
      </c>
      <c r="N47" s="3">
        <f t="shared" si="0"/>
        <v>0.49759999999999999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0.13</v>
      </c>
      <c r="E48" s="12"/>
      <c r="F48" s="11">
        <f>ROUND(((+F82+F83+F84+F85+F86-F87+F88)/(AVERAGE(F76,H76)+AVERAGE(F79,H79)+AVERAGE(F80,H80))),3)</f>
        <v>0.113</v>
      </c>
      <c r="G48" s="12"/>
      <c r="H48" s="11">
        <f>ROUND(((+H82+H83+H84+H85+H86-H87+H88)/(AVERAGE(H76,J76)+AVERAGE(H79,J79)+AVERAGE(H80,J80))),3)</f>
        <v>0.14099999999999999</v>
      </c>
      <c r="I48" s="12"/>
      <c r="J48" s="11">
        <f>ROUND(((+J82+J83+J84+J85+J86-J87+J88)/(AVERAGE(J76,L76)+AVERAGE(J79,L79)+AVERAGE(J80,L80))),3)</f>
        <v>0.13800000000000001</v>
      </c>
      <c r="K48" s="12"/>
      <c r="L48" s="11">
        <f>ROUND(((+L82+L83+L84+L85+L86-L87+L88)/(AVERAGE(L76,N76)+AVERAGE(L79,N79)+AVERAGE(L80,N80))),3)</f>
        <v>0.16</v>
      </c>
      <c r="N48" s="3">
        <f t="shared" si="0"/>
        <v>0.13640000000000002</v>
      </c>
    </row>
    <row r="49" spans="1:15" ht="17.25" x14ac:dyDescent="0.4">
      <c r="B49" s="33" t="s">
        <v>102</v>
      </c>
      <c r="D49" s="27">
        <f>ROUND(((+D82+D83+D84+D85+D86-D87+D88+D92)/D61),2)</f>
        <v>5.23</v>
      </c>
      <c r="E49" t="s">
        <v>3</v>
      </c>
      <c r="F49" s="27">
        <f>ROUND(((+F82+F83+F84+F85+F86-F87+F88+F92)/F61),2)</f>
        <v>4.4800000000000004</v>
      </c>
      <c r="G49" t="s">
        <v>3</v>
      </c>
      <c r="H49" s="27">
        <f>ROUND(((+H82+H83+H84+H85+H86-H87+H88+H92)/H61),2)</f>
        <v>4.99</v>
      </c>
      <c r="I49" t="s">
        <v>3</v>
      </c>
      <c r="J49" s="27">
        <f>ROUND(((+J82+J83+J84+J85+J86-J87+J88+J92)/J61),2)</f>
        <v>4.71</v>
      </c>
      <c r="K49" t="s">
        <v>3</v>
      </c>
      <c r="L49" s="27">
        <f>ROUND(((+L82+L83+L84+L85+L86-L87+L88+L92)/L61),2)</f>
        <v>5.42</v>
      </c>
      <c r="M49" t="s">
        <v>3</v>
      </c>
      <c r="N49" s="27">
        <f t="shared" si="0"/>
        <v>4.9659999999999993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3.07</v>
      </c>
      <c r="E50" t="s">
        <v>3</v>
      </c>
      <c r="F50" s="27">
        <f>ROUND(((+F82+F83+F84+F85+F86-F87+F88-F91)/+F90),2)</f>
        <v>2.5299999999999998</v>
      </c>
      <c r="G50" t="s">
        <v>3</v>
      </c>
      <c r="H50" s="27">
        <f>ROUND(((+H82+H83+H84+H85+H86-H87+H88-H91)/+H90),2)</f>
        <v>3.2</v>
      </c>
      <c r="I50" t="s">
        <v>3</v>
      </c>
      <c r="J50" s="27">
        <f>ROUND(((+J82+J83+J84+J85+J86-J87+J88-J91)/+J90),2)</f>
        <v>3.02</v>
      </c>
      <c r="K50" t="s">
        <v>3</v>
      </c>
      <c r="L50" s="27">
        <f>ROUND(((+L82+L83+L84+L85+L86-L87+L88-L91)/+L90),2)</f>
        <v>3.2</v>
      </c>
      <c r="M50" t="s">
        <v>3</v>
      </c>
      <c r="N50" s="27">
        <f t="shared" si="0"/>
        <v>3.004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112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9863.0849999999991</v>
      </c>
      <c r="E56" s="22"/>
      <c r="F56" s="22">
        <v>8904.43</v>
      </c>
      <c r="G56" s="22"/>
      <c r="H56" s="22">
        <v>8526.4699999999993</v>
      </c>
      <c r="I56" s="22"/>
      <c r="J56" s="22">
        <v>8448.2009999999991</v>
      </c>
      <c r="K56" s="22"/>
      <c r="L56" s="22">
        <v>7751.9520000000002</v>
      </c>
      <c r="M56" s="22"/>
      <c r="N56" s="22">
        <v>7639.1289999999999</v>
      </c>
    </row>
    <row r="57" spans="1:15" x14ac:dyDescent="0.4">
      <c r="A57" s="20" t="s">
        <v>23</v>
      </c>
      <c r="B57" s="20"/>
      <c r="C57" s="20"/>
      <c r="D57" s="22">
        <v>344.22300000000001</v>
      </c>
      <c r="E57" s="22"/>
      <c r="F57" s="22">
        <v>346.18599999999998</v>
      </c>
      <c r="G57" s="22"/>
      <c r="H57" s="22">
        <v>273.49900000000002</v>
      </c>
      <c r="I57" s="22"/>
      <c r="J57" s="22">
        <v>288.97199999999998</v>
      </c>
      <c r="K57" s="22"/>
      <c r="L57" s="22">
        <v>578.89200000000005</v>
      </c>
      <c r="M57" s="22"/>
      <c r="N57" s="22">
        <v>554.99699999999996</v>
      </c>
    </row>
    <row r="58" spans="1:15" x14ac:dyDescent="0.4">
      <c r="A58" s="20" t="s">
        <v>24</v>
      </c>
      <c r="B58" s="20"/>
      <c r="C58" s="20"/>
      <c r="D58" s="22">
        <f>7869.764+D57</f>
        <v>8213.987000000001</v>
      </c>
      <c r="E58" s="22"/>
      <c r="F58" s="22">
        <f>6915.696+F57</f>
        <v>7261.8819999999996</v>
      </c>
      <c r="G58" s="22"/>
      <c r="H58" s="22">
        <f>6935.979+H57</f>
        <v>7209.4780000000001</v>
      </c>
      <c r="I58" s="22"/>
      <c r="J58" s="22">
        <v>7037.2430000000004</v>
      </c>
      <c r="K58" s="22"/>
      <c r="L58" s="22">
        <v>6412.69</v>
      </c>
      <c r="M58" s="22"/>
      <c r="N58" s="22">
        <v>6361.7669999999998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1993.321-D57+161.282</f>
        <v>1810.3799999999999</v>
      </c>
      <c r="E60" s="22"/>
      <c r="F60" s="22">
        <f>1988.734-F57+108.59</f>
        <v>1751.1379999999999</v>
      </c>
      <c r="G60" s="22"/>
      <c r="H60" s="22">
        <f>1590.491-H57+132.777</f>
        <v>1449.769</v>
      </c>
      <c r="I60" s="22"/>
      <c r="J60" s="22">
        <v>1539.3240000000001</v>
      </c>
      <c r="K60" s="22"/>
      <c r="L60" s="22">
        <v>1417.27</v>
      </c>
      <c r="M60" s="22"/>
      <c r="N60" s="22">
        <v>1350.7819999999999</v>
      </c>
    </row>
    <row r="61" spans="1:15" x14ac:dyDescent="0.4">
      <c r="A61" s="20" t="s">
        <v>27</v>
      </c>
      <c r="B61" s="20"/>
      <c r="C61" s="20"/>
      <c r="D61" s="22">
        <v>582.33399999999995</v>
      </c>
      <c r="E61" s="22"/>
      <c r="F61" s="22">
        <v>538.452</v>
      </c>
      <c r="G61" s="22"/>
      <c r="H61" s="22">
        <v>533.197</v>
      </c>
      <c r="I61" s="22"/>
      <c r="J61" s="22">
        <v>518.505</v>
      </c>
      <c r="K61" s="22"/>
      <c r="L61" s="22">
        <v>434.255</v>
      </c>
      <c r="M61" s="22"/>
      <c r="N61" s="22">
        <v>411.76100000000002</v>
      </c>
    </row>
    <row r="62" spans="1:15" x14ac:dyDescent="0.4">
      <c r="A62" s="20" t="s">
        <v>28</v>
      </c>
      <c r="B62" s="20"/>
      <c r="C62" s="20"/>
      <c r="D62" s="22">
        <v>55.7</v>
      </c>
      <c r="E62" s="22"/>
      <c r="F62" s="22">
        <v>65.7</v>
      </c>
      <c r="G62" s="22"/>
      <c r="H62" s="22">
        <v>70.599999999999994</v>
      </c>
      <c r="I62" s="22"/>
      <c r="J62" s="22">
        <v>63.7</v>
      </c>
      <c r="K62" s="22"/>
      <c r="L62" s="22">
        <v>46.9</v>
      </c>
      <c r="M62" s="22"/>
      <c r="N62" s="22">
        <v>37</v>
      </c>
    </row>
    <row r="63" spans="1:15" x14ac:dyDescent="0.4">
      <c r="A63" s="20" t="s">
        <v>29</v>
      </c>
      <c r="B63" s="20"/>
      <c r="C63" s="20"/>
      <c r="D63" s="22">
        <v>7.5190000000000001</v>
      </c>
      <c r="E63" s="22"/>
      <c r="F63" s="22">
        <v>7.5190000000000001</v>
      </c>
      <c r="G63" s="22"/>
      <c r="H63" s="22">
        <v>7.5190000000000001</v>
      </c>
      <c r="I63" s="22"/>
      <c r="J63" s="22">
        <v>7.5190000000000001</v>
      </c>
      <c r="K63" s="22"/>
      <c r="L63" s="22">
        <v>7.5190000000000001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1220.527</v>
      </c>
      <c r="E66" s="22"/>
      <c r="F66" s="22">
        <v>1205.1669999999999</v>
      </c>
      <c r="G66" s="22"/>
      <c r="H66" s="22">
        <v>909.053</v>
      </c>
      <c r="I66" s="22"/>
      <c r="J66" s="22">
        <v>1033</v>
      </c>
      <c r="K66" s="22"/>
      <c r="L66" s="22">
        <v>987.99599999999998</v>
      </c>
      <c r="M66" s="22"/>
      <c r="N66" s="22">
        <v>942.30200000000002</v>
      </c>
    </row>
    <row r="67" spans="1:14" x14ac:dyDescent="0.4">
      <c r="A67" s="20" t="s">
        <v>33</v>
      </c>
      <c r="B67" s="20"/>
      <c r="C67" s="20"/>
      <c r="D67" s="22">
        <v>3.55</v>
      </c>
      <c r="E67" s="22"/>
      <c r="F67" s="22">
        <v>3.56</v>
      </c>
      <c r="G67" s="22"/>
      <c r="H67" s="22">
        <v>2.83</v>
      </c>
      <c r="I67" s="22"/>
      <c r="J67" s="22">
        <v>3.25</v>
      </c>
      <c r="K67" s="22"/>
      <c r="L67" s="22">
        <v>3.11</v>
      </c>
      <c r="M67" s="22"/>
      <c r="N67" s="22">
        <v>2.97</v>
      </c>
    </row>
    <row r="68" spans="1:14" x14ac:dyDescent="0.4">
      <c r="A68" s="20" t="s">
        <v>34</v>
      </c>
      <c r="B68" s="20"/>
      <c r="C68" s="20"/>
      <c r="D68" s="22">
        <v>14599.843999999999</v>
      </c>
      <c r="E68" s="22"/>
      <c r="F68" s="22">
        <v>14063.566000000001</v>
      </c>
      <c r="G68" s="22"/>
      <c r="H68" s="22">
        <v>12629.994000000001</v>
      </c>
      <c r="I68" s="22"/>
      <c r="J68" s="22">
        <v>11486.816999999999</v>
      </c>
      <c r="K68" s="22"/>
      <c r="L68" s="22">
        <v>11086.242</v>
      </c>
      <c r="M68" s="22"/>
      <c r="N68" s="22">
        <v>10711.734</v>
      </c>
    </row>
    <row r="69" spans="1:14" x14ac:dyDescent="0.4">
      <c r="A69" s="20" t="s">
        <v>35</v>
      </c>
      <c r="B69" s="20"/>
      <c r="C69" s="20"/>
      <c r="D69" s="22">
        <v>155.57</v>
      </c>
      <c r="E69" s="22"/>
      <c r="F69" s="22">
        <v>155.57</v>
      </c>
      <c r="G69" s="22"/>
      <c r="H69" s="22">
        <v>155.57</v>
      </c>
      <c r="I69" s="22"/>
      <c r="J69" s="22">
        <v>155.57</v>
      </c>
      <c r="K69" s="22"/>
      <c r="L69" s="22">
        <v>155.57</v>
      </c>
      <c r="M69" s="22"/>
      <c r="N69" s="22">
        <v>155.56800000000001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f>17023.577+453.702</f>
        <v>17477.279000000002</v>
      </c>
      <c r="E76" s="22"/>
      <c r="F76" s="22">
        <f>15125.876+496.912</f>
        <v>15622.788</v>
      </c>
      <c r="G76" s="22"/>
      <c r="H76" s="22">
        <f>13770.828+540.122</f>
        <v>14310.949999999999</v>
      </c>
      <c r="I76" s="22"/>
      <c r="J76" s="22">
        <v>12832.074000000001</v>
      </c>
      <c r="K76" s="22"/>
      <c r="L76" s="22">
        <v>11775.888999999999</v>
      </c>
      <c r="M76" s="22"/>
      <c r="N76" s="22">
        <v>8829.3539999999994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32232.692999999999</v>
      </c>
      <c r="E78" s="22"/>
      <c r="F78" s="22">
        <f>SUM(F68:F77)</f>
        <v>29841.923999999999</v>
      </c>
      <c r="G78" s="22"/>
      <c r="H78" s="22">
        <f>SUM(H68:H77)</f>
        <v>27096.513999999999</v>
      </c>
      <c r="I78" s="22"/>
      <c r="J78" s="22">
        <v>24474.460999999999</v>
      </c>
      <c r="K78" s="22"/>
      <c r="L78" s="22">
        <v>23017.701000000001</v>
      </c>
      <c r="M78" s="22"/>
      <c r="N78" s="22">
        <v>19696.655999999999</v>
      </c>
    </row>
    <row r="79" spans="1:14" x14ac:dyDescent="0.4">
      <c r="A79" s="20" t="s">
        <v>45</v>
      </c>
      <c r="B79" s="20"/>
      <c r="C79" s="20"/>
      <c r="D79" s="22">
        <f>1193.097+43.21</f>
        <v>1236.307</v>
      </c>
      <c r="E79" s="22"/>
      <c r="F79" s="22">
        <f>1053.186+43.21</f>
        <v>1096.396</v>
      </c>
      <c r="G79" s="22"/>
      <c r="H79" s="22">
        <f>327.411+43.21</f>
        <v>370.62099999999998</v>
      </c>
      <c r="I79" s="22"/>
      <c r="J79" s="22">
        <v>889.65099999999995</v>
      </c>
      <c r="K79" s="22"/>
      <c r="L79" s="22">
        <v>549.63099999999997</v>
      </c>
      <c r="M79" s="22"/>
      <c r="N79" s="22">
        <v>773.88300000000004</v>
      </c>
    </row>
    <row r="80" spans="1:14" x14ac:dyDescent="0.4">
      <c r="A80" s="20" t="s">
        <v>46</v>
      </c>
      <c r="B80" s="20"/>
      <c r="C80" s="20"/>
      <c r="D80" s="22">
        <v>1505.45</v>
      </c>
      <c r="E80" s="22"/>
      <c r="F80" s="22">
        <v>1249.325</v>
      </c>
      <c r="G80" s="22"/>
      <c r="H80" s="22">
        <v>889.08399999999995</v>
      </c>
      <c r="I80" s="22"/>
      <c r="J80" s="22">
        <v>910</v>
      </c>
      <c r="K80" s="22"/>
      <c r="L80" s="22">
        <v>1088.087</v>
      </c>
      <c r="M80" s="22"/>
      <c r="N80" s="22">
        <v>1148.5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1228.046</v>
      </c>
      <c r="E82" s="22"/>
      <c r="F82" s="22">
        <v>1212.6859999999999</v>
      </c>
      <c r="G82" s="22"/>
      <c r="H82" s="22">
        <v>916.572</v>
      </c>
      <c r="I82" s="22"/>
      <c r="J82" s="22">
        <v>1040.519</v>
      </c>
      <c r="K82" s="22"/>
      <c r="L82" s="22">
        <v>995.51499999999999</v>
      </c>
      <c r="M82" s="22"/>
      <c r="N82" s="22">
        <v>949.82100000000003</v>
      </c>
    </row>
    <row r="83" spans="1:16" x14ac:dyDescent="0.4">
      <c r="A83" s="20" t="s">
        <v>49</v>
      </c>
      <c r="B83" s="20"/>
      <c r="C83" s="20"/>
      <c r="D83" s="22">
        <v>1103.008</v>
      </c>
      <c r="E83" s="22"/>
      <c r="F83" s="22">
        <v>981.38</v>
      </c>
      <c r="G83" s="22"/>
      <c r="H83" s="22">
        <v>885.27800000000002</v>
      </c>
      <c r="I83" s="22"/>
      <c r="J83" s="22">
        <v>819.93</v>
      </c>
      <c r="K83" s="22"/>
      <c r="L83" s="22">
        <v>773.80200000000002</v>
      </c>
      <c r="M83" s="22"/>
      <c r="N83" s="22">
        <v>715.46600000000001</v>
      </c>
    </row>
    <row r="84" spans="1:16" x14ac:dyDescent="0.4">
      <c r="A84" s="20" t="s">
        <v>50</v>
      </c>
      <c r="B84" s="20"/>
      <c r="C84" s="20"/>
      <c r="D84" s="22">
        <v>231.965</v>
      </c>
      <c r="E84" s="22"/>
      <c r="F84" s="22">
        <v>177.679</v>
      </c>
      <c r="G84" s="22"/>
      <c r="H84" s="22">
        <v>195.38</v>
      </c>
      <c r="I84" s="22"/>
      <c r="J84" s="22">
        <v>252.02600000000001</v>
      </c>
      <c r="K84" s="22"/>
      <c r="L84" s="22">
        <v>89.986000000000004</v>
      </c>
      <c r="M84" s="22"/>
      <c r="N84" s="22">
        <v>71.695999999999998</v>
      </c>
    </row>
    <row r="85" spans="1:16" x14ac:dyDescent="0.4">
      <c r="A85" s="20" t="s">
        <v>51</v>
      </c>
      <c r="B85" s="20"/>
      <c r="C85" s="20"/>
      <c r="D85" s="22">
        <v>347.05599999999998</v>
      </c>
      <c r="E85" s="22"/>
      <c r="F85" s="22">
        <v>257.154</v>
      </c>
      <c r="G85" s="22"/>
      <c r="H85" s="22">
        <v>209.81200000000001</v>
      </c>
      <c r="I85" s="22"/>
      <c r="J85" s="22">
        <v>174.81200000000001</v>
      </c>
      <c r="K85" s="22"/>
      <c r="L85" s="22">
        <v>491.63</v>
      </c>
      <c r="M85" s="22"/>
      <c r="N85" s="22">
        <v>466.46300000000002</v>
      </c>
    </row>
    <row r="86" spans="1:16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  <c r="O86" s="22"/>
      <c r="P86" s="22"/>
    </row>
    <row r="87" spans="1:16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6" x14ac:dyDescent="0.4">
      <c r="A88" s="20" t="s">
        <v>69</v>
      </c>
      <c r="B88" s="20"/>
      <c r="C88" s="20"/>
      <c r="D88" s="22">
        <f>60.886-14.693-182.344-314.211+81.274-64.64</f>
        <v>-433.72799999999995</v>
      </c>
      <c r="E88" s="22"/>
      <c r="F88" s="22">
        <f>53.461+12.888-111.524-516.411-174.289</f>
        <v>-735.87499999999989</v>
      </c>
      <c r="G88" s="22"/>
      <c r="H88" s="22">
        <f>63.446+22-121.782-124.87-29+68.84+239.644-196.087</f>
        <v>-77.808999999999997</v>
      </c>
      <c r="I88" s="22"/>
      <c r="J88" s="22">
        <v>-349.41699999999997</v>
      </c>
      <c r="K88" s="22"/>
      <c r="L88" s="22">
        <v>-416.71</v>
      </c>
      <c r="M88" s="22"/>
      <c r="N88" s="22">
        <v>-122.979</v>
      </c>
    </row>
    <row r="89" spans="1:16" x14ac:dyDescent="0.4">
      <c r="A89" s="20" t="s">
        <v>54</v>
      </c>
      <c r="B89" s="20"/>
      <c r="C89" s="20"/>
      <c r="D89" s="22">
        <v>3175.08</v>
      </c>
      <c r="E89" s="22"/>
      <c r="F89" s="22">
        <v>2942.9960000000001</v>
      </c>
      <c r="G89" s="22"/>
      <c r="H89" s="22">
        <v>2911.489</v>
      </c>
      <c r="I89" s="22"/>
      <c r="J89" s="22">
        <v>2523.3710000000001</v>
      </c>
      <c r="K89" s="22"/>
      <c r="L89" s="22">
        <v>2348.105</v>
      </c>
      <c r="M89" s="22"/>
      <c r="N89" s="22">
        <v>1976.867</v>
      </c>
    </row>
    <row r="90" spans="1:16" x14ac:dyDescent="0.4">
      <c r="A90" s="20" t="s">
        <v>55</v>
      </c>
      <c r="B90" s="20"/>
      <c r="C90" s="20"/>
      <c r="D90" s="22">
        <v>805.43899999999996</v>
      </c>
      <c r="E90" s="22"/>
      <c r="F90" s="22">
        <v>744.66499999999996</v>
      </c>
      <c r="G90" s="22"/>
      <c r="H90" s="22">
        <v>663.23900000000003</v>
      </c>
      <c r="I90" s="22"/>
      <c r="J90" s="22">
        <v>640.11</v>
      </c>
      <c r="K90" s="22"/>
      <c r="L90" s="22">
        <v>602.08299999999997</v>
      </c>
      <c r="M90" s="22"/>
      <c r="N90" s="22">
        <v>564.48599999999999</v>
      </c>
    </row>
    <row r="91" spans="1:16" x14ac:dyDescent="0.4">
      <c r="A91" s="20" t="s">
        <v>56</v>
      </c>
      <c r="B91" s="20"/>
      <c r="C91" s="20"/>
      <c r="D91" s="22">
        <v>7.5190000000000001</v>
      </c>
      <c r="E91" s="22"/>
      <c r="F91" s="22">
        <v>7.5190000000000001</v>
      </c>
      <c r="G91" s="22"/>
      <c r="H91" s="22">
        <v>7.5190000000000001</v>
      </c>
      <c r="I91" s="22"/>
      <c r="J91" s="22">
        <v>7.5190000000000001</v>
      </c>
      <c r="K91" s="22"/>
      <c r="L91" s="22">
        <v>7.5190000000000001</v>
      </c>
      <c r="M91" s="22"/>
      <c r="N91" s="22">
        <v>7.5190000000000001</v>
      </c>
    </row>
    <row r="92" spans="1:16" x14ac:dyDescent="0.4">
      <c r="A92" s="20" t="s">
        <v>57</v>
      </c>
      <c r="B92" s="20"/>
      <c r="C92" s="20"/>
      <c r="D92" s="22">
        <v>568.70000000000005</v>
      </c>
      <c r="E92" s="22"/>
      <c r="F92" s="22">
        <v>518</v>
      </c>
      <c r="G92" s="22"/>
      <c r="H92" s="22">
        <v>532.4</v>
      </c>
      <c r="I92" s="22"/>
      <c r="J92" s="22">
        <v>503.2</v>
      </c>
      <c r="K92" s="22"/>
      <c r="L92" s="22">
        <v>419.1</v>
      </c>
      <c r="M92" s="22"/>
      <c r="N92" s="22">
        <v>398.1</v>
      </c>
    </row>
    <row r="93" spans="1:16" x14ac:dyDescent="0.4">
      <c r="A93" s="20" t="s">
        <v>58</v>
      </c>
      <c r="B93" s="20"/>
      <c r="C93" s="20"/>
      <c r="D93" s="22">
        <v>121.6</v>
      </c>
      <c r="E93" s="22"/>
      <c r="F93" s="22">
        <v>48.9</v>
      </c>
      <c r="G93" s="22"/>
      <c r="H93" s="22">
        <v>56</v>
      </c>
      <c r="I93" s="22"/>
      <c r="J93" s="22">
        <v>158.80000000000001</v>
      </c>
      <c r="K93" s="22"/>
      <c r="L93" s="22">
        <v>30.8</v>
      </c>
      <c r="M93" s="22"/>
      <c r="N93" s="22">
        <v>-135.5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6" x14ac:dyDescent="0.4">
      <c r="A96" s="20" t="s">
        <v>59</v>
      </c>
      <c r="B96" s="20"/>
      <c r="C96" s="20"/>
      <c r="D96" s="22">
        <v>828.33699999999999</v>
      </c>
      <c r="E96" s="22"/>
      <c r="F96" s="22">
        <v>767.5</v>
      </c>
      <c r="G96" s="22"/>
      <c r="H96" s="22">
        <v>685.97900000000004</v>
      </c>
      <c r="I96" s="22"/>
      <c r="J96" s="22">
        <v>640.11</v>
      </c>
      <c r="K96" s="22"/>
      <c r="L96" s="22">
        <v>602.08299999999997</v>
      </c>
      <c r="M96" s="22"/>
      <c r="N96" s="22">
        <v>564.48599999999999</v>
      </c>
    </row>
    <row r="97" spans="1:14" x14ac:dyDescent="0.4">
      <c r="A97" s="20" t="s">
        <v>60</v>
      </c>
      <c r="B97" s="20"/>
      <c r="C97" s="20"/>
      <c r="D97" s="22">
        <v>2.41</v>
      </c>
      <c r="E97" s="22"/>
      <c r="F97" s="22">
        <v>2.27</v>
      </c>
      <c r="G97" s="22"/>
      <c r="H97" s="22">
        <v>2.14</v>
      </c>
      <c r="I97" s="22"/>
      <c r="J97" s="22">
        <v>2.02</v>
      </c>
      <c r="K97" s="22"/>
      <c r="L97" s="22">
        <v>1.9</v>
      </c>
      <c r="M97" s="22"/>
      <c r="N97" s="22">
        <v>1.78</v>
      </c>
    </row>
    <row r="98" spans="1:14" x14ac:dyDescent="0.4">
      <c r="A98" s="20" t="s">
        <v>61</v>
      </c>
      <c r="B98" s="20"/>
      <c r="C98" s="20"/>
      <c r="D98" s="22">
        <v>2.41</v>
      </c>
      <c r="E98" s="22"/>
      <c r="F98" s="22">
        <v>2.27</v>
      </c>
      <c r="G98" s="22"/>
      <c r="H98" s="22">
        <v>2.14</v>
      </c>
      <c r="I98" s="22"/>
      <c r="J98" s="22">
        <v>2.02</v>
      </c>
      <c r="K98" s="22"/>
      <c r="L98" s="22">
        <v>1.9</v>
      </c>
      <c r="M98" s="22"/>
      <c r="N98" s="22">
        <v>1.78</v>
      </c>
    </row>
    <row r="99" spans="1:14" x14ac:dyDescent="0.4">
      <c r="A99" s="20" t="s">
        <v>62</v>
      </c>
      <c r="B99" s="20"/>
      <c r="C99" s="20"/>
      <c r="D99" s="22">
        <v>92.66</v>
      </c>
      <c r="E99" s="22"/>
      <c r="F99" s="22">
        <v>99.42</v>
      </c>
      <c r="G99" s="22"/>
      <c r="H99" s="22">
        <v>86.55</v>
      </c>
      <c r="I99" s="22"/>
      <c r="J99" s="22">
        <v>70.53</v>
      </c>
      <c r="K99" s="22"/>
      <c r="L99" s="22">
        <v>66.150000000000006</v>
      </c>
      <c r="M99" s="22"/>
      <c r="N99" s="22">
        <v>60.44</v>
      </c>
    </row>
    <row r="100" spans="1:14" x14ac:dyDescent="0.4">
      <c r="A100" s="20" t="s">
        <v>63</v>
      </c>
      <c r="B100" s="20"/>
      <c r="C100" s="20"/>
      <c r="D100" s="22">
        <v>76.64</v>
      </c>
      <c r="E100" s="22"/>
      <c r="F100" s="22">
        <v>60.69</v>
      </c>
      <c r="G100" s="22"/>
      <c r="H100" s="22">
        <v>63.1</v>
      </c>
      <c r="I100" s="22"/>
      <c r="J100" s="22">
        <v>52.76</v>
      </c>
      <c r="K100" s="22"/>
      <c r="L100" s="22">
        <v>54.08</v>
      </c>
      <c r="M100" s="22"/>
      <c r="N100" s="22">
        <v>50.01</v>
      </c>
    </row>
    <row r="101" spans="1:14" x14ac:dyDescent="0.4">
      <c r="A101" s="20" t="s">
        <v>64</v>
      </c>
      <c r="B101" s="20"/>
      <c r="C101" s="20"/>
      <c r="D101" s="22">
        <v>90.98</v>
      </c>
      <c r="E101" s="22"/>
      <c r="F101" s="22">
        <v>86.51</v>
      </c>
      <c r="G101" s="22"/>
      <c r="H101" s="22">
        <v>85.07</v>
      </c>
      <c r="I101" s="22"/>
      <c r="J101" s="22">
        <v>65.040000000000006</v>
      </c>
      <c r="K101" s="22"/>
      <c r="L101" s="22">
        <v>63.18</v>
      </c>
      <c r="M101" s="22"/>
      <c r="N101" s="22">
        <v>55.23</v>
      </c>
    </row>
    <row r="102" spans="1:14" x14ac:dyDescent="0.4">
      <c r="A102" s="20" t="s">
        <v>65</v>
      </c>
      <c r="B102" s="20"/>
      <c r="C102" s="20"/>
      <c r="D102" s="22">
        <v>344.40319599999998</v>
      </c>
      <c r="E102" s="22"/>
      <c r="F102" s="22">
        <v>342.95402300000001</v>
      </c>
      <c r="G102" s="22"/>
      <c r="H102" s="22">
        <v>329.88064500000002</v>
      </c>
      <c r="I102" s="22"/>
      <c r="J102" s="22">
        <v>316.88600000000002</v>
      </c>
      <c r="K102" s="22"/>
      <c r="L102" s="22">
        <v>316.88600000000002</v>
      </c>
      <c r="M102" s="22"/>
      <c r="N102" s="22">
        <v>316.88600000000002</v>
      </c>
    </row>
    <row r="103" spans="1:14" x14ac:dyDescent="0.4">
      <c r="A103" s="20" t="s">
        <v>91</v>
      </c>
      <c r="B103" s="20"/>
      <c r="C103" s="20"/>
      <c r="D103" s="22">
        <v>-42.274999999999999</v>
      </c>
      <c r="E103" s="22"/>
      <c r="F103" s="22">
        <v>-76.411000000000001</v>
      </c>
      <c r="G103" s="22"/>
      <c r="H103" s="22">
        <v>-65.058999999999997</v>
      </c>
      <c r="I103" s="22"/>
      <c r="J103" s="22">
        <v>-60</v>
      </c>
      <c r="K103" s="22"/>
      <c r="L103" s="22">
        <v>-66.403000000000006</v>
      </c>
      <c r="M103" s="22"/>
      <c r="N103" s="22">
        <v>-65.281999999999996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3.55</v>
      </c>
      <c r="F105" s="15">
        <f>F67/F94</f>
        <v>3.56</v>
      </c>
      <c r="H105" s="15">
        <f>H67/H94</f>
        <v>2.83</v>
      </c>
      <c r="J105" s="15">
        <f>J67/J94</f>
        <v>3.25</v>
      </c>
      <c r="L105" s="15">
        <f>L67/L94</f>
        <v>3.11</v>
      </c>
      <c r="N105" s="15">
        <f>N67/N94</f>
        <v>2.97</v>
      </c>
    </row>
    <row r="106" spans="1:14" x14ac:dyDescent="0.4">
      <c r="B106" t="s">
        <v>60</v>
      </c>
      <c r="D106" s="15">
        <f>D97/D94</f>
        <v>2.41</v>
      </c>
      <c r="F106" s="15">
        <f>F97/F94</f>
        <v>2.27</v>
      </c>
      <c r="H106" s="15">
        <f>H97/H94</f>
        <v>2.14</v>
      </c>
      <c r="J106" s="15">
        <f>J97/J94</f>
        <v>2.02</v>
      </c>
      <c r="L106" s="15">
        <f>L97/L94</f>
        <v>1.9</v>
      </c>
      <c r="N106" s="15">
        <f>N97/N94</f>
        <v>1.78</v>
      </c>
    </row>
    <row r="107" spans="1:14" x14ac:dyDescent="0.4">
      <c r="B107" t="s">
        <v>61</v>
      </c>
      <c r="D107" s="15">
        <f>D98/D94</f>
        <v>2.41</v>
      </c>
      <c r="F107" s="15">
        <f>F98/F94</f>
        <v>2.27</v>
      </c>
      <c r="H107" s="15">
        <f>H98/H94</f>
        <v>2.14</v>
      </c>
      <c r="J107" s="15">
        <f>J98/J94</f>
        <v>2.02</v>
      </c>
      <c r="L107" s="15">
        <f>L98/L94</f>
        <v>1.9</v>
      </c>
      <c r="N107" s="15">
        <f>N98/N94</f>
        <v>1.78</v>
      </c>
    </row>
    <row r="108" spans="1:14" x14ac:dyDescent="0.4">
      <c r="B108" t="s">
        <v>62</v>
      </c>
      <c r="D108" s="15">
        <f>D99/D94</f>
        <v>92.66</v>
      </c>
      <c r="F108" s="15">
        <f>F99/F94</f>
        <v>99.42</v>
      </c>
      <c r="H108" s="15">
        <f>H99/H94</f>
        <v>86.55</v>
      </c>
      <c r="J108" s="15">
        <f>J99/J94</f>
        <v>70.53</v>
      </c>
      <c r="L108" s="15">
        <f>L99/L94</f>
        <v>66.150000000000006</v>
      </c>
      <c r="N108" s="15">
        <f>N99/N94</f>
        <v>60.44</v>
      </c>
    </row>
    <row r="109" spans="1:14" x14ac:dyDescent="0.4">
      <c r="B109" t="s">
        <v>63</v>
      </c>
      <c r="D109" s="15">
        <f>D100/D94</f>
        <v>76.64</v>
      </c>
      <c r="F109" s="15">
        <f>F100/F94</f>
        <v>60.69</v>
      </c>
      <c r="H109" s="15">
        <f>H100/H94</f>
        <v>63.1</v>
      </c>
      <c r="J109" s="15">
        <f>J100/J94</f>
        <v>52.76</v>
      </c>
      <c r="L109" s="15">
        <f>L100/L94</f>
        <v>54.08</v>
      </c>
      <c r="N109" s="15">
        <f>N100/N94</f>
        <v>50.01</v>
      </c>
    </row>
    <row r="110" spans="1:14" x14ac:dyDescent="0.4">
      <c r="B110" t="s">
        <v>64</v>
      </c>
      <c r="D110" s="15">
        <f>D101/D94</f>
        <v>90.98</v>
      </c>
      <c r="F110" s="15">
        <f>F101/F94</f>
        <v>86.51</v>
      </c>
      <c r="H110" s="15">
        <f>H101/H94</f>
        <v>85.07</v>
      </c>
      <c r="J110" s="15">
        <f>J101/J94</f>
        <v>65.040000000000006</v>
      </c>
      <c r="L110" s="15">
        <f>L101/L94</f>
        <v>63.18</v>
      </c>
      <c r="N110" s="15">
        <f>N101/N94</f>
        <v>55.23</v>
      </c>
    </row>
    <row r="111" spans="1:14" x14ac:dyDescent="0.4">
      <c r="B111" t="s">
        <v>65</v>
      </c>
      <c r="D111" s="16">
        <f>D102*D94</f>
        <v>344.40319599999998</v>
      </c>
      <c r="E111" s="16"/>
      <c r="F111" s="16">
        <f>F102*F94</f>
        <v>342.95402300000001</v>
      </c>
      <c r="G111" s="16"/>
      <c r="H111" s="16">
        <f>H102*H94</f>
        <v>329.88064500000002</v>
      </c>
      <c r="I111" s="16"/>
      <c r="J111" s="16">
        <f>J102*J94</f>
        <v>316.88600000000002</v>
      </c>
      <c r="K111" s="16"/>
      <c r="L111" s="16">
        <f>L102*L94</f>
        <v>316.88600000000002</v>
      </c>
      <c r="M111" s="16"/>
      <c r="N111" s="16">
        <f>N102*N94</f>
        <v>316.88600000000002</v>
      </c>
    </row>
    <row r="112" spans="1:14" x14ac:dyDescent="0.4">
      <c r="B112" t="s">
        <v>66</v>
      </c>
      <c r="D112" s="15">
        <f>ROUND(D68/D111,2)</f>
        <v>42.39</v>
      </c>
      <c r="F112" s="15">
        <f>ROUND(F68/F111,2)</f>
        <v>41.01</v>
      </c>
      <c r="H112" s="15">
        <f>ROUND(H68/H111,2)</f>
        <v>38.29</v>
      </c>
      <c r="J112" s="15">
        <f>ROUND(J68/J111,2)</f>
        <v>36.25</v>
      </c>
      <c r="L112" s="15">
        <f>ROUND(L68/L111,2)</f>
        <v>34.979999999999997</v>
      </c>
      <c r="N112" s="15">
        <f>ROUND(N68/N111,2)</f>
        <v>33.799999999999997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Q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EXELON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76632</v>
      </c>
      <c r="F8" s="34">
        <f>F78+F79+F81-F103</f>
        <v>75570</v>
      </c>
      <c r="H8" s="34">
        <f>H78+H79+H81-H103</f>
        <v>74196</v>
      </c>
      <c r="J8" s="34">
        <f>J78+J79+J81-J103</f>
        <v>71879</v>
      </c>
      <c r="L8" s="34">
        <f>L78+L79+L81-L103</f>
        <v>69272</v>
      </c>
    </row>
    <row r="9" spans="1:15" x14ac:dyDescent="0.4">
      <c r="B9" t="s">
        <v>5</v>
      </c>
      <c r="D9" s="9">
        <f>D80</f>
        <v>3330</v>
      </c>
      <c r="F9" s="9">
        <f>F80</f>
        <v>2031</v>
      </c>
      <c r="H9" s="9">
        <f>H80</f>
        <v>1370</v>
      </c>
      <c r="J9" s="9">
        <f>J80</f>
        <v>714</v>
      </c>
      <c r="L9" s="9">
        <f>L80</f>
        <v>929</v>
      </c>
    </row>
    <row r="10" spans="1:15" ht="15.4" thickBot="1" x14ac:dyDescent="0.45">
      <c r="B10" t="s">
        <v>7</v>
      </c>
      <c r="D10" s="10">
        <f>D8+D9</f>
        <v>79962</v>
      </c>
      <c r="F10" s="10">
        <f>F8+F9</f>
        <v>77601</v>
      </c>
      <c r="H10" s="10">
        <f>H8+H9</f>
        <v>75566</v>
      </c>
      <c r="J10" s="10">
        <f>J8+J9</f>
        <v>72593</v>
      </c>
      <c r="L10" s="10">
        <f>L8+L9</f>
        <v>70201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20</v>
      </c>
      <c r="E13" s="7" t="s">
        <v>3</v>
      </c>
      <c r="F13" s="30">
        <f>ROUND(AVERAGE(F108:F109)/F105,0)</f>
        <v>20</v>
      </c>
      <c r="G13" s="7" t="s">
        <v>3</v>
      </c>
      <c r="H13" s="30">
        <f>ROUND(AVERAGE(H108:H109)/H105,0)</f>
        <v>16</v>
      </c>
      <c r="I13" s="7" t="s">
        <v>3</v>
      </c>
      <c r="J13" s="30">
        <f>ROUND(AVERAGE(J108:J109)/J105,0)</f>
        <v>20</v>
      </c>
      <c r="K13" s="7" t="s">
        <v>3</v>
      </c>
      <c r="L13" s="30">
        <f>ROUND(AVERAGE(L108:L109)/L105,0)</f>
        <v>10</v>
      </c>
      <c r="M13" s="7" t="s">
        <v>3</v>
      </c>
      <c r="N13" s="30">
        <f>AVERAGE(D13,F13,H13,J13,L13)</f>
        <v>17.2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1.0029999999999999</v>
      </c>
      <c r="E14" s="3"/>
      <c r="F14" s="3">
        <f>ROUND(AVERAGE(F108:F109)/AVERAGE(F112,H112),3)</f>
        <v>1.2</v>
      </c>
      <c r="G14" s="3"/>
      <c r="H14" s="3">
        <f>ROUND(AVERAGE(H108:H109)/AVERAGE(H112,J112),3)</f>
        <v>1.4570000000000001</v>
      </c>
      <c r="I14" s="3"/>
      <c r="J14" s="3">
        <f>ROUND(AVERAGE(J108:J109)/AVERAGE(J112,L112),3)</f>
        <v>1.3220000000000001</v>
      </c>
      <c r="K14" s="3"/>
      <c r="L14" s="3">
        <f>ROUND(AVERAGE(L108:L109)/AVERAGE(L112,N112),3)</f>
        <v>1.2889999999999999</v>
      </c>
      <c r="M14" s="3"/>
      <c r="N14" s="3">
        <f>AVERAGE(D14,F14,H14,J14,L14)</f>
        <v>1.2542</v>
      </c>
    </row>
    <row r="15" spans="1:15" x14ac:dyDescent="0.4">
      <c r="B15" t="s">
        <v>9</v>
      </c>
      <c r="D15" s="3">
        <f>ROUND(D106/AVERAGE(D108:D109),3)</f>
        <v>4.4999999999999998E-2</v>
      </c>
      <c r="E15" s="3"/>
      <c r="F15" s="3">
        <f>ROUND(F106/AVERAGE(F108:F109),3)</f>
        <v>3.7999999999999999E-2</v>
      </c>
      <c r="G15" s="3"/>
      <c r="H15" s="3">
        <f>ROUND(H106/AVERAGE(H108:H109),3)</f>
        <v>3.1E-2</v>
      </c>
      <c r="I15" s="3"/>
      <c r="J15" s="3">
        <f>ROUND(J106/AVERAGE(J108:J109),3)</f>
        <v>3.3000000000000002E-2</v>
      </c>
      <c r="K15" s="3"/>
      <c r="L15" s="3">
        <f>ROUND(L106/AVERAGE(L108:L109),3)</f>
        <v>3.4000000000000002E-2</v>
      </c>
      <c r="M15" s="3"/>
      <c r="N15" s="3">
        <f>AVERAGE(D15,F15,H15,J15,L15)</f>
        <v>3.6199999999999996E-2</v>
      </c>
    </row>
    <row r="16" spans="1:15" x14ac:dyDescent="0.4">
      <c r="B16" t="s">
        <v>10</v>
      </c>
      <c r="D16" s="3">
        <f>ROUND(D96/D66,3)</f>
        <v>0.879</v>
      </c>
      <c r="E16" s="3"/>
      <c r="F16" s="3">
        <f>ROUND(F96/F66,3)</f>
        <v>0.76200000000000001</v>
      </c>
      <c r="G16" s="3"/>
      <c r="H16" s="3">
        <f>ROUND(H96/H66,3)</f>
        <v>0.48099999999999998</v>
      </c>
      <c r="I16" s="3"/>
      <c r="J16" s="3">
        <f>ROUND(J96/J66,3)</f>
        <v>0.66600000000000004</v>
      </c>
      <c r="K16" s="3"/>
      <c r="L16" s="3">
        <f>ROUND(L96/L66,3)</f>
        <v>0.33</v>
      </c>
      <c r="M16" s="3"/>
      <c r="N16" s="3">
        <f>AVERAGE(D16,F16,H16,J16,L16)</f>
        <v>0.62359999999999993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0.51</v>
      </c>
      <c r="E20" s="3"/>
      <c r="F20" s="3">
        <f>ROUND((+F76+F79)/F8,3)</f>
        <v>0.49399999999999999</v>
      </c>
      <c r="G20" s="3"/>
      <c r="H20" s="3">
        <f>ROUND((+H76+H79)/H8,3)</f>
        <v>0.49099999999999999</v>
      </c>
      <c r="I20" s="3"/>
      <c r="J20" s="3">
        <f>ROUND((+J76+J79)/J8,3)</f>
        <v>0.498</v>
      </c>
      <c r="K20" s="3"/>
      <c r="L20" s="3">
        <f>ROUND((+L76+L79)/L8,3)</f>
        <v>0.5</v>
      </c>
      <c r="M20" s="3"/>
      <c r="N20" s="3">
        <f>AVERAGE(D20,F20,H20,J20,L20)</f>
        <v>0.49860000000000004</v>
      </c>
    </row>
    <row r="21" spans="1:14" x14ac:dyDescent="0.4">
      <c r="B21" s="31" t="s">
        <v>93</v>
      </c>
      <c r="D21" s="3">
        <f>ROUND((SUM(D69:D75)+D81)/D8,3)</f>
        <v>5.0000000000000001E-3</v>
      </c>
      <c r="E21" s="3"/>
      <c r="F21" s="3">
        <f>ROUND((SUM(F69:F75)+F81)/F8,3)</f>
        <v>0.03</v>
      </c>
      <c r="G21" s="3"/>
      <c r="H21" s="3">
        <f>ROUND((SUM(H69:H75)+H81)/H8,3)</f>
        <v>3.2000000000000001E-2</v>
      </c>
      <c r="I21" s="3"/>
      <c r="J21" s="3">
        <f>ROUND((SUM(J69:J75)+J81)/J8,3)</f>
        <v>3.2000000000000001E-2</v>
      </c>
      <c r="K21" s="3"/>
      <c r="L21" s="3">
        <f>ROUND((SUM(L69:L75)+L81)/L8,3)</f>
        <v>3.3000000000000002E-2</v>
      </c>
      <c r="M21" s="3"/>
      <c r="N21" s="3">
        <f>AVERAGE(D21,F21,H21,J21,L21)</f>
        <v>2.64E-2</v>
      </c>
    </row>
    <row r="22" spans="1:14" ht="17.25" x14ac:dyDescent="0.4">
      <c r="B22" s="32" t="s">
        <v>94</v>
      </c>
      <c r="D22" s="4">
        <f>ROUND((D68-D103)/D8,3)</f>
        <v>0.48499999999999999</v>
      </c>
      <c r="E22" s="3"/>
      <c r="F22" s="4">
        <f>ROUND((F68-F103)/F8,3)</f>
        <v>0.47599999999999998</v>
      </c>
      <c r="G22" s="3"/>
      <c r="H22" s="4">
        <f>ROUND((H68-H103)/H8,3)</f>
        <v>0.47699999999999998</v>
      </c>
      <c r="I22" s="3"/>
      <c r="J22" s="4">
        <f>ROUND((J68-J103)/J8,3)</f>
        <v>0.47</v>
      </c>
      <c r="K22" s="3"/>
      <c r="L22" s="4">
        <f>ROUND((L68-L103)/L8,3)</f>
        <v>0.46700000000000003</v>
      </c>
      <c r="M22" s="3"/>
      <c r="N22" s="4">
        <f>AVERAGE(D22,F22,H22,J22,L22)</f>
        <v>0.47499999999999998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0.53</v>
      </c>
      <c r="E25" s="3"/>
      <c r="F25" s="3">
        <f>ROUND((+F76+F79+F80)/F10,3)</f>
        <v>0.50700000000000001</v>
      </c>
      <c r="G25" s="3"/>
      <c r="H25" s="3">
        <f>ROUND((+H76+H79+H80)/H10,3)</f>
        <v>0.5</v>
      </c>
      <c r="I25" s="3"/>
      <c r="J25" s="3">
        <f>ROUND((+J76+J79+J80)/J10,3)</f>
        <v>0.503</v>
      </c>
      <c r="K25" s="3"/>
      <c r="L25" s="3">
        <f>ROUND((+L76+L79+L80)/L10,3)</f>
        <v>0.50700000000000001</v>
      </c>
      <c r="M25" s="3"/>
      <c r="N25" s="3">
        <f>AVERAGE(D25,F25,H25,J25,L25)</f>
        <v>0.50940000000000007</v>
      </c>
    </row>
    <row r="26" spans="1:14" x14ac:dyDescent="0.4">
      <c r="B26" s="31" t="s">
        <v>93</v>
      </c>
      <c r="D26" s="3">
        <f>ROUND((SUM(D69:D75)+D81)/D10,3)</f>
        <v>5.0000000000000001E-3</v>
      </c>
      <c r="E26" s="3"/>
      <c r="F26" s="3">
        <f>ROUND((SUM(F69:F75)+F81)/F10,3)</f>
        <v>2.9000000000000001E-2</v>
      </c>
      <c r="G26" s="3"/>
      <c r="H26" s="3">
        <f>ROUND((SUM(H69:H75)+H81)/H10,3)</f>
        <v>3.1E-2</v>
      </c>
      <c r="I26" s="3"/>
      <c r="J26" s="3">
        <f>ROUND((SUM(J69:J75)+J81)/J10,3)</f>
        <v>3.2000000000000001E-2</v>
      </c>
      <c r="K26" s="3"/>
      <c r="L26" s="3">
        <f>ROUND((SUM(L69:L75)+L81)/L10,3)</f>
        <v>3.2000000000000001E-2</v>
      </c>
      <c r="M26" s="3"/>
      <c r="N26" s="3">
        <f>AVERAGE(D26,F26,H26,J26,L26)</f>
        <v>2.58E-2</v>
      </c>
    </row>
    <row r="27" spans="1:14" ht="17.25" x14ac:dyDescent="0.4">
      <c r="B27" s="32" t="s">
        <v>94</v>
      </c>
      <c r="D27" s="4">
        <f>ROUND((D68-D103)/D10,3)</f>
        <v>0.46500000000000002</v>
      </c>
      <c r="E27" s="3"/>
      <c r="F27" s="4">
        <f>ROUND((F68-F103)/F10,3)</f>
        <v>0.46400000000000002</v>
      </c>
      <c r="G27" s="3"/>
      <c r="H27" s="4">
        <f>ROUND((H68-H103)/H10,3)</f>
        <v>0.46899999999999997</v>
      </c>
      <c r="I27" s="3"/>
      <c r="J27" s="4">
        <f>ROUND((J68-J103)/J10,3)</f>
        <v>0.46500000000000002</v>
      </c>
      <c r="K27" s="3"/>
      <c r="L27" s="4">
        <f>ROUND((L68-L103)/L10,3)</f>
        <v>0.46100000000000002</v>
      </c>
      <c r="M27" s="3"/>
      <c r="N27" s="4">
        <f>AVERAGE(D27,F27,H27,J27,L27)</f>
        <v>0.46480000000000005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4.7E-2</v>
      </c>
      <c r="E30" s="3"/>
      <c r="F30" s="3">
        <f>ROUND(+F66/(((F68-F103)+(H68-H103))/2),3)</f>
        <v>5.5E-2</v>
      </c>
      <c r="G30" s="3"/>
      <c r="H30" s="3">
        <f>ROUND(+H66/(((H68-H103)+(J68-J103))/2),3)</f>
        <v>8.5000000000000006E-2</v>
      </c>
      <c r="I30" s="3"/>
      <c r="J30" s="3">
        <f>ROUND(+J66/(((J68-J103)+(L68-L103))/2),3)</f>
        <v>6.0999999999999999E-2</v>
      </c>
      <c r="K30" s="3"/>
      <c r="L30" s="3">
        <f>ROUND(+L66/(((L68-L103)+(N68-N103))/2),3)</f>
        <v>0.124</v>
      </c>
      <c r="M30" s="3"/>
      <c r="N30" s="3">
        <f>AVERAGE(D30,F30,H30,J30,L30)</f>
        <v>7.4399999999999994E-2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0.93100000000000005</v>
      </c>
      <c r="E32" s="3"/>
      <c r="F32" s="3">
        <f>ROUND((+F58-F57)/F56,3)</f>
        <v>0.91500000000000004</v>
      </c>
      <c r="G32" s="3"/>
      <c r="H32" s="3">
        <f>ROUND((+H58-H57)/H56,3)</f>
        <v>0.874</v>
      </c>
      <c r="I32" s="3"/>
      <c r="J32" s="3">
        <f>ROUND((+J58-J57)/J56,3)</f>
        <v>0.874</v>
      </c>
      <c r="K32" s="3"/>
      <c r="L32" s="3">
        <f>ROUND((+L58-L57)/L56,3)</f>
        <v>0.89</v>
      </c>
      <c r="M32" s="3"/>
      <c r="N32" s="3">
        <f>AVERAGE(D32,F32,H32,J32,L32)</f>
        <v>0.89680000000000004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2.3199999999999998</v>
      </c>
      <c r="E35" s="7" t="s">
        <v>3</v>
      </c>
      <c r="F35" s="7">
        <f>ROUND(((+F66+F65+F64+F63+F61+F59+F57)/F61),2)</f>
        <v>2.4300000000000002</v>
      </c>
      <c r="G35" s="7" t="s">
        <v>3</v>
      </c>
      <c r="H35" s="7">
        <f>ROUND(((+H66+H65+H64+H63+H61+H59+H57)/H61),2)</f>
        <v>3.3</v>
      </c>
      <c r="I35" s="7" t="s">
        <v>3</v>
      </c>
      <c r="J35" s="7">
        <f>ROUND(((+J66+J65+J64+J63+J61+J59+J57)/J61),2)</f>
        <v>2.31</v>
      </c>
      <c r="K35" s="7" t="s">
        <v>3</v>
      </c>
      <c r="L35" s="7">
        <f>ROUND(((+L66+L65+L64+L63+L61+L59+L57)/L61),2)</f>
        <v>3.19</v>
      </c>
      <c r="M35" s="7" t="s">
        <v>3</v>
      </c>
      <c r="N35" s="26">
        <f>AVERAGE(D35,F35,H35,J35,L35)</f>
        <v>2.71</v>
      </c>
      <c r="O35" t="s">
        <v>3</v>
      </c>
    </row>
    <row r="36" spans="1:15" x14ac:dyDescent="0.4">
      <c r="B36" t="s">
        <v>21</v>
      </c>
      <c r="D36" s="7">
        <f>ROUND(((+D66+D65+D64+D63+D61)/(D61)),2)</f>
        <v>2.09</v>
      </c>
      <c r="E36" s="7" t="s">
        <v>3</v>
      </c>
      <c r="F36" s="7">
        <f>ROUND(((+F66+F65+F64+F63+F61)/(F61)),2)</f>
        <v>2.2000000000000002</v>
      </c>
      <c r="G36" s="7" t="s">
        <v>3</v>
      </c>
      <c r="H36" s="7">
        <f>ROUND(((+H66+H65+H64+H63+H61)/(H61)),2)</f>
        <v>2.82</v>
      </c>
      <c r="I36" s="7" t="s">
        <v>3</v>
      </c>
      <c r="J36" s="7">
        <f>ROUND(((+J66+J65+J64+J63+J61)/(J61)),2)</f>
        <v>2.2400000000000002</v>
      </c>
      <c r="K36" s="7" t="s">
        <v>3</v>
      </c>
      <c r="L36" s="7">
        <f>ROUND(((+L66+L65+L64+L63+L61)/(L61)),2)</f>
        <v>3.27</v>
      </c>
      <c r="M36" s="7" t="s">
        <v>3</v>
      </c>
      <c r="N36" s="26">
        <f>AVERAGE(D36,F36,H36,J36,L36)</f>
        <v>2.524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2.09</v>
      </c>
      <c r="E37" s="7" t="s">
        <v>3</v>
      </c>
      <c r="F37" s="7">
        <f>ROUND(((+F66+F65+F64+F63+F61)/(F61+F63+F64+F65)),2)</f>
        <v>2.2000000000000002</v>
      </c>
      <c r="G37" s="7" t="s">
        <v>3</v>
      </c>
      <c r="H37" s="7">
        <f>ROUND(((+H66+H65+H64+H63+H61)/(H61+H63+H64+H65)),2)</f>
        <v>2.82</v>
      </c>
      <c r="I37" s="7" t="s">
        <v>3</v>
      </c>
      <c r="J37" s="7">
        <f>ROUND(((+J66+J65+J64+J63+J61)/(J61+J63+J64+J65)),2)</f>
        <v>2.2400000000000002</v>
      </c>
      <c r="K37" s="7" t="s">
        <v>3</v>
      </c>
      <c r="L37" s="7">
        <f>ROUND(((+L66+L65+L64+L63+L61)/(L61+L63+L64+L65)),2)</f>
        <v>3.27</v>
      </c>
      <c r="M37" s="7" t="s">
        <v>3</v>
      </c>
      <c r="N37" s="26">
        <f>AVERAGE(D37,F37,H37,J37,L37)</f>
        <v>2.524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2.19</v>
      </c>
      <c r="E40" s="7" t="s">
        <v>3</v>
      </c>
      <c r="F40" s="7">
        <f>ROUND(((+F66+F65+F64+F63-F62+F61+F59+F57)/F61),2)</f>
        <v>2.3199999999999998</v>
      </c>
      <c r="G40" s="7" t="s">
        <v>3</v>
      </c>
      <c r="H40" s="7">
        <f>ROUND(((+H66+H65+H64+H63-H62+H61+H59+H57)/H61),2)</f>
        <v>3.2</v>
      </c>
      <c r="I40" s="7" t="s">
        <v>3</v>
      </c>
      <c r="J40" s="7">
        <f>ROUND(((+J66+J65+J64+J63-J62+J61+J59+J57)/J61),2)</f>
        <v>2.2200000000000002</v>
      </c>
      <c r="K40" s="7" t="s">
        <v>3</v>
      </c>
      <c r="L40" s="7">
        <f>ROUND(((+L66+L65+L64+L63-L62+L61+L59+L57)/L61),2)</f>
        <v>3.09</v>
      </c>
      <c r="M40" s="7" t="s">
        <v>3</v>
      </c>
      <c r="N40" s="26">
        <f>AVERAGE(D40,F40,H40,J40,L40)</f>
        <v>2.6040000000000001</v>
      </c>
      <c r="O40" t="s">
        <v>3</v>
      </c>
    </row>
    <row r="41" spans="1:15" x14ac:dyDescent="0.4">
      <c r="B41" t="s">
        <v>21</v>
      </c>
      <c r="D41" s="7">
        <f>ROUND(((+D66+D65+D64+D63-D62+D61)/D61),2)</f>
        <v>1.96</v>
      </c>
      <c r="E41" s="7" t="s">
        <v>3</v>
      </c>
      <c r="F41" s="7">
        <f>ROUND(((+F66+F65+F64+F63-F62+F61)/F61),2)</f>
        <v>2.1</v>
      </c>
      <c r="G41" s="7" t="s">
        <v>3</v>
      </c>
      <c r="H41" s="7">
        <f>ROUND(((+H66+H65+H64+H63-H62+H61)/H61),2)</f>
        <v>2.72</v>
      </c>
      <c r="I41" s="7" t="s">
        <v>3</v>
      </c>
      <c r="J41" s="7">
        <f>ROUND(((+J66+J65+J64+J63-J62+J61)/J61),2)</f>
        <v>2.15</v>
      </c>
      <c r="K41" s="7" t="s">
        <v>3</v>
      </c>
      <c r="L41" s="7">
        <f>ROUND(((+L66+L65+L64+L63-L62+L61)/L61),2)</f>
        <v>3.16</v>
      </c>
      <c r="M41" s="7" t="s">
        <v>3</v>
      </c>
      <c r="N41" s="26">
        <f>AVERAGE(D41,F41,H41,J41,L41)</f>
        <v>2.4180000000000001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1.96</v>
      </c>
      <c r="E42" s="7" t="s">
        <v>3</v>
      </c>
      <c r="F42" s="7">
        <f>ROUND(((+F66+F65+F64+F63-F62+F61)/(F61+F63+F64+F65)),2)</f>
        <v>2.1</v>
      </c>
      <c r="G42" s="7" t="s">
        <v>3</v>
      </c>
      <c r="H42" s="7">
        <f>ROUND(((+H66+H65+H64+H63-H62+H61)/(H61+H63+H64+H65)),2)</f>
        <v>2.72</v>
      </c>
      <c r="I42" s="7" t="s">
        <v>3</v>
      </c>
      <c r="J42" s="7">
        <f>ROUND(((+J66+J65+J64+J63-J62+J61)/(J61+J63+J64+J65)),2)</f>
        <v>2.15</v>
      </c>
      <c r="K42" s="7" t="s">
        <v>3</v>
      </c>
      <c r="L42" s="7">
        <f>ROUND(((+L66+L65+L64+L63-L62+L61)/(L61+L63+L64+L65)),2)</f>
        <v>3.16</v>
      </c>
      <c r="M42" s="7" t="s">
        <v>3</v>
      </c>
      <c r="N42" s="26">
        <f>AVERAGE(D42,F42,H42,J42,L42)</f>
        <v>2.4180000000000001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0.12</v>
      </c>
      <c r="E45" s="11"/>
      <c r="F45" s="11">
        <f>ROUND(F62/F66,3)</f>
        <v>8.7999999999999995E-2</v>
      </c>
      <c r="G45" s="11"/>
      <c r="H45" s="11">
        <f>ROUND(H62/H66,3)</f>
        <v>5.2999999999999999E-2</v>
      </c>
      <c r="I45" s="11"/>
      <c r="J45" s="11">
        <f>ROUND(J62/J66,3)</f>
        <v>7.0000000000000007E-2</v>
      </c>
      <c r="K45" s="11"/>
      <c r="L45" s="11">
        <f>ROUND(L62/L66,3)</f>
        <v>4.4999999999999998E-2</v>
      </c>
      <c r="M45" s="3"/>
      <c r="N45" s="3">
        <f t="shared" ref="N45:N50" si="0">AVERAGE(D45,F45,H45,J45,L45)</f>
        <v>7.5200000000000003E-2</v>
      </c>
    </row>
    <row r="46" spans="1:15" x14ac:dyDescent="0.4">
      <c r="B46" t="s">
        <v>17</v>
      </c>
      <c r="D46" s="17">
        <f>ROUND((D57+D59)/(D57+D59+D66+D63+D64+D65),3)</f>
        <v>0.17799999999999999</v>
      </c>
      <c r="E46" s="18"/>
      <c r="F46" s="17">
        <f>ROUND((F57+F59)/(F57+F59+F66+F63+F64+F65),3)</f>
        <v>0.16</v>
      </c>
      <c r="G46" s="18"/>
      <c r="H46" s="17">
        <f>ROUND((H57+H59)/(H57+H59+H66+H63+H64+H65),3)</f>
        <v>0.20899999999999999</v>
      </c>
      <c r="I46" s="18"/>
      <c r="J46" s="17">
        <f>ROUND((J57+J59)/(J57+J59+J66+J63+J64+J65),3)</f>
        <v>5.6000000000000001E-2</v>
      </c>
      <c r="K46" s="18"/>
      <c r="L46" s="17">
        <f>ROUND((L57+L59)/(L57+L59+L66+L63+L64+L65),3)</f>
        <v>-3.4000000000000002E-2</v>
      </c>
      <c r="N46" s="3">
        <f t="shared" si="0"/>
        <v>0.11379999999999998</v>
      </c>
    </row>
    <row r="47" spans="1:15" ht="17.25" x14ac:dyDescent="0.4">
      <c r="B47" s="33" t="s">
        <v>100</v>
      </c>
      <c r="D47" s="11">
        <f>ROUND(((+D82+D83+D84+D85+D86-D87+D88-D90-D91)/(+D89-D87)),3)</f>
        <v>0.88700000000000001</v>
      </c>
      <c r="E47" s="12"/>
      <c r="F47" s="11">
        <f>ROUND(((+F82+F83+F84+F85+F86-F87+F88-F90-F91)/(+F89-F87)),3)</f>
        <v>0.93700000000000006</v>
      </c>
      <c r="G47" s="12"/>
      <c r="H47" s="11">
        <f>ROUND(((+H82+H83+H84+H85+H86-H87+H88-H90-H91)/(+H89-H87)),3)</f>
        <v>1.163</v>
      </c>
      <c r="I47" s="12"/>
      <c r="J47" s="11">
        <f>ROUND(((+J82+J83+J84+J85+J86-J87+J88-J90-J91)/(+J89-J87)),3)</f>
        <v>1.105</v>
      </c>
      <c r="K47" s="12"/>
      <c r="L47" s="11">
        <f>ROUND(((+L82+L83+L84+L85+L86-L87+L88-L90-L91)/(+L89-L87)),3)</f>
        <v>1.091</v>
      </c>
      <c r="N47" s="3">
        <f t="shared" si="0"/>
        <v>1.0366000000000002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0.21</v>
      </c>
      <c r="E48" s="12"/>
      <c r="F48" s="11">
        <f>ROUND(((+F82+F83+F84+F85+F86-F87+F88)/(AVERAGE(F76,H76)+AVERAGE(F79,H79)+AVERAGE(F80,H80))),3)</f>
        <v>0.23400000000000001</v>
      </c>
      <c r="G48" s="12"/>
      <c r="H48" s="11">
        <f>ROUND(((+H82+H83+H84+H85+H86-H87+H88)/(AVERAGE(H76,J76)+AVERAGE(H79,J79)+AVERAGE(H80,J80))),3)</f>
        <v>0.26500000000000001</v>
      </c>
      <c r="I48" s="12"/>
      <c r="J48" s="11">
        <f>ROUND(((+J82+J83+J84+J85+J86-J87+J88)/(AVERAGE(J76,L76)+AVERAGE(J79,L79)+AVERAGE(J80,L80))),3)</f>
        <v>0.27</v>
      </c>
      <c r="K48" s="12"/>
      <c r="L48" s="11">
        <f>ROUND(((+L82+L83+L84+L85+L86-L87+L88)/(AVERAGE(L76,N76)+AVERAGE(L79,N79)+AVERAGE(L80,N80))),3)</f>
        <v>0.26600000000000001</v>
      </c>
      <c r="N48" s="3">
        <f t="shared" si="0"/>
        <v>0.24900000000000003</v>
      </c>
    </row>
    <row r="49" spans="1:17" ht="17.25" x14ac:dyDescent="0.4">
      <c r="B49" s="33" t="s">
        <v>102</v>
      </c>
      <c r="D49" s="27">
        <f>ROUND(((+D82+D83+D84+D85+D86-D87+D88+D92)/D61),2)</f>
        <v>6.42</v>
      </c>
      <c r="E49" t="s">
        <v>3</v>
      </c>
      <c r="F49" s="27">
        <f>ROUND(((+F82+F83+F84+F85+F86-F87+F88+F92)/F61),2)</f>
        <v>6.46</v>
      </c>
      <c r="G49" t="s">
        <v>3</v>
      </c>
      <c r="H49" s="27">
        <f>ROUND(((+H82+H83+H84+H85+H86-H87+H88+H92)/H61),2)</f>
        <v>7</v>
      </c>
      <c r="I49" t="s">
        <v>3</v>
      </c>
      <c r="J49" s="27">
        <f>ROUND(((+J82+J83+J84+J85+J86-J87+J88+J92)/J61),2)</f>
        <v>6.86</v>
      </c>
      <c r="K49" t="s">
        <v>3</v>
      </c>
      <c r="L49" s="27">
        <f>ROUND(((+L82+L83+L84+L85+L86-L87+L88+L92)/L61),2)</f>
        <v>7.18</v>
      </c>
      <c r="M49" t="s">
        <v>3</v>
      </c>
      <c r="N49" s="27">
        <f t="shared" si="0"/>
        <v>6.7840000000000007</v>
      </c>
      <c r="O49" t="s">
        <v>3</v>
      </c>
    </row>
    <row r="50" spans="1:17" ht="17.25" x14ac:dyDescent="0.4">
      <c r="B50" s="33" t="s">
        <v>103</v>
      </c>
      <c r="D50" s="27">
        <f>ROUND(((+D82+D83+D84+D85+D86-D87+D88-D91)/+D90),2)</f>
        <v>5.73</v>
      </c>
      <c r="E50" t="s">
        <v>3</v>
      </c>
      <c r="F50" s="27">
        <f>ROUND(((+F82+F83+F84+F85+F86-F87+F88-F91)/+F90),2)</f>
        <v>6.05</v>
      </c>
      <c r="G50" t="s">
        <v>3</v>
      </c>
      <c r="H50" s="27">
        <f>ROUND(((+H82+H83+H84+H85+H86-H87+H88-H91)/+H90),2)</f>
        <v>6.99</v>
      </c>
      <c r="I50" t="s">
        <v>3</v>
      </c>
      <c r="J50" s="27">
        <f>ROUND(((+J82+J83+J84+J85+J86-J87+J88-J91)/+J90),2)</f>
        <v>7.3</v>
      </c>
      <c r="K50" t="s">
        <v>3</v>
      </c>
      <c r="L50" s="27">
        <f>ROUND(((+L82+L83+L84+L85+L86-L87+L88-L91)/+L90),2)</f>
        <v>7.69</v>
      </c>
      <c r="M50" t="s">
        <v>3</v>
      </c>
      <c r="N50" s="27">
        <f t="shared" si="0"/>
        <v>6.7520000000000007</v>
      </c>
      <c r="O50" t="s">
        <v>3</v>
      </c>
    </row>
    <row r="52" spans="1:17" x14ac:dyDescent="0.4">
      <c r="A52" t="s">
        <v>4</v>
      </c>
    </row>
    <row r="53" spans="1:17" x14ac:dyDescent="0.4">
      <c r="D53" s="35"/>
      <c r="F53" s="35"/>
    </row>
    <row r="54" spans="1:17" x14ac:dyDescent="0.4">
      <c r="A54" s="19" t="s">
        <v>80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  <c r="Q54" s="35"/>
    </row>
    <row r="55" spans="1:17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7" x14ac:dyDescent="0.4">
      <c r="A56" s="20" t="s">
        <v>22</v>
      </c>
      <c r="B56" s="20"/>
      <c r="C56" s="20"/>
      <c r="D56" s="22">
        <v>36347</v>
      </c>
      <c r="E56" s="22"/>
      <c r="F56" s="22">
        <v>33039</v>
      </c>
      <c r="G56" s="22"/>
      <c r="H56" s="22">
        <v>34438</v>
      </c>
      <c r="I56" s="22"/>
      <c r="J56" s="22">
        <v>35985</v>
      </c>
      <c r="K56" s="22"/>
      <c r="L56" s="22">
        <v>33531</v>
      </c>
      <c r="M56" s="22"/>
      <c r="N56" s="22">
        <v>31360</v>
      </c>
    </row>
    <row r="57" spans="1:17" x14ac:dyDescent="0.4">
      <c r="A57" s="20" t="s">
        <v>23</v>
      </c>
      <c r="B57" s="20"/>
      <c r="C57" s="20"/>
      <c r="D57" s="22">
        <v>370</v>
      </c>
      <c r="E57" s="22"/>
      <c r="F57" s="22">
        <v>373</v>
      </c>
      <c r="G57" s="22"/>
      <c r="H57" s="22">
        <v>774</v>
      </c>
      <c r="I57" s="22"/>
      <c r="J57" s="22">
        <v>120</v>
      </c>
      <c r="K57" s="22"/>
      <c r="L57" s="22">
        <v>-125</v>
      </c>
      <c r="M57" s="22"/>
      <c r="N57" s="22">
        <v>761</v>
      </c>
    </row>
    <row r="58" spans="1:17" x14ac:dyDescent="0.4">
      <c r="A58" s="20" t="s">
        <v>24</v>
      </c>
      <c r="B58" s="20"/>
      <c r="C58" s="20"/>
      <c r="D58" s="22">
        <f>33825+D57</f>
        <v>34195</v>
      </c>
      <c r="E58" s="22"/>
      <c r="F58" s="22">
        <f>30240+F57</f>
        <v>30613</v>
      </c>
      <c r="G58" s="22"/>
      <c r="H58" s="22">
        <f>30096+H57</f>
        <v>30870</v>
      </c>
      <c r="I58" s="22"/>
      <c r="J58" s="22">
        <v>31566</v>
      </c>
      <c r="K58" s="22"/>
      <c r="L58" s="22">
        <v>29705</v>
      </c>
      <c r="M58" s="22"/>
      <c r="N58" s="22">
        <v>28008</v>
      </c>
    </row>
    <row r="59" spans="1:17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7" x14ac:dyDescent="0.4">
      <c r="A60" s="20" t="s">
        <v>26</v>
      </c>
      <c r="B60" s="20"/>
      <c r="C60" s="20"/>
      <c r="D60" s="22">
        <f>2723-D57+1056-9-123</f>
        <v>3277</v>
      </c>
      <c r="E60" s="22"/>
      <c r="F60" s="22">
        <f>2823-F57+1145-6+9</f>
        <v>3598</v>
      </c>
      <c r="G60" s="22"/>
      <c r="H60" s="22">
        <f>4374-H57+1227-183-92</f>
        <v>4552</v>
      </c>
      <c r="I60" s="22"/>
      <c r="J60" s="22">
        <v>3638</v>
      </c>
      <c r="K60" s="22"/>
      <c r="L60" s="22">
        <v>5415</v>
      </c>
      <c r="M60" s="22"/>
      <c r="N60" s="22">
        <v>2740</v>
      </c>
    </row>
    <row r="61" spans="1:17" x14ac:dyDescent="0.4">
      <c r="A61" s="20" t="s">
        <v>27</v>
      </c>
      <c r="B61" s="20"/>
      <c r="C61" s="20"/>
      <c r="D61" s="22">
        <f>1546+25</f>
        <v>1571</v>
      </c>
      <c r="E61" s="22"/>
      <c r="F61" s="22">
        <f>1610+25</f>
        <v>1635</v>
      </c>
      <c r="G61" s="22"/>
      <c r="H61" s="22">
        <f>1591+25</f>
        <v>1616</v>
      </c>
      <c r="I61" s="22"/>
      <c r="J61" s="22">
        <v>1625</v>
      </c>
      <c r="K61" s="22"/>
      <c r="L61" s="22">
        <v>1664</v>
      </c>
      <c r="M61" s="22"/>
      <c r="N61" s="22">
        <v>1678</v>
      </c>
    </row>
    <row r="62" spans="1:17" x14ac:dyDescent="0.4">
      <c r="A62" s="20" t="s">
        <v>28</v>
      </c>
      <c r="B62" s="20"/>
      <c r="C62" s="20"/>
      <c r="D62" s="22">
        <f>16+189</f>
        <v>205</v>
      </c>
      <c r="E62" s="22"/>
      <c r="F62" s="22">
        <f>22+150</f>
        <v>172</v>
      </c>
      <c r="G62" s="22"/>
      <c r="H62" s="22">
        <f>24+132</f>
        <v>156</v>
      </c>
      <c r="I62" s="22"/>
      <c r="J62" s="22">
        <v>140</v>
      </c>
      <c r="K62" s="22"/>
      <c r="L62" s="22">
        <v>171</v>
      </c>
      <c r="M62" s="22"/>
      <c r="N62" s="22">
        <v>206</v>
      </c>
    </row>
    <row r="63" spans="1:17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7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1706</v>
      </c>
      <c r="E66" s="22"/>
      <c r="F66" s="22">
        <v>1963</v>
      </c>
      <c r="G66" s="22"/>
      <c r="H66" s="22">
        <v>2936</v>
      </c>
      <c r="I66" s="22"/>
      <c r="J66" s="22">
        <v>2010</v>
      </c>
      <c r="K66" s="22"/>
      <c r="L66" s="22">
        <v>3770</v>
      </c>
      <c r="M66" s="22"/>
      <c r="N66" s="22">
        <v>1134</v>
      </c>
    </row>
    <row r="67" spans="1:14" x14ac:dyDescent="0.4">
      <c r="A67" s="20" t="s">
        <v>33</v>
      </c>
      <c r="B67" s="20"/>
      <c r="C67" s="20"/>
      <c r="D67" s="22">
        <v>1.74</v>
      </c>
      <c r="E67" s="22"/>
      <c r="F67" s="22">
        <v>2.0099999999999998</v>
      </c>
      <c r="G67" s="22"/>
      <c r="H67" s="22">
        <v>3.02</v>
      </c>
      <c r="I67" s="22"/>
      <c r="J67" s="22">
        <v>2.08</v>
      </c>
      <c r="K67" s="22"/>
      <c r="L67" s="22">
        <v>3.98</v>
      </c>
      <c r="M67" s="22"/>
      <c r="N67" s="22">
        <v>1.23</v>
      </c>
    </row>
    <row r="68" spans="1:14" x14ac:dyDescent="0.4">
      <c r="A68" s="20" t="s">
        <v>34</v>
      </c>
      <c r="B68" s="20"/>
      <c r="C68" s="20"/>
      <c r="D68" s="22">
        <v>34393</v>
      </c>
      <c r="E68" s="22"/>
      <c r="F68" s="22">
        <v>32585</v>
      </c>
      <c r="G68" s="22"/>
      <c r="H68" s="22">
        <v>32224</v>
      </c>
      <c r="I68" s="22"/>
      <c r="J68" s="22">
        <v>30764</v>
      </c>
      <c r="K68" s="22"/>
      <c r="L68" s="22">
        <v>29857</v>
      </c>
      <c r="M68" s="22"/>
      <c r="N68" s="22">
        <v>25837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402</v>
      </c>
      <c r="E75" s="22"/>
      <c r="F75" s="22">
        <v>2283</v>
      </c>
      <c r="G75" s="22"/>
      <c r="H75" s="22">
        <v>2349</v>
      </c>
      <c r="I75" s="22"/>
      <c r="J75" s="22">
        <v>2306</v>
      </c>
      <c r="K75" s="22"/>
      <c r="L75" s="22">
        <v>2275</v>
      </c>
      <c r="M75" s="22"/>
      <c r="N75" s="22">
        <v>1775</v>
      </c>
    </row>
    <row r="76" spans="1:14" x14ac:dyDescent="0.4">
      <c r="A76" s="20" t="s">
        <v>42</v>
      </c>
      <c r="B76" s="20"/>
      <c r="C76" s="20"/>
      <c r="D76" s="22">
        <f>35324+390</f>
        <v>35714</v>
      </c>
      <c r="E76" s="22"/>
      <c r="F76" s="22">
        <f>35093+390</f>
        <v>35483</v>
      </c>
      <c r="G76" s="22"/>
      <c r="H76" s="22">
        <f>31329+390</f>
        <v>31719</v>
      </c>
      <c r="I76" s="22"/>
      <c r="J76" s="22">
        <v>34465</v>
      </c>
      <c r="K76" s="22"/>
      <c r="L76" s="22">
        <v>32565</v>
      </c>
      <c r="M76" s="22"/>
      <c r="N76" s="22">
        <v>32216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70509</v>
      </c>
      <c r="E78" s="22"/>
      <c r="F78" s="22">
        <f>SUM(F68:F77)</f>
        <v>70351</v>
      </c>
      <c r="G78" s="22"/>
      <c r="H78" s="22">
        <f>SUM(H68:H77)</f>
        <v>66292</v>
      </c>
      <c r="I78" s="22"/>
      <c r="J78" s="22">
        <v>67535</v>
      </c>
      <c r="K78" s="22"/>
      <c r="L78" s="22">
        <v>64697</v>
      </c>
      <c r="M78" s="22"/>
      <c r="N78" s="22">
        <v>59828</v>
      </c>
    </row>
    <row r="79" spans="1:14" x14ac:dyDescent="0.4">
      <c r="A79" s="20" t="s">
        <v>45</v>
      </c>
      <c r="B79" s="20"/>
      <c r="C79" s="20"/>
      <c r="D79" s="22">
        <v>3373</v>
      </c>
      <c r="E79" s="22"/>
      <c r="F79" s="22">
        <v>1819</v>
      </c>
      <c r="G79" s="22"/>
      <c r="H79" s="22">
        <v>4710</v>
      </c>
      <c r="I79" s="22"/>
      <c r="J79" s="22">
        <v>1349</v>
      </c>
      <c r="K79" s="22"/>
      <c r="L79" s="22">
        <v>2088</v>
      </c>
      <c r="M79" s="22"/>
      <c r="N79" s="22">
        <v>2430</v>
      </c>
    </row>
    <row r="80" spans="1:14" x14ac:dyDescent="0.4">
      <c r="A80" s="20" t="s">
        <v>46</v>
      </c>
      <c r="B80" s="20"/>
      <c r="C80" s="20"/>
      <c r="D80" s="22">
        <v>3330</v>
      </c>
      <c r="E80" s="22"/>
      <c r="F80" s="22">
        <v>2031</v>
      </c>
      <c r="G80" s="22"/>
      <c r="H80" s="22">
        <v>1370</v>
      </c>
      <c r="I80" s="22"/>
      <c r="J80" s="22">
        <v>714</v>
      </c>
      <c r="K80" s="22"/>
      <c r="L80" s="22">
        <v>929</v>
      </c>
      <c r="M80" s="22"/>
      <c r="N80" s="22">
        <v>1267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1829</v>
      </c>
      <c r="E82" s="22"/>
      <c r="F82" s="22">
        <v>1954</v>
      </c>
      <c r="G82" s="22"/>
      <c r="H82" s="22">
        <v>3028</v>
      </c>
      <c r="I82" s="22"/>
      <c r="J82" s="22">
        <v>2084</v>
      </c>
      <c r="K82" s="22"/>
      <c r="L82" s="22">
        <v>3849</v>
      </c>
      <c r="M82" s="22"/>
      <c r="N82" s="22">
        <v>1204</v>
      </c>
    </row>
    <row r="83" spans="1:14" x14ac:dyDescent="0.4">
      <c r="A83" s="20" t="s">
        <v>49</v>
      </c>
      <c r="B83" s="20"/>
      <c r="C83" s="20"/>
      <c r="D83" s="22">
        <v>7573</v>
      </c>
      <c r="E83" s="22"/>
      <c r="F83" s="22">
        <v>6527</v>
      </c>
      <c r="G83" s="22"/>
      <c r="H83" s="22">
        <v>5780</v>
      </c>
      <c r="I83" s="22"/>
      <c r="J83" s="22">
        <v>5971</v>
      </c>
      <c r="K83" s="22"/>
      <c r="L83" s="22">
        <v>5427</v>
      </c>
      <c r="M83" s="22"/>
      <c r="N83" s="22">
        <v>5576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18</v>
      </c>
      <c r="E85" s="22"/>
      <c r="F85" s="22">
        <v>309</v>
      </c>
      <c r="G85" s="22"/>
      <c r="H85" s="22">
        <v>681</v>
      </c>
      <c r="I85" s="22"/>
      <c r="J85" s="22">
        <v>-106</v>
      </c>
      <c r="K85" s="22"/>
      <c r="L85" s="22">
        <v>-361</v>
      </c>
      <c r="M85" s="22"/>
      <c r="N85" s="22">
        <v>664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552-201-568-586+160-200</f>
        <v>-843</v>
      </c>
      <c r="E88" s="22"/>
      <c r="F88" s="22">
        <f>591-24-268-461-186+592</f>
        <v>244</v>
      </c>
      <c r="G88" s="22"/>
      <c r="H88" s="22">
        <f>201-27+222-663+613</f>
        <v>346</v>
      </c>
      <c r="I88" s="22"/>
      <c r="J88" s="22">
        <v>1771</v>
      </c>
      <c r="K88" s="22"/>
      <c r="L88" s="22">
        <v>596</v>
      </c>
      <c r="M88" s="22"/>
      <c r="N88" s="22">
        <v>1434</v>
      </c>
    </row>
    <row r="89" spans="1:14" x14ac:dyDescent="0.4">
      <c r="A89" s="20" t="s">
        <v>54</v>
      </c>
      <c r="B89" s="20"/>
      <c r="C89" s="20"/>
      <c r="D89" s="22">
        <v>7981</v>
      </c>
      <c r="E89" s="22"/>
      <c r="F89" s="22">
        <v>8048</v>
      </c>
      <c r="G89" s="22"/>
      <c r="H89" s="22">
        <v>7248</v>
      </c>
      <c r="I89" s="22"/>
      <c r="J89" s="22">
        <v>7594</v>
      </c>
      <c r="K89" s="22"/>
      <c r="L89" s="22">
        <v>7584</v>
      </c>
      <c r="M89" s="22"/>
      <c r="N89" s="22">
        <v>8553</v>
      </c>
    </row>
    <row r="90" spans="1:14" x14ac:dyDescent="0.4">
      <c r="A90" s="20" t="s">
        <v>55</v>
      </c>
      <c r="B90" s="20"/>
      <c r="C90" s="20"/>
      <c r="D90" s="22">
        <v>1497</v>
      </c>
      <c r="E90" s="22"/>
      <c r="F90" s="22">
        <v>1492</v>
      </c>
      <c r="G90" s="22"/>
      <c r="H90" s="22">
        <v>1408</v>
      </c>
      <c r="I90" s="22"/>
      <c r="J90" s="22">
        <v>1332</v>
      </c>
      <c r="K90" s="22"/>
      <c r="L90" s="22">
        <v>1236</v>
      </c>
      <c r="M90" s="22"/>
      <c r="N90" s="22">
        <v>1166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1505</v>
      </c>
      <c r="E92" s="22"/>
      <c r="F92" s="22">
        <v>1521</v>
      </c>
      <c r="G92" s="22"/>
      <c r="H92" s="22">
        <v>1470</v>
      </c>
      <c r="I92" s="22"/>
      <c r="J92" s="22">
        <v>1421</v>
      </c>
      <c r="K92" s="22"/>
      <c r="L92" s="22">
        <v>2430</v>
      </c>
      <c r="M92" s="22"/>
      <c r="N92" s="22">
        <v>1340</v>
      </c>
    </row>
    <row r="93" spans="1:14" x14ac:dyDescent="0.4">
      <c r="A93" s="20" t="s">
        <v>58</v>
      </c>
      <c r="B93" s="20"/>
      <c r="C93" s="20"/>
      <c r="D93" s="22">
        <v>281</v>
      </c>
      <c r="E93" s="22"/>
      <c r="F93" s="22">
        <v>10</v>
      </c>
      <c r="G93" s="22"/>
      <c r="H93" s="22">
        <v>265</v>
      </c>
      <c r="I93" s="22"/>
      <c r="J93" s="22">
        <v>95</v>
      </c>
      <c r="K93" s="22"/>
      <c r="L93" s="22">
        <v>540</v>
      </c>
      <c r="M93" s="22"/>
      <c r="N93" s="22">
        <v>-441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1499</v>
      </c>
      <c r="E96" s="22"/>
      <c r="F96" s="22">
        <v>1495</v>
      </c>
      <c r="G96" s="22"/>
      <c r="H96" s="22">
        <v>1412</v>
      </c>
      <c r="I96" s="22"/>
      <c r="J96" s="22">
        <v>1339</v>
      </c>
      <c r="K96" s="22"/>
      <c r="L96" s="22">
        <v>1243</v>
      </c>
      <c r="M96" s="22"/>
      <c r="N96" s="22">
        <v>1172</v>
      </c>
    </row>
    <row r="97" spans="1:14" x14ac:dyDescent="0.4">
      <c r="A97" s="20" t="s">
        <v>60</v>
      </c>
      <c r="B97" s="20"/>
      <c r="C97" s="20"/>
      <c r="D97" s="22">
        <v>1.53</v>
      </c>
      <c r="E97" s="22"/>
      <c r="F97" s="22">
        <v>1.53</v>
      </c>
      <c r="G97" s="22"/>
      <c r="H97" s="22">
        <v>1.45</v>
      </c>
      <c r="I97" s="22"/>
      <c r="J97" s="22">
        <v>1.38</v>
      </c>
      <c r="K97" s="22"/>
      <c r="L97" s="22">
        <v>1.31</v>
      </c>
      <c r="M97" s="22"/>
      <c r="N97" s="22">
        <v>1.264</v>
      </c>
    </row>
    <row r="98" spans="1:14" x14ac:dyDescent="0.4">
      <c r="A98" s="20" t="s">
        <v>61</v>
      </c>
      <c r="B98" s="20"/>
      <c r="C98" s="20"/>
      <c r="D98" s="22">
        <v>1.53</v>
      </c>
      <c r="E98" s="22"/>
      <c r="F98" s="22">
        <v>1.53</v>
      </c>
      <c r="G98" s="22"/>
      <c r="H98" s="22">
        <v>1.45</v>
      </c>
      <c r="I98" s="22"/>
      <c r="J98" s="22">
        <v>1.38</v>
      </c>
      <c r="K98" s="22"/>
      <c r="L98" s="22">
        <v>1.31</v>
      </c>
      <c r="M98" s="22"/>
      <c r="N98" s="22">
        <v>1.264</v>
      </c>
    </row>
    <row r="99" spans="1:14" x14ac:dyDescent="0.4">
      <c r="A99" s="20" t="s">
        <v>62</v>
      </c>
      <c r="B99" s="20"/>
      <c r="C99" s="20"/>
      <c r="D99" s="22">
        <v>41.37</v>
      </c>
      <c r="E99" s="22"/>
      <c r="F99" s="22">
        <v>50.54</v>
      </c>
      <c r="G99" s="22"/>
      <c r="H99" s="22">
        <v>51.18</v>
      </c>
      <c r="I99" s="22"/>
      <c r="J99" s="22">
        <v>47.4</v>
      </c>
      <c r="K99" s="22"/>
      <c r="L99" s="22">
        <v>42.67</v>
      </c>
      <c r="M99" s="22"/>
      <c r="N99" s="22">
        <v>37.700000000000003</v>
      </c>
    </row>
    <row r="100" spans="1:14" x14ac:dyDescent="0.4">
      <c r="A100" s="20" t="s">
        <v>63</v>
      </c>
      <c r="B100" s="20"/>
      <c r="C100" s="20"/>
      <c r="D100" s="22">
        <v>27.35</v>
      </c>
      <c r="E100" s="22"/>
      <c r="F100" s="22">
        <v>29.28</v>
      </c>
      <c r="G100" s="22"/>
      <c r="H100" s="22">
        <v>43.42</v>
      </c>
      <c r="I100" s="22"/>
      <c r="J100" s="22">
        <v>35.57</v>
      </c>
      <c r="K100" s="22"/>
      <c r="L100" s="22">
        <v>33.299999999999997</v>
      </c>
      <c r="M100" s="22"/>
      <c r="N100" s="22">
        <v>26.26</v>
      </c>
    </row>
    <row r="101" spans="1:14" x14ac:dyDescent="0.4">
      <c r="A101" s="20" t="s">
        <v>64</v>
      </c>
      <c r="B101" s="20"/>
      <c r="C101" s="20"/>
      <c r="D101" s="22">
        <v>41.19</v>
      </c>
      <c r="E101" s="22"/>
      <c r="F101" s="22">
        <v>42.22</v>
      </c>
      <c r="G101" s="22"/>
      <c r="H101" s="22">
        <v>45.59</v>
      </c>
      <c r="I101" s="22"/>
      <c r="J101" s="22">
        <v>45.1</v>
      </c>
      <c r="K101" s="22"/>
      <c r="L101" s="22">
        <v>39.409999999999997</v>
      </c>
      <c r="M101" s="22"/>
      <c r="N101" s="22">
        <v>35.49</v>
      </c>
    </row>
    <row r="102" spans="1:14" x14ac:dyDescent="0.4">
      <c r="A102" s="20" t="s">
        <v>65</v>
      </c>
      <c r="B102" s="20"/>
      <c r="C102" s="20"/>
      <c r="D102" s="22">
        <f>981.291-2</f>
        <v>979.29100000000005</v>
      </c>
      <c r="E102" s="22"/>
      <c r="F102" s="22">
        <f>977.466-2</f>
        <v>975.46600000000001</v>
      </c>
      <c r="G102" s="22"/>
      <c r="H102" s="22">
        <f>974.416-2</f>
        <v>972.41600000000005</v>
      </c>
      <c r="I102" s="22"/>
      <c r="J102" s="22">
        <v>968.18799999999999</v>
      </c>
      <c r="K102" s="22"/>
      <c r="L102" s="22">
        <v>963.33600000000001</v>
      </c>
      <c r="M102" s="22"/>
      <c r="N102" s="22">
        <v>924.03499999999997</v>
      </c>
    </row>
    <row r="103" spans="1:14" x14ac:dyDescent="0.4">
      <c r="A103" s="20" t="s">
        <v>91</v>
      </c>
      <c r="B103" s="20"/>
      <c r="C103" s="20"/>
      <c r="D103" s="22">
        <v>-2750</v>
      </c>
      <c r="E103" s="22"/>
      <c r="F103" s="22">
        <v>-3400</v>
      </c>
      <c r="G103" s="22"/>
      <c r="H103" s="22">
        <v>-3194</v>
      </c>
      <c r="I103" s="22"/>
      <c r="J103" s="22">
        <v>-2995</v>
      </c>
      <c r="K103" s="22"/>
      <c r="L103" s="22">
        <v>-2487</v>
      </c>
      <c r="M103" s="22"/>
      <c r="N103" s="22">
        <v>-2660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1.74</v>
      </c>
      <c r="F105" s="15">
        <f>F67/F94</f>
        <v>2.0099999999999998</v>
      </c>
      <c r="H105" s="15">
        <f>H67/H94</f>
        <v>3.02</v>
      </c>
      <c r="J105" s="15">
        <f>J67/J94</f>
        <v>2.08</v>
      </c>
      <c r="L105" s="15">
        <f>L67/L94</f>
        <v>3.98</v>
      </c>
      <c r="N105" s="15">
        <f>N67/N94</f>
        <v>1.23</v>
      </c>
    </row>
    <row r="106" spans="1:14" x14ac:dyDescent="0.4">
      <c r="B106" t="s">
        <v>60</v>
      </c>
      <c r="D106" s="15">
        <f>D97/D94</f>
        <v>1.53</v>
      </c>
      <c r="F106" s="15">
        <f>F97/F94</f>
        <v>1.53</v>
      </c>
      <c r="H106" s="15">
        <f>H97/H94</f>
        <v>1.45</v>
      </c>
      <c r="J106" s="15">
        <f>J97/J94</f>
        <v>1.38</v>
      </c>
      <c r="L106" s="15">
        <f>L97/L94</f>
        <v>1.31</v>
      </c>
      <c r="N106" s="15">
        <f>N97/N94</f>
        <v>1.264</v>
      </c>
    </row>
    <row r="107" spans="1:14" x14ac:dyDescent="0.4">
      <c r="B107" t="s">
        <v>61</v>
      </c>
      <c r="D107" s="15">
        <f>D98/D94</f>
        <v>1.53</v>
      </c>
      <c r="F107" s="15">
        <f>F98/F94</f>
        <v>1.53</v>
      </c>
      <c r="H107" s="15">
        <f>H98/H94</f>
        <v>1.45</v>
      </c>
      <c r="J107" s="15">
        <f>J98/J94</f>
        <v>1.38</v>
      </c>
      <c r="L107" s="15">
        <f>L98/L94</f>
        <v>1.31</v>
      </c>
      <c r="N107" s="15">
        <f>N98/N94</f>
        <v>1.264</v>
      </c>
    </row>
    <row r="108" spans="1:14" x14ac:dyDescent="0.4">
      <c r="B108" t="s">
        <v>62</v>
      </c>
      <c r="D108" s="15">
        <f>D99/D94</f>
        <v>41.37</v>
      </c>
      <c r="F108" s="15">
        <f>F99/F94</f>
        <v>50.54</v>
      </c>
      <c r="H108" s="15">
        <f>H99/H94</f>
        <v>51.18</v>
      </c>
      <c r="J108" s="15">
        <f>J99/J94</f>
        <v>47.4</v>
      </c>
      <c r="L108" s="15">
        <f>L99/L94</f>
        <v>42.67</v>
      </c>
      <c r="N108" s="15">
        <f>N99/N94</f>
        <v>37.700000000000003</v>
      </c>
    </row>
    <row r="109" spans="1:14" x14ac:dyDescent="0.4">
      <c r="B109" t="s">
        <v>63</v>
      </c>
      <c r="D109" s="15">
        <f>D100/D94</f>
        <v>27.35</v>
      </c>
      <c r="F109" s="15">
        <f>F100/F94</f>
        <v>29.28</v>
      </c>
      <c r="H109" s="15">
        <f>H100/H94</f>
        <v>43.42</v>
      </c>
      <c r="J109" s="15">
        <f>J100/J94</f>
        <v>35.57</v>
      </c>
      <c r="L109" s="15">
        <f>L100/L94</f>
        <v>33.299999999999997</v>
      </c>
      <c r="N109" s="15">
        <f>N100/N94</f>
        <v>26.26</v>
      </c>
    </row>
    <row r="110" spans="1:14" x14ac:dyDescent="0.4">
      <c r="B110" t="s">
        <v>64</v>
      </c>
      <c r="D110" s="15">
        <f>D101/D94</f>
        <v>41.19</v>
      </c>
      <c r="F110" s="15">
        <f>F101/F94</f>
        <v>42.22</v>
      </c>
      <c r="H110" s="15">
        <f>H101/H94</f>
        <v>45.59</v>
      </c>
      <c r="J110" s="15">
        <f>J101/J94</f>
        <v>45.1</v>
      </c>
      <c r="L110" s="15">
        <f>L101/L94</f>
        <v>39.409999999999997</v>
      </c>
      <c r="N110" s="15">
        <f>N101/N94</f>
        <v>35.49</v>
      </c>
    </row>
    <row r="111" spans="1:14" x14ac:dyDescent="0.4">
      <c r="B111" t="s">
        <v>65</v>
      </c>
      <c r="D111" s="16">
        <f>D102*D94</f>
        <v>979.29100000000005</v>
      </c>
      <c r="E111" s="16"/>
      <c r="F111" s="16">
        <f>F102*F94</f>
        <v>975.46600000000001</v>
      </c>
      <c r="G111" s="16"/>
      <c r="H111" s="16">
        <f>H102*H94</f>
        <v>972.41600000000005</v>
      </c>
      <c r="I111" s="16"/>
      <c r="J111" s="16">
        <f>J102*J94</f>
        <v>968.18799999999999</v>
      </c>
      <c r="K111" s="16"/>
      <c r="L111" s="16">
        <f>L102*L94</f>
        <v>963.33600000000001</v>
      </c>
      <c r="M111" s="16"/>
      <c r="N111" s="16">
        <f>N102*N94</f>
        <v>924.03499999999997</v>
      </c>
    </row>
    <row r="112" spans="1:14" x14ac:dyDescent="0.4">
      <c r="B112" t="s">
        <v>66</v>
      </c>
      <c r="D112" s="15">
        <f>ROUND(D68/D111,2)</f>
        <v>35.119999999999997</v>
      </c>
      <c r="F112" s="15">
        <f>ROUND(F68/F111,2)</f>
        <v>33.4</v>
      </c>
      <c r="H112" s="15">
        <f>ROUND(H68/H111,2)</f>
        <v>33.14</v>
      </c>
      <c r="J112" s="15">
        <f>ROUND(J68/J111,2)</f>
        <v>31.77</v>
      </c>
      <c r="L112" s="15">
        <f>ROUND(L68/L111,2)</f>
        <v>30.99</v>
      </c>
      <c r="N112" s="15">
        <f>ROUND(N68/N111,2)</f>
        <v>27.96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FIRSTENERGY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32544</v>
      </c>
      <c r="F8" s="34">
        <f>F78+F79+F81-F103</f>
        <v>29519</v>
      </c>
      <c r="H8" s="34">
        <f>H78+H79+H81-H103</f>
        <v>26953</v>
      </c>
      <c r="J8" s="34">
        <f>J78+J79+J81-J103</f>
        <v>25027</v>
      </c>
      <c r="L8" s="34">
        <f>L78+L79+L81-L103</f>
        <v>25980</v>
      </c>
    </row>
    <row r="9" spans="1:15" x14ac:dyDescent="0.4">
      <c r="B9" t="s">
        <v>5</v>
      </c>
      <c r="D9" s="9">
        <f>D80</f>
        <v>0</v>
      </c>
      <c r="F9" s="9">
        <f>F80</f>
        <v>2200</v>
      </c>
      <c r="H9" s="9">
        <f>H80</f>
        <v>1000</v>
      </c>
      <c r="J9" s="9">
        <f>J80</f>
        <v>1250</v>
      </c>
      <c r="L9" s="9">
        <f>L80</f>
        <v>300</v>
      </c>
    </row>
    <row r="10" spans="1:15" ht="15.4" thickBot="1" x14ac:dyDescent="0.45">
      <c r="B10" t="s">
        <v>7</v>
      </c>
      <c r="D10" s="10">
        <f>D8+D9</f>
        <v>32544</v>
      </c>
      <c r="F10" s="10">
        <f>F8+F9</f>
        <v>31719</v>
      </c>
      <c r="H10" s="10">
        <f>H8+H9</f>
        <v>27953</v>
      </c>
      <c r="J10" s="10">
        <f>J8+J9</f>
        <v>26277</v>
      </c>
      <c r="L10" s="10">
        <f>L8+L9</f>
        <v>26280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16</v>
      </c>
      <c r="E13" s="7" t="s">
        <v>3</v>
      </c>
      <c r="F13" s="30">
        <f>ROUND(AVERAGE(F108:F109)/F105,0)</f>
        <v>20</v>
      </c>
      <c r="G13" s="7" t="s">
        <v>3</v>
      </c>
      <c r="H13" s="30">
        <f>ROUND(AVERAGE(H108:H109)/H105,0)</f>
        <v>25</v>
      </c>
      <c r="I13" s="7" t="s">
        <v>3</v>
      </c>
      <c r="J13" s="30">
        <f>ROUND(AVERAGE(J108:J109)/J105,0)</f>
        <v>26</v>
      </c>
      <c r="K13" s="7" t="s">
        <v>3</v>
      </c>
      <c r="L13" s="30"/>
      <c r="M13" s="7" t="s">
        <v>3</v>
      </c>
      <c r="N13" s="30">
        <f>AVERAGE(D13,F13,H13,J13,L13)</f>
        <v>21.75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2.4889999999999999</v>
      </c>
      <c r="E14" s="3"/>
      <c r="F14" s="3">
        <f>ROUND(AVERAGE(F108:F109)/AVERAGE(F112,H112),3)</f>
        <v>2.875</v>
      </c>
      <c r="G14" s="3"/>
      <c r="H14" s="3">
        <f>ROUND(AVERAGE(H108:H109)/AVERAGE(H112,J112),3)</f>
        <v>3.274</v>
      </c>
      <c r="I14" s="3"/>
      <c r="J14" s="3">
        <f>ROUND(AVERAGE(J108:J109)/AVERAGE(J112,L112),3)</f>
        <v>3.149</v>
      </c>
      <c r="K14" s="3"/>
      <c r="L14" s="3">
        <f>ROUND(AVERAGE(L108:L109)/AVERAGE(L112,N112),3)</f>
        <v>2.7549999999999999</v>
      </c>
      <c r="M14" s="3"/>
      <c r="N14" s="3">
        <f>AVERAGE(D14,F14,H14,J14,L14)</f>
        <v>2.9083999999999994</v>
      </c>
    </row>
    <row r="15" spans="1:15" x14ac:dyDescent="0.4">
      <c r="B15" t="s">
        <v>9</v>
      </c>
      <c r="D15" s="3">
        <f>ROUND(D106/AVERAGE(D108:D109),3)</f>
        <v>4.3999999999999997E-2</v>
      </c>
      <c r="E15" s="3"/>
      <c r="F15" s="3">
        <f>ROUND(F106/AVERAGE(F108:F109),3)</f>
        <v>4.1000000000000002E-2</v>
      </c>
      <c r="G15" s="3"/>
      <c r="H15" s="3">
        <f>ROUND(H106/AVERAGE(H108:H109),3)</f>
        <v>3.5999999999999997E-2</v>
      </c>
      <c r="I15" s="3"/>
      <c r="J15" s="3">
        <f>ROUND(J106/AVERAGE(J108:J109),3)</f>
        <v>4.2000000000000003E-2</v>
      </c>
      <c r="K15" s="3"/>
      <c r="L15" s="3">
        <f>ROUND(L106/AVERAGE(L108:L109),3)</f>
        <v>4.5999999999999999E-2</v>
      </c>
      <c r="M15" s="3"/>
      <c r="N15" s="3">
        <f>AVERAGE(D15,F15,H15,J15,L15)</f>
        <v>4.1800000000000004E-2</v>
      </c>
    </row>
    <row r="16" spans="1:15" x14ac:dyDescent="0.4">
      <c r="B16" t="s">
        <v>10</v>
      </c>
      <c r="D16" s="3">
        <f>ROUND(D96/D66,3)</f>
        <v>0.69299999999999995</v>
      </c>
      <c r="E16" s="3"/>
      <c r="F16" s="3">
        <f>ROUND(F96/F66,3)</f>
        <v>0.84299999999999997</v>
      </c>
      <c r="G16" s="3"/>
      <c r="H16" s="3">
        <f>ROUND(H96/H66,3)</f>
        <v>0.90700000000000003</v>
      </c>
      <c r="I16" s="3"/>
      <c r="J16" s="3"/>
      <c r="K16" s="3"/>
      <c r="L16" s="3"/>
      <c r="M16" s="3"/>
      <c r="N16" s="3">
        <f>AVERAGE(D16,F16,H16,J16,L16)</f>
        <v>0.81433333333333335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0.73299999999999998</v>
      </c>
      <c r="E20" s="3"/>
      <c r="F20" s="3">
        <f>ROUND((+F76+F79)/F8,3)</f>
        <v>0.755</v>
      </c>
      <c r="G20" s="3"/>
      <c r="H20" s="3">
        <f>ROUND((+H76+H79)/H8,3)</f>
        <v>0.74199999999999999</v>
      </c>
      <c r="I20" s="3"/>
      <c r="J20" s="3">
        <f>ROUND((+J76+J79)/J8,3)</f>
        <v>0.72899999999999998</v>
      </c>
      <c r="K20" s="3"/>
      <c r="L20" s="3">
        <f>ROUND((+L76+L79)/L8,3)</f>
        <v>0.85399999999999998</v>
      </c>
      <c r="M20" s="3"/>
      <c r="N20" s="3">
        <f>AVERAGE(D20,F20,H20,J20,L20)</f>
        <v>0.76260000000000006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3.0000000000000001E-3</v>
      </c>
      <c r="K21" s="3"/>
      <c r="L21" s="3">
        <f>ROUND((SUM(L69:L75)+L81)/L8,3)</f>
        <v>0</v>
      </c>
      <c r="M21" s="3"/>
      <c r="N21" s="3">
        <f>AVERAGE(D21,F21,H21,J21,L21)</f>
        <v>6.0000000000000006E-4</v>
      </c>
    </row>
    <row r="22" spans="1:14" ht="17.25" x14ac:dyDescent="0.4">
      <c r="B22" s="32" t="s">
        <v>94</v>
      </c>
      <c r="D22" s="4">
        <f>ROUND((D68-D103)/D8,3)</f>
        <v>0.26700000000000002</v>
      </c>
      <c r="E22" s="3"/>
      <c r="F22" s="4">
        <f>ROUND((F68-F103)/F8,3)</f>
        <v>0.245</v>
      </c>
      <c r="G22" s="3"/>
      <c r="H22" s="4">
        <f>ROUND((H68-H103)/H8,3)</f>
        <v>0.25800000000000001</v>
      </c>
      <c r="I22" s="3"/>
      <c r="J22" s="4">
        <f>ROUND((J68-J103)/J8,3)</f>
        <v>0.26800000000000002</v>
      </c>
      <c r="K22" s="3"/>
      <c r="L22" s="4">
        <f>ROUND((L68-L103)/L8,3)</f>
        <v>0.14599999999999999</v>
      </c>
      <c r="M22" s="3"/>
      <c r="N22" s="4">
        <f>AVERAGE(D22,F22,H22,J22,L22)</f>
        <v>0.23679999999999998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0.73299999999999998</v>
      </c>
      <c r="E25" s="3"/>
      <c r="F25" s="3">
        <f>ROUND((+F76+F79+F80)/F10,3)</f>
        <v>0.77200000000000002</v>
      </c>
      <c r="G25" s="3"/>
      <c r="H25" s="3">
        <f>ROUND((+H76+H79+H80)/H10,3)</f>
        <v>0.751</v>
      </c>
      <c r="I25" s="3"/>
      <c r="J25" s="3">
        <f>ROUND((+J76+J79+J80)/J10,3)</f>
        <v>0.74199999999999999</v>
      </c>
      <c r="K25" s="3"/>
      <c r="L25" s="3">
        <f>ROUND((+L76+L79+L80)/L10,3)</f>
        <v>0.85599999999999998</v>
      </c>
      <c r="M25" s="3"/>
      <c r="N25" s="3">
        <f>AVERAGE(D25,F25,H25,J25,L25)</f>
        <v>0.77079999999999993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3.0000000000000001E-3</v>
      </c>
      <c r="K26" s="3"/>
      <c r="L26" s="3">
        <f>ROUND((SUM(L69:L75)+L81)/L10,3)</f>
        <v>0</v>
      </c>
      <c r="M26" s="3"/>
      <c r="N26" s="3">
        <f>AVERAGE(D26,F26,H26,J26,L26)</f>
        <v>6.0000000000000006E-4</v>
      </c>
    </row>
    <row r="27" spans="1:14" ht="17.25" x14ac:dyDescent="0.4">
      <c r="B27" s="32" t="s">
        <v>94</v>
      </c>
      <c r="D27" s="4">
        <f>ROUND((D68-D103)/D10,3)</f>
        <v>0.26700000000000002</v>
      </c>
      <c r="E27" s="3"/>
      <c r="F27" s="4">
        <f>ROUND((F68-F103)/F10,3)</f>
        <v>0.22800000000000001</v>
      </c>
      <c r="G27" s="3"/>
      <c r="H27" s="4">
        <f>ROUND((H68-H103)/H10,3)</f>
        <v>0.249</v>
      </c>
      <c r="I27" s="3"/>
      <c r="J27" s="4">
        <f>ROUND((J68-J103)/J10,3)</f>
        <v>0.255</v>
      </c>
      <c r="K27" s="3"/>
      <c r="L27" s="4">
        <f>ROUND((L68-L103)/L10,3)</f>
        <v>0.14399999999999999</v>
      </c>
      <c r="M27" s="3"/>
      <c r="N27" s="4">
        <f>AVERAGE(D27,F27,H27,J27,L27)</f>
        <v>0.2286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0.156</v>
      </c>
      <c r="E30" s="3"/>
      <c r="F30" s="3">
        <f>ROUND(+F66/(((F68-F103)+(H68-H103))/2),3)</f>
        <v>0.14099999999999999</v>
      </c>
      <c r="G30" s="3"/>
      <c r="H30" s="3">
        <f>ROUND(+H66/(((H68-H103)+(J68-J103))/2),3)</f>
        <v>0.13300000000000001</v>
      </c>
      <c r="I30" s="3"/>
      <c r="J30" s="3">
        <f>ROUND(+J66/(((J68-J103)+(L68-L103))/2),3)</f>
        <v>0.125</v>
      </c>
      <c r="K30" s="3"/>
      <c r="L30" s="3"/>
      <c r="M30" s="3"/>
      <c r="N30" s="3">
        <f>AVERAGE(D30,F30,H30,J30,L30)</f>
        <v>0.13874999999999998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0.84499999999999997</v>
      </c>
      <c r="E32" s="3"/>
      <c r="F32" s="3">
        <f>ROUND((+F58-F57)/F56,3)</f>
        <v>0.8</v>
      </c>
      <c r="G32" s="3"/>
      <c r="H32" s="3">
        <f>ROUND((+H58-H57)/H56,3)</f>
        <v>0.77300000000000002</v>
      </c>
      <c r="I32" s="3"/>
      <c r="J32" s="3">
        <f>ROUND((+J58-J57)/J56,3)</f>
        <v>0.76</v>
      </c>
      <c r="K32" s="3"/>
      <c r="L32" s="3">
        <f>ROUND((+L58-L57)/L56,3)</f>
        <v>0.79400000000000004</v>
      </c>
      <c r="M32" s="3"/>
      <c r="N32" s="3">
        <f>AVERAGE(D32,F32,H32,J32,L32)</f>
        <v>0.7944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2.37</v>
      </c>
      <c r="E35" s="7" t="s">
        <v>3</v>
      </c>
      <c r="F35" s="7">
        <f>ROUND(((+F66+F65+F64+F63+F61+F59+F57)/F61),2)</f>
        <v>2.06</v>
      </c>
      <c r="G35" s="7" t="s">
        <v>3</v>
      </c>
      <c r="H35" s="7">
        <f>ROUND(((+H66+H65+H64+H63+H61+H59+H57)/H61),2)</f>
        <v>2.09</v>
      </c>
      <c r="I35" s="7" t="s">
        <v>3</v>
      </c>
      <c r="J35" s="7">
        <f>ROUND(((+J66+J65+J64+J63+J61+J59+J57)/J61),2)</f>
        <v>2.5</v>
      </c>
      <c r="K35" s="7" t="s">
        <v>3</v>
      </c>
      <c r="L35" s="7"/>
      <c r="M35" s="7" t="s">
        <v>3</v>
      </c>
      <c r="N35" s="26">
        <f>AVERAGE(D35,F35,H35,J35,L35)</f>
        <v>2.2549999999999999</v>
      </c>
      <c r="O35" t="s">
        <v>3</v>
      </c>
    </row>
    <row r="36" spans="1:15" x14ac:dyDescent="0.4">
      <c r="B36" t="s">
        <v>21</v>
      </c>
      <c r="D36" s="7">
        <f>ROUND(((+D66+D65+D64+D63+D61)/(D61)),2)</f>
        <v>2.09</v>
      </c>
      <c r="E36" s="7" t="s">
        <v>3</v>
      </c>
      <c r="F36" s="7">
        <f>ROUND(((+F66+F65+F64+F63+F61)/(F61)),2)</f>
        <v>1.94</v>
      </c>
      <c r="G36" s="7" t="s">
        <v>3</v>
      </c>
      <c r="H36" s="7">
        <f>ROUND(((+H66+H65+H64+H63+H61)/(H61)),2)</f>
        <v>1.88</v>
      </c>
      <c r="I36" s="7" t="s">
        <v>3</v>
      </c>
      <c r="J36" s="7">
        <f>ROUND(((+J66+J65+J64+J63+J61)/(J61)),2)</f>
        <v>2.02</v>
      </c>
      <c r="K36" s="7" t="s">
        <v>3</v>
      </c>
      <c r="L36" s="7"/>
      <c r="M36" s="7" t="s">
        <v>3</v>
      </c>
      <c r="N36" s="26">
        <f>AVERAGE(D36,F36,H36,J36,L36)</f>
        <v>1.9824999999999999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2.09</v>
      </c>
      <c r="E37" s="7" t="s">
        <v>3</v>
      </c>
      <c r="F37" s="7">
        <f>ROUND(((+F66+F65+F64+F63+F61)/(F61+F63+F64+F65)),2)</f>
        <v>1.94</v>
      </c>
      <c r="G37" s="7" t="s">
        <v>3</v>
      </c>
      <c r="H37" s="7">
        <f>ROUND(((+H66+H65+H64+H63+H61)/(H61+H63+H64+H65)),2)</f>
        <v>1.88</v>
      </c>
      <c r="I37" s="7" t="s">
        <v>3</v>
      </c>
      <c r="J37" s="7">
        <f>ROUND(((+J66+J65+J64+J63+J61)/(J61+J63+J64+J65)),2)</f>
        <v>1.48</v>
      </c>
      <c r="K37" s="7" t="s">
        <v>3</v>
      </c>
      <c r="L37" s="7"/>
      <c r="M37" s="7" t="s">
        <v>3</v>
      </c>
      <c r="N37" s="26">
        <f>AVERAGE(D37,F37,H37,J37,L37)</f>
        <v>1.8474999999999997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2.2999999999999998</v>
      </c>
      <c r="E40" s="7" t="s">
        <v>3</v>
      </c>
      <c r="F40" s="7">
        <f>ROUND(((+F66+F65+F64+F63-F62+F61+F59+F57)/F61),2)</f>
        <v>1.99</v>
      </c>
      <c r="G40" s="7" t="s">
        <v>3</v>
      </c>
      <c r="H40" s="7">
        <f>ROUND(((+H66+H65+H64+H63-H62+H61+H59+H57)/H61),2)</f>
        <v>2.02</v>
      </c>
      <c r="I40" s="7" t="s">
        <v>3</v>
      </c>
      <c r="J40" s="7">
        <f>ROUND(((+J66+J65+J64+J63-J62+J61+J59+J57)/J61),2)</f>
        <v>2.44</v>
      </c>
      <c r="K40" s="7" t="s">
        <v>3</v>
      </c>
      <c r="L40" s="7"/>
      <c r="M40" s="7" t="s">
        <v>3</v>
      </c>
      <c r="N40" s="26">
        <f>AVERAGE(D40,F40,H40,J40,L40)</f>
        <v>2.1875</v>
      </c>
      <c r="O40" t="s">
        <v>3</v>
      </c>
    </row>
    <row r="41" spans="1:15" x14ac:dyDescent="0.4">
      <c r="B41" t="s">
        <v>21</v>
      </c>
      <c r="D41" s="7">
        <f>ROUND(((+D66+D65+D64+D63-D62+D61)/D61),2)</f>
        <v>2.02</v>
      </c>
      <c r="E41" s="7" t="s">
        <v>3</v>
      </c>
      <c r="F41" s="7">
        <f>ROUND(((+F66+F65+F64+F63-F62+F61)/F61),2)</f>
        <v>1.87</v>
      </c>
      <c r="G41" s="7" t="s">
        <v>3</v>
      </c>
      <c r="H41" s="7">
        <f>ROUND(((+H66+H65+H64+H63-H62+H61)/H61),2)</f>
        <v>1.81</v>
      </c>
      <c r="I41" s="7" t="s">
        <v>3</v>
      </c>
      <c r="J41" s="7">
        <f>ROUND(((+J66+J65+J64+J63-J62+J61)/J61),2)</f>
        <v>1.95</v>
      </c>
      <c r="K41" s="7" t="s">
        <v>3</v>
      </c>
      <c r="L41" s="7"/>
      <c r="M41" s="7" t="s">
        <v>3</v>
      </c>
      <c r="N41" s="26">
        <f>AVERAGE(D41,F41,H41,J41,L41)</f>
        <v>1.9125000000000001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2.02</v>
      </c>
      <c r="E42" s="7" t="s">
        <v>3</v>
      </c>
      <c r="F42" s="7">
        <f>ROUND(((+F66+F65+F64+F63-F62+F61)/(F61+F63+F64+F65)),2)</f>
        <v>1.87</v>
      </c>
      <c r="G42" s="7" t="s">
        <v>3</v>
      </c>
      <c r="H42" s="7">
        <f>ROUND(((+H66+H65+H64+H63-H62+H61)/(H61+H63+H64+H65)),2)</f>
        <v>1.81</v>
      </c>
      <c r="I42" s="7" t="s">
        <v>3</v>
      </c>
      <c r="J42" s="7">
        <f>ROUND(((+J66+J65+J64+J63-J62+J61)/(J61+J63+J64+J65)),2)</f>
        <v>1.43</v>
      </c>
      <c r="K42" s="7" t="s">
        <v>3</v>
      </c>
      <c r="L42" s="7"/>
      <c r="M42" s="7" t="s">
        <v>3</v>
      </c>
      <c r="N42" s="26">
        <f>AVERAGE(D42,F42,H42,J42,L42)</f>
        <v>1.7825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6.0999999999999999E-2</v>
      </c>
      <c r="E45" s="11"/>
      <c r="F45" s="11">
        <f>ROUND(F62/F66,3)</f>
        <v>7.6999999999999999E-2</v>
      </c>
      <c r="G45" s="11"/>
      <c r="H45" s="11">
        <f>ROUND(H62/H66,3)</f>
        <v>7.8E-2</v>
      </c>
      <c r="I45" s="11"/>
      <c r="J45" s="11">
        <f>ROUND(J62/J66,3)</f>
        <v>9.9000000000000005E-2</v>
      </c>
      <c r="K45" s="11"/>
      <c r="L45" s="11">
        <f>ROUND(L62/L66,3)</f>
        <v>-4.5999999999999999E-2</v>
      </c>
      <c r="M45" s="11"/>
      <c r="N45" s="3">
        <f t="shared" ref="N45:N50" si="0">AVERAGE(D45,F45,H45,J45,L45)</f>
        <v>5.3800000000000014E-2</v>
      </c>
    </row>
    <row r="46" spans="1:15" x14ac:dyDescent="0.4">
      <c r="B46" t="s">
        <v>17</v>
      </c>
      <c r="D46" s="17">
        <f>ROUND((D57+D59)/(D57+D59+D66+D63+D64+D65),3)</f>
        <v>0.20499999999999999</v>
      </c>
      <c r="E46" s="18"/>
      <c r="F46" s="17">
        <f>ROUND((F57+F59)/(F57+F59+F66+F63+F64+F65),3)</f>
        <v>0.112</v>
      </c>
      <c r="G46" s="18"/>
      <c r="H46" s="17">
        <f>ROUND((H57+H59)/(H57+H59+H66+H63+H64+H65),3)</f>
        <v>0.189</v>
      </c>
      <c r="I46" s="18"/>
      <c r="J46" s="17">
        <f>ROUND((J57+J59)/(J57+J59+J66+J63+J64+J65),3)</f>
        <v>0.32400000000000001</v>
      </c>
      <c r="K46" s="18"/>
      <c r="L46" s="17"/>
      <c r="M46" s="18"/>
      <c r="N46" s="3">
        <f t="shared" si="0"/>
        <v>0.20750000000000002</v>
      </c>
    </row>
    <row r="47" spans="1:15" ht="17.25" x14ac:dyDescent="0.4">
      <c r="B47" s="33" t="s">
        <v>100</v>
      </c>
      <c r="D47" s="11">
        <f>ROUND(((+D82+D83+D84+D85+D86-D87+D88-D90-D91)/(+D89-D87)),3)</f>
        <v>0.66400000000000003</v>
      </c>
      <c r="E47" s="12"/>
      <c r="F47" s="11">
        <f>ROUND(((+F82+F83+F84+F85+F86-F87+F88-F90-F91)/(+F89-F87)),3)</f>
        <v>0.22500000000000001</v>
      </c>
      <c r="G47" s="12"/>
      <c r="H47" s="11">
        <f>ROUND(((+H82+H83+H84+H85+H86-H87+H88-H90-H91)/(+H89-H87)),3)</f>
        <v>0.56799999999999995</v>
      </c>
      <c r="I47" s="12"/>
      <c r="J47" s="11">
        <f>ROUND(((+J82+J83+J84+J85+J86-J87+J88-J90-J91)/(+J89-J87)),3)</f>
        <v>0.41199999999999998</v>
      </c>
      <c r="K47" s="12"/>
      <c r="L47" s="11">
        <f>ROUND(((+L82+L83+L84+L85+L86-L87+L88-L90-L91)/(+L89-L87)),3)</f>
        <v>1.1140000000000001</v>
      </c>
      <c r="M47" s="12"/>
      <c r="N47" s="3">
        <f t="shared" si="0"/>
        <v>0.59659999999999991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0.10199999999999999</v>
      </c>
      <c r="E48" s="12"/>
      <c r="F48" s="11">
        <f>ROUND(((+F82+F83+F84+F85+F86-F87+F88)/(AVERAGE(F76,H76)+AVERAGE(F79,H79)+AVERAGE(F80,H80))),3)</f>
        <v>6.3E-2</v>
      </c>
      <c r="G48" s="12"/>
      <c r="H48" s="11">
        <f>ROUND(((+H82+H83+H84+H85+H86-H87+H88)/(AVERAGE(H76,J76)+AVERAGE(H79,J79)+AVERAGE(H80,J80))),3)</f>
        <v>0.115</v>
      </c>
      <c r="I48" s="12"/>
      <c r="J48" s="11">
        <f>ROUND(((+J82+J83+J84+J85+J86-J87+J88)/(AVERAGE(J76,L76)+AVERAGE(J79,L79)+AVERAGE(J80,L80))),3)</f>
        <v>8.5999999999999993E-2</v>
      </c>
      <c r="K48" s="12"/>
      <c r="L48" s="11">
        <f>ROUND(((+L82+L83+L84+L85+L86-L87+L88)/(AVERAGE(L76,N76)+AVERAGE(L79,N79)+AVERAGE(L80,N80))),3)</f>
        <v>0.16900000000000001</v>
      </c>
      <c r="M48" s="12"/>
      <c r="N48" s="3">
        <f t="shared" si="0"/>
        <v>0.10700000000000001</v>
      </c>
    </row>
    <row r="49" spans="1:15" ht="17.25" x14ac:dyDescent="0.4">
      <c r="B49" s="33" t="s">
        <v>102</v>
      </c>
      <c r="D49" s="27">
        <f>ROUND(((+D82+D83+D84+D85+D86-D87+D88+D92)/D61),2)</f>
        <v>3.12</v>
      </c>
      <c r="E49" t="s">
        <v>3</v>
      </c>
      <c r="F49" s="27">
        <f>ROUND(((+F82+F83+F84+F85+F86-F87+F88+F92)/F61),2)</f>
        <v>2.27</v>
      </c>
      <c r="G49" t="s">
        <v>3</v>
      </c>
      <c r="H49" s="27">
        <f>ROUND(((+H82+H83+H84+H85+H86-H87+H88+H92)/H61),2)</f>
        <v>3.19</v>
      </c>
      <c r="I49" t="s">
        <v>3</v>
      </c>
      <c r="J49" s="27">
        <f>ROUND(((+J82+J83+J84+J85+J86-J87+J88+J92)/J61),2)</f>
        <v>2.87</v>
      </c>
      <c r="K49" t="s">
        <v>3</v>
      </c>
      <c r="L49" s="27">
        <f>ROUND(((+L82+L83+L84+L85+L86-L87+L88+L92)/L61),2)</f>
        <v>4.13</v>
      </c>
      <c r="M49" t="s">
        <v>3</v>
      </c>
      <c r="N49" s="27">
        <f t="shared" si="0"/>
        <v>3.1159999999999997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2.91</v>
      </c>
      <c r="E50" t="s">
        <v>3</v>
      </c>
      <c r="F50" s="27">
        <f>ROUND(((+F82+F83+F84+F85+F86-F87+F88-F91)/+F90),2)</f>
        <v>1.71</v>
      </c>
      <c r="G50" t="s">
        <v>3</v>
      </c>
      <c r="H50" s="27">
        <f>ROUND(((+H82+H83+H84+H85+H86-H87+H88-H91)/+H90),2)</f>
        <v>2.86</v>
      </c>
      <c r="I50" t="s">
        <v>3</v>
      </c>
      <c r="J50" s="27">
        <f>ROUND(((+J82+J83+J84+J85+J86-J87+J88-J91)/+J90),2)</f>
        <v>2.5499999999999998</v>
      </c>
      <c r="K50" t="s">
        <v>3</v>
      </c>
      <c r="L50" s="27">
        <f>ROUND(((+L82+L83+L84+L85+L86-L87+L88-L91)/+L90),2)</f>
        <v>5.95</v>
      </c>
      <c r="M50" t="s">
        <v>3</v>
      </c>
      <c r="N50" s="27">
        <f t="shared" si="0"/>
        <v>3.1960000000000002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81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11132</v>
      </c>
      <c r="E56" s="22"/>
      <c r="F56" s="22">
        <v>10790</v>
      </c>
      <c r="G56" s="22"/>
      <c r="H56" s="22">
        <v>11035</v>
      </c>
      <c r="I56" s="22"/>
      <c r="J56" s="22">
        <v>11261</v>
      </c>
      <c r="K56" s="22"/>
      <c r="L56" s="22">
        <v>14012</v>
      </c>
      <c r="M56" s="22"/>
      <c r="N56" s="22">
        <v>14562</v>
      </c>
    </row>
    <row r="57" spans="1:15" x14ac:dyDescent="0.4">
      <c r="A57" s="20" t="s">
        <v>23</v>
      </c>
      <c r="B57" s="20"/>
      <c r="C57" s="20"/>
      <c r="D57" s="22">
        <v>320</v>
      </c>
      <c r="E57" s="22"/>
      <c r="F57" s="22">
        <v>126</v>
      </c>
      <c r="G57" s="22"/>
      <c r="H57" s="22">
        <v>213</v>
      </c>
      <c r="I57" s="22"/>
      <c r="J57" s="22">
        <v>490</v>
      </c>
      <c r="K57" s="22"/>
      <c r="L57" s="22">
        <v>895</v>
      </c>
      <c r="M57" s="22"/>
      <c r="N57" s="22">
        <v>-3055</v>
      </c>
    </row>
    <row r="58" spans="1:15" x14ac:dyDescent="0.4">
      <c r="A58" s="20" t="s">
        <v>24</v>
      </c>
      <c r="B58" s="20"/>
      <c r="C58" s="20"/>
      <c r="D58" s="22">
        <f>9406+D57</f>
        <v>9726</v>
      </c>
      <c r="E58" s="22"/>
      <c r="F58" s="22">
        <f>8628+F57</f>
        <v>8754</v>
      </c>
      <c r="G58" s="22"/>
      <c r="H58" s="22">
        <f>8525+H57</f>
        <v>8738</v>
      </c>
      <c r="I58" s="22"/>
      <c r="J58" s="22">
        <v>9043</v>
      </c>
      <c r="K58" s="22"/>
      <c r="L58" s="22">
        <v>12016</v>
      </c>
      <c r="M58" s="22"/>
      <c r="N58" s="22">
        <v>9048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1726-D57+517+382+D62</f>
        <v>2380</v>
      </c>
      <c r="E60" s="22"/>
      <c r="F60" s="22">
        <f>2162-F57+432-477+F62</f>
        <v>2068</v>
      </c>
      <c r="G60" s="22"/>
      <c r="H60" s="22">
        <f>2510-H57+243-674+71+8</f>
        <v>1945</v>
      </c>
      <c r="I60" s="22"/>
      <c r="J60" s="22">
        <v>1982</v>
      </c>
      <c r="K60" s="22"/>
      <c r="L60" s="22">
        <v>-596</v>
      </c>
      <c r="M60" s="22"/>
      <c r="N60" s="22">
        <v>-5097</v>
      </c>
    </row>
    <row r="61" spans="1:15" x14ac:dyDescent="0.4">
      <c r="A61" s="20" t="s">
        <v>27</v>
      </c>
      <c r="B61" s="20"/>
      <c r="C61" s="20"/>
      <c r="D61" s="22">
        <v>1141</v>
      </c>
      <c r="E61" s="22"/>
      <c r="F61" s="22">
        <v>1065</v>
      </c>
      <c r="G61" s="22"/>
      <c r="H61" s="22">
        <v>1033</v>
      </c>
      <c r="I61" s="22"/>
      <c r="J61" s="22">
        <v>1006</v>
      </c>
      <c r="K61" s="22"/>
      <c r="L61" s="22">
        <v>1172</v>
      </c>
      <c r="M61" s="22"/>
      <c r="N61" s="22">
        <v>1146</v>
      </c>
    </row>
    <row r="62" spans="1:15" x14ac:dyDescent="0.4">
      <c r="A62" s="20" t="s">
        <v>28</v>
      </c>
      <c r="B62" s="20"/>
      <c r="C62" s="20"/>
      <c r="D62" s="22">
        <v>75</v>
      </c>
      <c r="E62" s="22"/>
      <c r="F62" s="22">
        <v>77</v>
      </c>
      <c r="G62" s="22"/>
      <c r="H62" s="22">
        <v>71</v>
      </c>
      <c r="I62" s="22"/>
      <c r="J62" s="22">
        <v>65</v>
      </c>
      <c r="K62" s="22"/>
      <c r="L62" s="22">
        <v>79</v>
      </c>
      <c r="M62" s="22"/>
      <c r="N62" s="22">
        <v>103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4</v>
      </c>
      <c r="I64" s="22"/>
      <c r="J64" s="22">
        <v>367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1239</v>
      </c>
      <c r="E66" s="22"/>
      <c r="F66" s="22">
        <v>1003</v>
      </c>
      <c r="G66" s="22"/>
      <c r="H66" s="22">
        <v>908</v>
      </c>
      <c r="I66" s="22"/>
      <c r="J66" s="22">
        <v>655</v>
      </c>
      <c r="K66" s="22"/>
      <c r="L66" s="22">
        <v>-1724</v>
      </c>
      <c r="M66" s="22"/>
      <c r="N66" s="22">
        <v>-6177</v>
      </c>
    </row>
    <row r="67" spans="1:14" x14ac:dyDescent="0.4">
      <c r="A67" s="20" t="s">
        <v>33</v>
      </c>
      <c r="B67" s="20"/>
      <c r="C67" s="20"/>
      <c r="D67" s="22">
        <v>2.27</v>
      </c>
      <c r="E67" s="22"/>
      <c r="F67" s="22">
        <v>1.85</v>
      </c>
      <c r="G67" s="22"/>
      <c r="H67" s="22">
        <v>1.69</v>
      </c>
      <c r="I67" s="22"/>
      <c r="J67" s="22">
        <v>1.33</v>
      </c>
      <c r="K67" s="22"/>
      <c r="L67" s="22">
        <v>-3.88</v>
      </c>
      <c r="M67" s="22"/>
      <c r="N67" s="22">
        <v>-14.49</v>
      </c>
    </row>
    <row r="68" spans="1:14" x14ac:dyDescent="0.4">
      <c r="A68" s="20" t="s">
        <v>34</v>
      </c>
      <c r="B68" s="20"/>
      <c r="C68" s="20"/>
      <c r="D68" s="22">
        <v>8675</v>
      </c>
      <c r="E68" s="22"/>
      <c r="F68" s="22">
        <v>7237</v>
      </c>
      <c r="G68" s="22"/>
      <c r="H68" s="22">
        <v>6975</v>
      </c>
      <c r="I68" s="22"/>
      <c r="J68" s="22">
        <v>6743</v>
      </c>
      <c r="K68" s="22"/>
      <c r="L68" s="22">
        <v>3925</v>
      </c>
      <c r="M68" s="22"/>
      <c r="N68" s="22">
        <v>6241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71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22248</v>
      </c>
      <c r="E76" s="22"/>
      <c r="F76" s="22">
        <v>22131</v>
      </c>
      <c r="G76" s="22"/>
      <c r="H76" s="22">
        <v>19618</v>
      </c>
      <c r="I76" s="22"/>
      <c r="J76" s="22">
        <v>17751</v>
      </c>
      <c r="K76" s="22"/>
      <c r="L76" s="22">
        <v>21115</v>
      </c>
      <c r="M76" s="22"/>
      <c r="N76" s="22">
        <v>18192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30923</v>
      </c>
      <c r="E78" s="22"/>
      <c r="F78" s="22">
        <f>SUM(F68:F77)</f>
        <v>29368</v>
      </c>
      <c r="G78" s="22"/>
      <c r="H78" s="22">
        <f>SUM(H68:H77)</f>
        <v>26593</v>
      </c>
      <c r="I78" s="22"/>
      <c r="J78" s="22">
        <v>24565</v>
      </c>
      <c r="K78" s="22"/>
      <c r="L78" s="22">
        <v>25040</v>
      </c>
      <c r="M78" s="22"/>
      <c r="N78" s="22">
        <v>24433</v>
      </c>
    </row>
    <row r="79" spans="1:14" x14ac:dyDescent="0.4">
      <c r="A79" s="20" t="s">
        <v>45</v>
      </c>
      <c r="B79" s="20"/>
      <c r="C79" s="20"/>
      <c r="D79" s="22">
        <v>1606</v>
      </c>
      <c r="E79" s="22"/>
      <c r="F79" s="22">
        <v>146</v>
      </c>
      <c r="G79" s="22"/>
      <c r="H79" s="22">
        <v>380</v>
      </c>
      <c r="I79" s="22"/>
      <c r="J79" s="22">
        <v>503</v>
      </c>
      <c r="K79" s="22"/>
      <c r="L79" s="22">
        <v>1082</v>
      </c>
      <c r="M79" s="22"/>
      <c r="N79" s="22">
        <v>1685</v>
      </c>
    </row>
    <row r="80" spans="1:14" x14ac:dyDescent="0.4">
      <c r="A80" s="20" t="s">
        <v>46</v>
      </c>
      <c r="B80" s="20"/>
      <c r="C80" s="20"/>
      <c r="D80" s="22">
        <v>0</v>
      </c>
      <c r="E80" s="22"/>
      <c r="F80" s="22">
        <v>2200</v>
      </c>
      <c r="G80" s="22"/>
      <c r="H80" s="22">
        <v>1000</v>
      </c>
      <c r="I80" s="22"/>
      <c r="J80" s="22">
        <v>1250</v>
      </c>
      <c r="K80" s="22"/>
      <c r="L80" s="22">
        <v>300</v>
      </c>
      <c r="M80" s="22"/>
      <c r="N80" s="22">
        <v>2675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1283</v>
      </c>
      <c r="E82" s="22"/>
      <c r="F82" s="22">
        <v>1079</v>
      </c>
      <c r="G82" s="22"/>
      <c r="H82" s="22">
        <v>912</v>
      </c>
      <c r="I82" s="22"/>
      <c r="J82" s="22">
        <v>1022</v>
      </c>
      <c r="K82" s="22"/>
      <c r="L82" s="22">
        <v>-1724</v>
      </c>
      <c r="M82" s="22"/>
      <c r="N82" s="22">
        <v>-6177</v>
      </c>
    </row>
    <row r="83" spans="1:14" x14ac:dyDescent="0.4">
      <c r="A83" s="20" t="s">
        <v>49</v>
      </c>
      <c r="B83" s="20"/>
      <c r="C83" s="20"/>
      <c r="D83" s="22">
        <v>1601</v>
      </c>
      <c r="E83" s="22"/>
      <c r="F83" s="22">
        <v>1199</v>
      </c>
      <c r="G83" s="22"/>
      <c r="H83" s="22">
        <v>1217</v>
      </c>
      <c r="I83" s="22"/>
      <c r="J83" s="22">
        <v>1384</v>
      </c>
      <c r="K83" s="22"/>
      <c r="L83" s="22">
        <v>1700</v>
      </c>
      <c r="M83" s="22"/>
      <c r="N83" s="22">
        <v>1997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297</v>
      </c>
      <c r="E85" s="22"/>
      <c r="F85" s="22">
        <v>113</v>
      </c>
      <c r="G85" s="22"/>
      <c r="H85" s="22">
        <v>252</v>
      </c>
      <c r="I85" s="22"/>
      <c r="J85" s="22">
        <v>485</v>
      </c>
      <c r="K85" s="22"/>
      <c r="L85" s="22">
        <v>847</v>
      </c>
      <c r="M85" s="22"/>
      <c r="N85" s="22">
        <v>-3055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-8</v>
      </c>
      <c r="M86" s="22"/>
      <c r="N86" s="22">
        <v>-8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-417-382+182-109-47+65</f>
        <v>-708</v>
      </c>
      <c r="E88" s="22"/>
      <c r="F88" s="22">
        <f>-76-301+477+36-978-106</f>
        <v>-948</v>
      </c>
      <c r="G88" s="22"/>
      <c r="H88" s="22">
        <f>-59-500-108+676+28-83</f>
        <v>-46</v>
      </c>
      <c r="I88" s="22"/>
      <c r="J88" s="22">
        <v>-1077</v>
      </c>
      <c r="K88" s="22"/>
      <c r="L88" s="22">
        <v>2988</v>
      </c>
      <c r="M88" s="22"/>
      <c r="N88" s="22">
        <v>10614</v>
      </c>
    </row>
    <row r="89" spans="1:14" x14ac:dyDescent="0.4">
      <c r="A89" s="20" t="s">
        <v>54</v>
      </c>
      <c r="B89" s="20"/>
      <c r="C89" s="20"/>
      <c r="D89" s="22">
        <v>2445</v>
      </c>
      <c r="E89" s="22"/>
      <c r="F89" s="22">
        <v>2657</v>
      </c>
      <c r="G89" s="22"/>
      <c r="H89" s="22">
        <v>2665</v>
      </c>
      <c r="I89" s="22"/>
      <c r="J89" s="22">
        <v>2675</v>
      </c>
      <c r="K89" s="22"/>
      <c r="L89" s="22">
        <v>2841</v>
      </c>
      <c r="M89" s="22"/>
      <c r="N89" s="22">
        <v>3067</v>
      </c>
    </row>
    <row r="90" spans="1:14" x14ac:dyDescent="0.4">
      <c r="A90" s="20" t="s">
        <v>55</v>
      </c>
      <c r="B90" s="20"/>
      <c r="C90" s="20"/>
      <c r="D90" s="22">
        <v>849</v>
      </c>
      <c r="E90" s="22"/>
      <c r="F90" s="22">
        <v>845</v>
      </c>
      <c r="G90" s="22"/>
      <c r="H90" s="22">
        <v>814</v>
      </c>
      <c r="I90" s="22"/>
      <c r="J90" s="22">
        <v>711</v>
      </c>
      <c r="K90" s="22"/>
      <c r="L90" s="22">
        <v>639</v>
      </c>
      <c r="M90" s="22"/>
      <c r="N90" s="22">
        <v>611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6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1085</v>
      </c>
      <c r="E92" s="22"/>
      <c r="F92" s="22">
        <v>970</v>
      </c>
      <c r="G92" s="22"/>
      <c r="H92" s="22">
        <v>960</v>
      </c>
      <c r="I92" s="22"/>
      <c r="J92" s="22">
        <v>1071</v>
      </c>
      <c r="K92" s="22"/>
      <c r="L92" s="22">
        <v>1039</v>
      </c>
      <c r="M92" s="22"/>
      <c r="N92" s="22">
        <v>1050</v>
      </c>
    </row>
    <row r="93" spans="1:14" x14ac:dyDescent="0.4">
      <c r="A93" s="20" t="s">
        <v>58</v>
      </c>
      <c r="B93" s="20"/>
      <c r="C93" s="20"/>
      <c r="D93" s="22">
        <v>-7</v>
      </c>
      <c r="E93" s="22"/>
      <c r="F93" s="22">
        <v>6</v>
      </c>
      <c r="G93" s="22"/>
      <c r="H93" s="22">
        <v>12</v>
      </c>
      <c r="I93" s="22"/>
      <c r="J93" s="22">
        <v>49</v>
      </c>
      <c r="K93" s="22"/>
      <c r="L93" s="22">
        <v>53</v>
      </c>
      <c r="M93" s="22"/>
      <c r="N93" s="22">
        <v>-16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859</v>
      </c>
      <c r="E96" s="22"/>
      <c r="F96" s="22">
        <v>846</v>
      </c>
      <c r="G96" s="22"/>
      <c r="H96" s="22">
        <v>824</v>
      </c>
      <c r="I96" s="22"/>
      <c r="J96" s="22">
        <v>906</v>
      </c>
      <c r="K96" s="22"/>
      <c r="L96" s="22">
        <v>639</v>
      </c>
      <c r="M96" s="22"/>
      <c r="N96" s="22">
        <v>611</v>
      </c>
    </row>
    <row r="97" spans="1:14" x14ac:dyDescent="0.4">
      <c r="A97" s="20" t="s">
        <v>60</v>
      </c>
      <c r="B97" s="20"/>
      <c r="C97" s="20"/>
      <c r="D97" s="22">
        <v>1.56</v>
      </c>
      <c r="E97" s="22"/>
      <c r="F97" s="22">
        <v>1.56</v>
      </c>
      <c r="G97" s="22"/>
      <c r="H97" s="22">
        <v>1.53</v>
      </c>
      <c r="I97" s="22"/>
      <c r="J97" s="22">
        <v>1.44</v>
      </c>
      <c r="K97" s="22"/>
      <c r="L97" s="22">
        <v>1.44</v>
      </c>
      <c r="M97" s="22"/>
      <c r="N97" s="22">
        <v>1.44</v>
      </c>
    </row>
    <row r="98" spans="1:14" x14ac:dyDescent="0.4">
      <c r="A98" s="20" t="s">
        <v>61</v>
      </c>
      <c r="B98" s="20"/>
      <c r="C98" s="20"/>
      <c r="D98" s="22">
        <v>1.56</v>
      </c>
      <c r="E98" s="22"/>
      <c r="F98" s="22">
        <v>1.56</v>
      </c>
      <c r="G98" s="22"/>
      <c r="H98" s="22">
        <v>1.53</v>
      </c>
      <c r="I98" s="22"/>
      <c r="J98" s="22">
        <v>1.44</v>
      </c>
      <c r="K98" s="22"/>
      <c r="L98" s="22">
        <v>1.44</v>
      </c>
      <c r="M98" s="22"/>
      <c r="N98" s="22">
        <v>1.44</v>
      </c>
    </row>
    <row r="99" spans="1:14" x14ac:dyDescent="0.4">
      <c r="A99" s="20" t="s">
        <v>62</v>
      </c>
      <c r="B99" s="20"/>
      <c r="C99" s="20"/>
      <c r="D99" s="22">
        <v>41.75</v>
      </c>
      <c r="E99" s="22"/>
      <c r="F99" s="22">
        <v>52.52</v>
      </c>
      <c r="G99" s="22"/>
      <c r="H99" s="22">
        <v>49.07</v>
      </c>
      <c r="I99" s="22"/>
      <c r="J99" s="22">
        <v>39.880000000000003</v>
      </c>
      <c r="K99" s="22"/>
      <c r="L99" s="22">
        <v>35.22</v>
      </c>
      <c r="M99" s="22"/>
      <c r="N99" s="22">
        <v>36.6</v>
      </c>
    </row>
    <row r="100" spans="1:14" x14ac:dyDescent="0.4">
      <c r="A100" s="20" t="s">
        <v>63</v>
      </c>
      <c r="B100" s="20"/>
      <c r="C100" s="20"/>
      <c r="D100" s="22">
        <v>29.25</v>
      </c>
      <c r="E100" s="22"/>
      <c r="F100" s="22">
        <v>22.85</v>
      </c>
      <c r="G100" s="22"/>
      <c r="H100" s="22">
        <v>36.29</v>
      </c>
      <c r="I100" s="22"/>
      <c r="J100" s="22">
        <v>29.335000000000001</v>
      </c>
      <c r="K100" s="22"/>
      <c r="L100" s="22">
        <v>27.93</v>
      </c>
      <c r="M100" s="22"/>
      <c r="N100" s="22">
        <v>29.33</v>
      </c>
    </row>
    <row r="101" spans="1:14" x14ac:dyDescent="0.4">
      <c r="A101" s="20" t="s">
        <v>64</v>
      </c>
      <c r="B101" s="20"/>
      <c r="C101" s="20"/>
      <c r="D101" s="22">
        <v>41.59</v>
      </c>
      <c r="E101" s="22"/>
      <c r="F101" s="22">
        <v>30.61</v>
      </c>
      <c r="G101" s="22"/>
      <c r="H101" s="22">
        <v>48.599997999999999</v>
      </c>
      <c r="I101" s="22"/>
      <c r="J101" s="22">
        <v>37.549999999999997</v>
      </c>
      <c r="K101" s="22"/>
      <c r="L101" s="22">
        <v>30.62</v>
      </c>
      <c r="M101" s="22"/>
      <c r="N101" s="22">
        <v>30.97</v>
      </c>
    </row>
    <row r="102" spans="1:14" x14ac:dyDescent="0.4">
      <c r="A102" s="20" t="s">
        <v>65</v>
      </c>
      <c r="B102" s="20"/>
      <c r="C102" s="20"/>
      <c r="D102" s="22">
        <v>570.26110400000005</v>
      </c>
      <c r="E102" s="22"/>
      <c r="F102" s="22">
        <v>543.11753299999998</v>
      </c>
      <c r="G102" s="22"/>
      <c r="H102" s="22">
        <v>540.65222200000005</v>
      </c>
      <c r="I102" s="22"/>
      <c r="J102" s="22">
        <v>511.91500000000002</v>
      </c>
      <c r="K102" s="22"/>
      <c r="L102" s="22">
        <v>445.334</v>
      </c>
      <c r="M102" s="22"/>
      <c r="N102" s="22">
        <v>442.34399999999999</v>
      </c>
    </row>
    <row r="103" spans="1:14" x14ac:dyDescent="0.4">
      <c r="A103" s="20" t="s">
        <v>91</v>
      </c>
      <c r="B103" s="20"/>
      <c r="C103" s="20"/>
      <c r="D103" s="22">
        <v>-15</v>
      </c>
      <c r="E103" s="22"/>
      <c r="F103" s="22">
        <v>-5</v>
      </c>
      <c r="G103" s="22"/>
      <c r="H103" s="22">
        <v>20</v>
      </c>
      <c r="I103" s="22"/>
      <c r="J103" s="22">
        <v>41</v>
      </c>
      <c r="K103" s="22"/>
      <c r="L103" s="22">
        <v>142</v>
      </c>
      <c r="M103" s="22"/>
      <c r="N103" s="22">
        <v>174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2.27</v>
      </c>
      <c r="F105" s="15">
        <f>F67/F94</f>
        <v>1.85</v>
      </c>
      <c r="H105" s="15">
        <f>H67/H94</f>
        <v>1.69</v>
      </c>
      <c r="J105" s="15">
        <f>J67/J94</f>
        <v>1.33</v>
      </c>
      <c r="L105" s="15">
        <f>L67/L94</f>
        <v>-3.88</v>
      </c>
      <c r="N105" s="15">
        <f>N67/N94</f>
        <v>-14.49</v>
      </c>
    </row>
    <row r="106" spans="1:14" x14ac:dyDescent="0.4">
      <c r="B106" t="s">
        <v>60</v>
      </c>
      <c r="D106" s="15">
        <f>D97/D94</f>
        <v>1.56</v>
      </c>
      <c r="F106" s="15">
        <f>F97/F94</f>
        <v>1.56</v>
      </c>
      <c r="H106" s="15">
        <f>H97/H94</f>
        <v>1.53</v>
      </c>
      <c r="J106" s="15">
        <f>J97/J94</f>
        <v>1.44</v>
      </c>
      <c r="L106" s="15">
        <f>L97/L94</f>
        <v>1.44</v>
      </c>
      <c r="N106" s="15">
        <f>N97/N94</f>
        <v>1.44</v>
      </c>
    </row>
    <row r="107" spans="1:14" x14ac:dyDescent="0.4">
      <c r="B107" t="s">
        <v>61</v>
      </c>
      <c r="D107" s="15">
        <f>D98/D94</f>
        <v>1.56</v>
      </c>
      <c r="F107" s="15">
        <f>F98/F94</f>
        <v>1.56</v>
      </c>
      <c r="H107" s="15">
        <f>H98/H94</f>
        <v>1.53</v>
      </c>
      <c r="J107" s="15">
        <f>J98/J94</f>
        <v>1.44</v>
      </c>
      <c r="L107" s="15">
        <f>L98/L94</f>
        <v>1.44</v>
      </c>
      <c r="N107" s="15">
        <f>N98/N94</f>
        <v>1.44</v>
      </c>
    </row>
    <row r="108" spans="1:14" x14ac:dyDescent="0.4">
      <c r="B108" t="s">
        <v>62</v>
      </c>
      <c r="D108" s="15">
        <f>D99/D94</f>
        <v>41.75</v>
      </c>
      <c r="F108" s="15">
        <f>F99/F94</f>
        <v>52.52</v>
      </c>
      <c r="H108" s="15">
        <f>H99/H94</f>
        <v>49.07</v>
      </c>
      <c r="J108" s="15">
        <f>J99/J94</f>
        <v>39.880000000000003</v>
      </c>
      <c r="L108" s="15">
        <f>L99/L94</f>
        <v>35.22</v>
      </c>
      <c r="N108" s="15">
        <f>N99/N94</f>
        <v>36.6</v>
      </c>
    </row>
    <row r="109" spans="1:14" x14ac:dyDescent="0.4">
      <c r="B109" t="s">
        <v>63</v>
      </c>
      <c r="D109" s="15">
        <f>D100/D94</f>
        <v>29.25</v>
      </c>
      <c r="F109" s="15">
        <f>F100/F94</f>
        <v>22.85</v>
      </c>
      <c r="H109" s="15">
        <f>H100/H94</f>
        <v>36.29</v>
      </c>
      <c r="J109" s="15">
        <f>J100/J94</f>
        <v>29.335000000000001</v>
      </c>
      <c r="L109" s="15">
        <f>L100/L94</f>
        <v>27.93</v>
      </c>
      <c r="N109" s="15">
        <f>N100/N94</f>
        <v>29.33</v>
      </c>
    </row>
    <row r="110" spans="1:14" x14ac:dyDescent="0.4">
      <c r="B110" t="s">
        <v>64</v>
      </c>
      <c r="D110" s="15">
        <f>D101/D94</f>
        <v>41.59</v>
      </c>
      <c r="F110" s="15">
        <f>F101/F94</f>
        <v>30.61</v>
      </c>
      <c r="H110" s="15">
        <f>H101/H94</f>
        <v>48.599997999999999</v>
      </c>
      <c r="J110" s="15">
        <f>J101/J94</f>
        <v>37.549999999999997</v>
      </c>
      <c r="L110" s="15">
        <f>L101/L94</f>
        <v>30.62</v>
      </c>
      <c r="N110" s="15">
        <f>N101/N94</f>
        <v>30.97</v>
      </c>
    </row>
    <row r="111" spans="1:14" x14ac:dyDescent="0.4">
      <c r="B111" t="s">
        <v>65</v>
      </c>
      <c r="D111" s="16">
        <f>D102*D94</f>
        <v>570.26110400000005</v>
      </c>
      <c r="E111" s="16"/>
      <c r="F111" s="16">
        <f>F102*F94</f>
        <v>543.11753299999998</v>
      </c>
      <c r="G111" s="16"/>
      <c r="H111" s="16">
        <f>H102*H94</f>
        <v>540.65222200000005</v>
      </c>
      <c r="I111" s="16"/>
      <c r="J111" s="16">
        <f>J102*J94</f>
        <v>511.91500000000002</v>
      </c>
      <c r="K111" s="16"/>
      <c r="L111" s="16">
        <f>L102*L94</f>
        <v>445.334</v>
      </c>
      <c r="M111" s="16"/>
      <c r="N111" s="16">
        <f>N102*N94</f>
        <v>442.34399999999999</v>
      </c>
    </row>
    <row r="112" spans="1:14" x14ac:dyDescent="0.4">
      <c r="B112" t="s">
        <v>66</v>
      </c>
      <c r="D112" s="15">
        <f>ROUND(D68/D111,2)</f>
        <v>15.21</v>
      </c>
      <c r="F112" s="15">
        <f>ROUND(F68/F111,2)</f>
        <v>13.32</v>
      </c>
      <c r="H112" s="15">
        <f>ROUND(H68/H111,2)</f>
        <v>12.9</v>
      </c>
      <c r="J112" s="15">
        <f>ROUND(J68/J111,2)</f>
        <v>13.17</v>
      </c>
      <c r="L112" s="15">
        <f>ROUND(L68/L111,2)</f>
        <v>8.81</v>
      </c>
      <c r="N112" s="15">
        <f>ROUND(N68/N111,2)</f>
        <v>14.11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NEXTERA ENERGY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98169</v>
      </c>
      <c r="F8" s="34">
        <f>F78+F79+F81-F103</f>
        <v>91103</v>
      </c>
      <c r="H8" s="34">
        <f>H78+H79+H81-H103</f>
        <v>81683</v>
      </c>
      <c r="J8" s="34">
        <f>J78+J79+J81-J103</f>
        <v>67567</v>
      </c>
      <c r="L8" s="34">
        <f>L78+L79+L81-L103</f>
        <v>62526</v>
      </c>
    </row>
    <row r="9" spans="1:15" x14ac:dyDescent="0.4">
      <c r="B9" t="s">
        <v>5</v>
      </c>
      <c r="D9" s="9">
        <f>D80</f>
        <v>2082</v>
      </c>
      <c r="F9" s="9">
        <f>F80</f>
        <v>2009</v>
      </c>
      <c r="H9" s="9">
        <f>H80</f>
        <v>2916</v>
      </c>
      <c r="J9" s="9">
        <f>J80</f>
        <v>8214</v>
      </c>
      <c r="L9" s="9">
        <f>L80</f>
        <v>1942</v>
      </c>
    </row>
    <row r="10" spans="1:15" ht="15.4" thickBot="1" x14ac:dyDescent="0.45">
      <c r="B10" t="s">
        <v>7</v>
      </c>
      <c r="D10" s="10">
        <f>D8+D9</f>
        <v>100251</v>
      </c>
      <c r="F10" s="10">
        <f>F8+F9</f>
        <v>93112</v>
      </c>
      <c r="H10" s="10">
        <f>H8+H9</f>
        <v>84599</v>
      </c>
      <c r="J10" s="10">
        <f>J8+J9</f>
        <v>75781</v>
      </c>
      <c r="L10" s="10">
        <f>L8+L9</f>
        <v>64468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45</v>
      </c>
      <c r="E13" s="7" t="s">
        <v>3</v>
      </c>
      <c r="F13" s="30">
        <f>ROUND(AVERAGE(F108:F109)/F105,0)</f>
        <v>43</v>
      </c>
      <c r="G13" s="7" t="s">
        <v>3</v>
      </c>
      <c r="H13" s="30">
        <f>ROUND(AVERAGE(H108:H109)/H105,0)</f>
        <v>26</v>
      </c>
      <c r="I13" s="7" t="s">
        <v>3</v>
      </c>
      <c r="J13" s="30">
        <f>ROUND(AVERAGE(J108:J109)/J105,0)</f>
        <v>12</v>
      </c>
      <c r="K13" s="7" t="s">
        <v>3</v>
      </c>
      <c r="L13" s="30">
        <f>ROUND(AVERAGE(L108:L109)/L105,0)</f>
        <v>12</v>
      </c>
      <c r="M13" s="7" t="s">
        <v>3</v>
      </c>
      <c r="N13" s="30">
        <f>AVERAGE(D13,F13,H13,J13,L13)</f>
        <v>27.6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4.3120000000000003</v>
      </c>
      <c r="E14" s="3"/>
      <c r="F14" s="3">
        <f>ROUND(AVERAGE(F108:F109)/AVERAGE(F112,H112),3)</f>
        <v>3.383</v>
      </c>
      <c r="G14" s="3"/>
      <c r="H14" s="3">
        <f>ROUND(AVERAGE(H108:H109)/AVERAGE(H112,J112),3)</f>
        <v>2.8119999999999998</v>
      </c>
      <c r="I14" s="3"/>
      <c r="J14" s="3">
        <f>ROUND(AVERAGE(J108:J109)/AVERAGE(J112,L112),3)</f>
        <v>2.508</v>
      </c>
      <c r="K14" s="3"/>
      <c r="L14" s="3">
        <f>ROUND(AVERAGE(L108:L109)/AVERAGE(L112,N112),3)</f>
        <v>2.4729999999999999</v>
      </c>
      <c r="M14" s="3"/>
      <c r="N14" s="3">
        <f>AVERAGE(D14,F14,H14,J14,L14)</f>
        <v>3.0975999999999999</v>
      </c>
    </row>
    <row r="15" spans="1:15" x14ac:dyDescent="0.4">
      <c r="B15" t="s">
        <v>9</v>
      </c>
      <c r="D15" s="3">
        <f>ROUND(D106/AVERAGE(D108:D109),3)</f>
        <v>1.9E-2</v>
      </c>
      <c r="E15" s="3"/>
      <c r="F15" s="3">
        <f>ROUND(F106/AVERAGE(F108:F109),3)</f>
        <v>2.1999999999999999E-2</v>
      </c>
      <c r="G15" s="3"/>
      <c r="H15" s="3">
        <f>ROUND(H106/AVERAGE(H108:H109),3)</f>
        <v>2.4E-2</v>
      </c>
      <c r="I15" s="3"/>
      <c r="J15" s="3">
        <f>ROUND(J106/AVERAGE(J108:J109),3)</f>
        <v>2.7E-2</v>
      </c>
      <c r="K15" s="3"/>
      <c r="L15" s="3">
        <f>ROUND(L106/AVERAGE(L108:L109),3)</f>
        <v>2.8000000000000001E-2</v>
      </c>
      <c r="M15" s="3"/>
      <c r="N15" s="3">
        <f>AVERAGE(D15,F15,H15,J15,L15)</f>
        <v>2.4E-2</v>
      </c>
    </row>
    <row r="16" spans="1:15" x14ac:dyDescent="0.4">
      <c r="B16" t="s">
        <v>10</v>
      </c>
      <c r="D16" s="3">
        <f>ROUND(D96/D66,3)</f>
        <v>0.84599999999999997</v>
      </c>
      <c r="E16" s="3"/>
      <c r="F16" s="3">
        <f>ROUND(F96/F66,3)</f>
        <v>0.94</v>
      </c>
      <c r="G16" s="3"/>
      <c r="H16" s="3">
        <f>ROUND(H96/H66,3)</f>
        <v>0.63900000000000001</v>
      </c>
      <c r="I16" s="3"/>
      <c r="J16" s="3">
        <f>ROUND(J96/J66,3)</f>
        <v>0.317</v>
      </c>
      <c r="K16" s="3"/>
      <c r="L16" s="3">
        <f>ROUND(L96/L66,3)</f>
        <v>0.34300000000000003</v>
      </c>
      <c r="M16" s="3"/>
      <c r="N16" s="3">
        <f>AVERAGE(D16,F16,H16,J16,L16)</f>
        <v>0.61699999999999999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0.53700000000000003</v>
      </c>
      <c r="E20" s="3"/>
      <c r="F20" s="3">
        <f>ROUND((+F76+F79)/F8,3)</f>
        <v>0.50600000000000001</v>
      </c>
      <c r="G20" s="3"/>
      <c r="H20" s="3">
        <f>ROUND((+H76+H79)/H8,3)</f>
        <v>0.48599999999999999</v>
      </c>
      <c r="I20" s="3"/>
      <c r="J20" s="3">
        <f>ROUND((+J76+J79)/J8,3)</f>
        <v>0.437</v>
      </c>
      <c r="K20" s="3"/>
      <c r="L20" s="3">
        <f>ROUND((+L76+L79)/L8,3)</f>
        <v>0.53</v>
      </c>
      <c r="M20" s="3"/>
      <c r="N20" s="3">
        <f>AVERAGE(D20,F20,H20,J20,L20)</f>
        <v>0.49920000000000009</v>
      </c>
    </row>
    <row r="21" spans="1:14" x14ac:dyDescent="0.4">
      <c r="B21" s="31" t="s">
        <v>93</v>
      </c>
      <c r="D21" s="3">
        <f>ROUND((SUM(D69:D75)+D81)/D8,3)</f>
        <v>8.4000000000000005E-2</v>
      </c>
      <c r="E21" s="3"/>
      <c r="F21" s="3">
        <f>ROUND((SUM(F69:F75)+F81)/F8,3)</f>
        <v>9.1999999999999998E-2</v>
      </c>
      <c r="G21" s="3"/>
      <c r="H21" s="3">
        <f>ROUND((SUM(H69:H75)+H81)/H8,3)</f>
        <v>5.8999999999999997E-2</v>
      </c>
      <c r="I21" s="3"/>
      <c r="J21" s="3">
        <f>ROUND((SUM(J69:J75)+J81)/J8,3)</f>
        <v>5.5E-2</v>
      </c>
      <c r="K21" s="3"/>
      <c r="L21" s="3">
        <f>ROUND((SUM(L69:L75)+L81)/L8,3)</f>
        <v>2.1000000000000001E-2</v>
      </c>
      <c r="M21" s="3"/>
      <c r="N21" s="3">
        <f>AVERAGE(D21,F21,H21,J21,L21)</f>
        <v>6.2199999999999998E-2</v>
      </c>
    </row>
    <row r="22" spans="1:14" ht="17.25" x14ac:dyDescent="0.4">
      <c r="B22" s="32" t="s">
        <v>94</v>
      </c>
      <c r="D22" s="4">
        <f>ROUND((D68-D103)/D8,3)</f>
        <v>0.379</v>
      </c>
      <c r="E22" s="3"/>
      <c r="F22" s="4">
        <f>ROUND((F68-F103)/F8,3)</f>
        <v>0.40200000000000002</v>
      </c>
      <c r="G22" s="3"/>
      <c r="H22" s="4">
        <f>ROUND((H68-H103)/H8,3)</f>
        <v>0.45500000000000002</v>
      </c>
      <c r="I22" s="3"/>
      <c r="J22" s="4">
        <f>ROUND((J68-J103)/J8,3)</f>
        <v>0.50800000000000001</v>
      </c>
      <c r="K22" s="3"/>
      <c r="L22" s="4">
        <f>ROUND((L68-L103)/L8,3)</f>
        <v>0.44900000000000001</v>
      </c>
      <c r="M22" s="3"/>
      <c r="N22" s="4">
        <f>AVERAGE(D22,F22,H22,J22,L22)</f>
        <v>0.43859999999999999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0.54700000000000004</v>
      </c>
      <c r="E25" s="3"/>
      <c r="F25" s="3">
        <f>ROUND((+F76+F79+F80)/F10,3)</f>
        <v>0.51600000000000001</v>
      </c>
      <c r="G25" s="3"/>
      <c r="H25" s="3">
        <f>ROUND((+H76+H79+H80)/H10,3)</f>
        <v>0.503</v>
      </c>
      <c r="I25" s="3"/>
      <c r="J25" s="3">
        <f>ROUND((+J76+J79+J80)/J10,3)</f>
        <v>0.498</v>
      </c>
      <c r="K25" s="3"/>
      <c r="L25" s="3">
        <f>ROUND((+L76+L79+L80)/L10,3)</f>
        <v>0.54400000000000004</v>
      </c>
      <c r="M25" s="3"/>
      <c r="N25" s="3">
        <f>AVERAGE(D25,F25,H25,J25,L25)</f>
        <v>0.52160000000000006</v>
      </c>
    </row>
    <row r="26" spans="1:14" x14ac:dyDescent="0.4">
      <c r="B26" s="31" t="s">
        <v>93</v>
      </c>
      <c r="D26" s="3">
        <f>ROUND((SUM(D69:D75)+D81)/D10,3)</f>
        <v>8.2000000000000003E-2</v>
      </c>
      <c r="E26" s="3"/>
      <c r="F26" s="3">
        <f>ROUND((SUM(F69:F75)+F81)/F10,3)</f>
        <v>0.09</v>
      </c>
      <c r="G26" s="3"/>
      <c r="H26" s="3">
        <f>ROUND((SUM(H69:H75)+H81)/H10,3)</f>
        <v>5.7000000000000002E-2</v>
      </c>
      <c r="I26" s="3"/>
      <c r="J26" s="3">
        <f>ROUND((SUM(J69:J75)+J81)/J10,3)</f>
        <v>4.9000000000000002E-2</v>
      </c>
      <c r="K26" s="3"/>
      <c r="L26" s="3">
        <f>ROUND((SUM(L69:L75)+L81)/L10,3)</f>
        <v>0.02</v>
      </c>
      <c r="M26" s="3"/>
      <c r="N26" s="3">
        <f>AVERAGE(D26,F26,H26,J26,L26)</f>
        <v>5.96E-2</v>
      </c>
    </row>
    <row r="27" spans="1:14" ht="17.25" x14ac:dyDescent="0.4">
      <c r="B27" s="32" t="s">
        <v>94</v>
      </c>
      <c r="D27" s="4">
        <f>ROUND((D68-D103)/D10,3)</f>
        <v>0.371</v>
      </c>
      <c r="E27" s="3"/>
      <c r="F27" s="4">
        <f>ROUND((F68-F103)/F10,3)</f>
        <v>0.39300000000000002</v>
      </c>
      <c r="G27" s="3"/>
      <c r="H27" s="4">
        <f>ROUND((H68-H103)/H10,3)</f>
        <v>0.439</v>
      </c>
      <c r="I27" s="3"/>
      <c r="J27" s="4">
        <f>ROUND((J68-J103)/J10,3)</f>
        <v>0.45300000000000001</v>
      </c>
      <c r="K27" s="3"/>
      <c r="L27" s="4">
        <f>ROUND((L68-L103)/L10,3)</f>
        <v>0.436</v>
      </c>
      <c r="M27" s="3"/>
      <c r="N27" s="4">
        <f>AVERAGE(D27,F27,H27,J27,L27)</f>
        <v>0.41839999999999999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0.999</v>
      </c>
      <c r="G28" s="3"/>
      <c r="H28" s="5">
        <f>SUM(H25:H27)</f>
        <v>0.99900000000000011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0.99960000000000004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9.7000000000000003E-2</v>
      </c>
      <c r="E30" s="3"/>
      <c r="F30" s="3">
        <f>ROUND(+F66/(((F68-F103)+(H68-H103))/2),3)</f>
        <v>7.9000000000000001E-2</v>
      </c>
      <c r="G30" s="3"/>
      <c r="H30" s="3">
        <f>ROUND(+H66/(((H68-H103)+(J68-J103))/2),3)</f>
        <v>0.105</v>
      </c>
      <c r="I30" s="3"/>
      <c r="J30" s="3">
        <f>ROUND(+J66/(((J68-J103)+(L68-L103))/2),3)</f>
        <v>0.21299999999999999</v>
      </c>
      <c r="K30" s="3"/>
      <c r="L30" s="3">
        <f>ROUND(+L66/(((L68-L103)+(N68-N103))/2),3)</f>
        <v>0.20499999999999999</v>
      </c>
      <c r="M30" s="3"/>
      <c r="N30" s="3">
        <f>AVERAGE(D30,F30,H30,J30,L30)</f>
        <v>0.13979999999999998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0.83399999999999996</v>
      </c>
      <c r="E32" s="3"/>
      <c r="F32" s="3">
        <f>ROUND((+F58-F57)/F56,3)</f>
        <v>0.73499999999999999</v>
      </c>
      <c r="G32" s="3"/>
      <c r="H32" s="3">
        <f>ROUND((+H58-H57)/H56,3)</f>
        <v>0.72099999999999997</v>
      </c>
      <c r="I32" s="3"/>
      <c r="J32" s="3">
        <f>ROUND((+J58-J57)/J56,3)</f>
        <v>0.74099999999999999</v>
      </c>
      <c r="K32" s="3"/>
      <c r="L32" s="3">
        <f>ROUND((+L58-L57)/L56,3)</f>
        <v>0.58699999999999997</v>
      </c>
      <c r="M32" s="3"/>
      <c r="N32" s="3">
        <f>AVERAGE(D32,F32,H32,J32,L32)</f>
        <v>0.72360000000000002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4.09</v>
      </c>
      <c r="E35" s="7" t="s">
        <v>3</v>
      </c>
      <c r="F35" s="7">
        <f>ROUND(((+F66+F65+F64+F63+F61+F59+F57)/F61),2)</f>
        <v>2.52</v>
      </c>
      <c r="G35" s="7" t="s">
        <v>3</v>
      </c>
      <c r="H35" s="7">
        <f>ROUND(((+H66+H65+H64+H63+H61+H59+H57)/H61),2)</f>
        <v>2.88</v>
      </c>
      <c r="I35" s="7" t="s">
        <v>3</v>
      </c>
      <c r="J35" s="7">
        <f>ROUND(((+J66+J65+J64+J63+J61+J59+J57)/J61),2)</f>
        <v>6.42</v>
      </c>
      <c r="K35" s="7" t="s">
        <v>3</v>
      </c>
      <c r="L35" s="7">
        <f>ROUND(((+L66+L65+L64+L63+L61+L59+L57)/L61),2)</f>
        <v>4.0199999999999996</v>
      </c>
      <c r="M35" s="7" t="s">
        <v>3</v>
      </c>
      <c r="N35" s="26">
        <f>AVERAGE(D35,F35,H35,J35,L35)</f>
        <v>3.9859999999999998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3.81</v>
      </c>
      <c r="E36" s="7" t="s">
        <v>3</v>
      </c>
      <c r="F36" s="7">
        <f>ROUND(((+F66+F65+F64+F63+F61)/(F61)),2)</f>
        <v>2.5</v>
      </c>
      <c r="G36" s="7" t="s">
        <v>3</v>
      </c>
      <c r="H36" s="7">
        <f>ROUND(((+H66+H65+H64+H63+H61)/(H61)),2)</f>
        <v>2.68</v>
      </c>
      <c r="I36" s="7" t="s">
        <v>3</v>
      </c>
      <c r="J36" s="7">
        <f>ROUND(((+J66+J65+J64+J63+J61)/(J61)),2)</f>
        <v>5.38</v>
      </c>
      <c r="K36" s="7" t="s">
        <v>3</v>
      </c>
      <c r="L36" s="7">
        <f>ROUND(((+L66+L65+L64+L63+L61)/(L61)),2)</f>
        <v>4.43</v>
      </c>
      <c r="M36" s="7" t="s">
        <v>3</v>
      </c>
      <c r="N36" s="26">
        <f>AVERAGE(D36,F36,H36,J36,L36)</f>
        <v>3.7600000000000002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3.81</v>
      </c>
      <c r="E37" s="7" t="s">
        <v>3</v>
      </c>
      <c r="F37" s="7">
        <f>ROUND(((+F66+F65+F64+F63+F61)/(F61+F63+F64+F65)),2)</f>
        <v>2.5</v>
      </c>
      <c r="G37" s="7" t="s">
        <v>3</v>
      </c>
      <c r="H37" s="7">
        <f>ROUND(((+H66+H65+H64+H63+H61)/(H61+H63+H64+H65)),2)</f>
        <v>2.68</v>
      </c>
      <c r="I37" s="7" t="s">
        <v>3</v>
      </c>
      <c r="J37" s="7">
        <f>ROUND(((+J66+J65+J64+J63+J61)/(J61+J63+J64+J65)),2)</f>
        <v>5.38</v>
      </c>
      <c r="K37" s="7" t="s">
        <v>3</v>
      </c>
      <c r="L37" s="7">
        <f>ROUND(((+L66+L65+L64+L63+L61)/(L61+L63+L64+L65)),2)</f>
        <v>4.43</v>
      </c>
      <c r="M37" s="7" t="s">
        <v>3</v>
      </c>
      <c r="N37" s="26">
        <f>AVERAGE(D37,F37,H37,J37,L37)</f>
        <v>3.7600000000000002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3.98</v>
      </c>
      <c r="E40" s="7" t="s">
        <v>3</v>
      </c>
      <c r="F40" s="7">
        <f>ROUND(((+F66+F65+F64+F63-F62+F61+F59+F57)/F61),2)</f>
        <v>2.4700000000000002</v>
      </c>
      <c r="G40" s="7" t="s">
        <v>3</v>
      </c>
      <c r="H40" s="7">
        <f>ROUND(((+H66+H65+H64+H63-H62+H61+H59+H57)/H61),2)</f>
        <v>2.84</v>
      </c>
      <c r="I40" s="7" t="s">
        <v>3</v>
      </c>
      <c r="J40" s="7">
        <f>ROUND(((+J66+J65+J64+J63-J62+J61+J59+J57)/J61),2)</f>
        <v>6.34</v>
      </c>
      <c r="K40" s="7" t="s">
        <v>3</v>
      </c>
      <c r="L40" s="7">
        <f>ROUND(((+L66+L65+L64+L63-L62+L61+L59+L57)/L61),2)</f>
        <v>3.95</v>
      </c>
      <c r="M40" s="7" t="s">
        <v>3</v>
      </c>
      <c r="N40" s="26">
        <f>AVERAGE(D40,F40,H40,J40,L40)</f>
        <v>3.9159999999999995</v>
      </c>
      <c r="O40" t="s">
        <v>3</v>
      </c>
    </row>
    <row r="41" spans="1:15" x14ac:dyDescent="0.4">
      <c r="B41" t="s">
        <v>21</v>
      </c>
      <c r="D41" s="7">
        <f>ROUND(((+D66+D65+D64+D63-D62+D61)/D61),2)</f>
        <v>3.7</v>
      </c>
      <c r="E41" s="7" t="s">
        <v>3</v>
      </c>
      <c r="F41" s="7">
        <f>ROUND(((+F66+F65+F64+F63-F62+F61)/F61),2)</f>
        <v>2.4500000000000002</v>
      </c>
      <c r="G41" s="7" t="s">
        <v>3</v>
      </c>
      <c r="H41" s="7">
        <f>ROUND(((+H66+H65+H64+H63-H62+H61)/H61),2)</f>
        <v>2.64</v>
      </c>
      <c r="I41" s="7" t="s">
        <v>3</v>
      </c>
      <c r="J41" s="7">
        <f>ROUND(((+J66+J65+J64+J63-J62+J61)/J61),2)</f>
        <v>5.3</v>
      </c>
      <c r="K41" s="7" t="s">
        <v>3</v>
      </c>
      <c r="L41" s="7">
        <f>ROUND(((+L66+L65+L64+L63-L62+L61)/L61),2)</f>
        <v>4.37</v>
      </c>
      <c r="M41" s="7" t="s">
        <v>3</v>
      </c>
      <c r="N41" s="26">
        <f>AVERAGE(D41,F41,H41,J41,L41)</f>
        <v>3.6920000000000002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3.7</v>
      </c>
      <c r="E42" s="7" t="s">
        <v>3</v>
      </c>
      <c r="F42" s="7">
        <f>ROUND(((+F66+F65+F64+F63-F62+F61)/(F61+F63+F64+F65)),2)</f>
        <v>2.4500000000000002</v>
      </c>
      <c r="G42" s="7" t="s">
        <v>3</v>
      </c>
      <c r="H42" s="7">
        <f>ROUND(((+H66+H65+H64+H63-H62+H61)/(H61+H63+H64+H65)),2)</f>
        <v>2.64</v>
      </c>
      <c r="I42" s="7" t="s">
        <v>3</v>
      </c>
      <c r="J42" s="7">
        <f>ROUND(((+J66+J65+J64+J63-J62+J61)/(J61+J63+J64+J65)),2)</f>
        <v>5.3</v>
      </c>
      <c r="K42" s="7" t="s">
        <v>3</v>
      </c>
      <c r="L42" s="7">
        <f>ROUND(((+L66+L65+L64+L63-L62+L61)/(L61+L63+L64+L65)),2)</f>
        <v>4.37</v>
      </c>
      <c r="M42" s="7" t="s">
        <v>3</v>
      </c>
      <c r="N42" s="26">
        <f>AVERAGE(D42,F42,H42,J42,L42)</f>
        <v>3.6920000000000002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0.04</v>
      </c>
      <c r="E45" s="11"/>
      <c r="F45" s="11">
        <f>ROUND(F62/F66,3)</f>
        <v>3.2000000000000001E-2</v>
      </c>
      <c r="G45" s="11"/>
      <c r="H45" s="11">
        <f>ROUND(H62/H66,3)</f>
        <v>2.1000000000000001E-2</v>
      </c>
      <c r="I45" s="11"/>
      <c r="J45" s="11">
        <f>ROUND(J62/J66,3)</f>
        <v>1.7000000000000001E-2</v>
      </c>
      <c r="K45" s="11"/>
      <c r="L45" s="11">
        <f>ROUND(L62/L66,3)</f>
        <v>1.9E-2</v>
      </c>
      <c r="M45" s="3"/>
      <c r="N45" s="3">
        <f t="shared" ref="N45:N50" si="0">AVERAGE(D45,F45,H45,J45,L45)</f>
        <v>2.58E-2</v>
      </c>
    </row>
    <row r="46" spans="1:15" x14ac:dyDescent="0.4">
      <c r="B46" t="s">
        <v>17</v>
      </c>
      <c r="D46" s="17">
        <f>ROUND((D57+D59)/(D57+D59+D66+D63+D64+D65),3)</f>
        <v>8.8999999999999996E-2</v>
      </c>
      <c r="E46" s="18"/>
      <c r="F46" s="17">
        <f>ROUND((F57+F59)/(F57+F59+F66+F63+F64+F65),3)</f>
        <v>1.4999999999999999E-2</v>
      </c>
      <c r="G46" s="18"/>
      <c r="H46" s="17">
        <f>ROUND((H57+H59)/(H57+H59+H66+H63+H64+H65),3)</f>
        <v>0.106</v>
      </c>
      <c r="I46" s="18"/>
      <c r="J46" s="17">
        <f>ROUND((J57+J59)/(J57+J59+J66+J63+J64+J65),3)</f>
        <v>0.192</v>
      </c>
      <c r="K46" s="18"/>
      <c r="L46" s="17">
        <f>ROUND((L57+L59)/(L57+L59+L66+L63+L64+L65),3)</f>
        <v>-0.13800000000000001</v>
      </c>
      <c r="N46" s="3">
        <f t="shared" si="0"/>
        <v>5.28E-2</v>
      </c>
    </row>
    <row r="47" spans="1:15" ht="17.25" x14ac:dyDescent="0.4">
      <c r="B47" s="33" t="s">
        <v>100</v>
      </c>
      <c r="D47" s="11">
        <f>ROUND(((+D82+D83+D84+D85+D86-D87+D88-D90-D91)/(+D89-D87)),3)</f>
        <v>0.72699999999999998</v>
      </c>
      <c r="E47" s="12"/>
      <c r="F47" s="11">
        <f>ROUND(((+F82+F83+F84+F85+F86-F87+F88-F90-F91)/(+F89-F87)),3)</f>
        <v>0.86899999999999999</v>
      </c>
      <c r="G47" s="12"/>
      <c r="H47" s="11">
        <f>ROUND(((+H82+H83+H84+H85+H86-H87+H88-H90-H91)/(+H89-H87)),3)</f>
        <v>0.91400000000000003</v>
      </c>
      <c r="I47" s="12"/>
      <c r="J47" s="11">
        <f>ROUND(((+J82+J83+J84+J85+J86-J87+J88-J90-J91)/(+J89-J87)),3)</f>
        <v>1.7509999999999999</v>
      </c>
      <c r="K47" s="12"/>
      <c r="L47" s="11">
        <f>ROUND(((+L82+L83+L84+L85+L86-L87+L88-L90-L91)/(+L89-L87)),3)</f>
        <v>1.014</v>
      </c>
      <c r="N47" s="3">
        <f t="shared" si="0"/>
        <v>1.0550000000000002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0.156</v>
      </c>
      <c r="E48" s="12"/>
      <c r="F48" s="11">
        <f>ROUND(((+F82+F83+F84+F85+F86-F87+F88)/(AVERAGE(F76,H76)+AVERAGE(F79,H79)+AVERAGE(F80,H80))),3)</f>
        <v>0.189</v>
      </c>
      <c r="G48" s="12"/>
      <c r="H48" s="11">
        <f>ROUND(((+H82+H83+H84+H85+H86-H87+H88)/(AVERAGE(H76,J76)+AVERAGE(H79,J79)+AVERAGE(H80,J80))),3)</f>
        <v>0.19400000000000001</v>
      </c>
      <c r="I48" s="12"/>
      <c r="J48" s="11">
        <f>ROUND(((+J82+J83+J84+J85+J86-J87+J88)/(AVERAGE(J76,L76)+AVERAGE(J79,L79)+AVERAGE(J80,L80))),3)</f>
        <v>0.312</v>
      </c>
      <c r="K48" s="12"/>
      <c r="L48" s="11">
        <f>ROUND(((+L82+L83+L84+L85+L86-L87+L88)/(AVERAGE(L76,N76)+AVERAGE(L79,N79)+AVERAGE(L80,N80))),3)</f>
        <v>0.221</v>
      </c>
      <c r="N48" s="3">
        <f t="shared" si="0"/>
        <v>0.21440000000000001</v>
      </c>
    </row>
    <row r="49" spans="1:15" ht="17.25" x14ac:dyDescent="0.4">
      <c r="B49" s="33" t="s">
        <v>102</v>
      </c>
      <c r="D49" s="27">
        <f>ROUND(((+D82+D83+D84+D85+D86-D87+D88+D92)/D61),2)</f>
        <v>7.37</v>
      </c>
      <c r="E49" t="s">
        <v>3</v>
      </c>
      <c r="F49" s="27">
        <f>ROUND(((+F82+F83+F84+F85+F86-F87+F88+F92)/F61),2)</f>
        <v>5.14</v>
      </c>
      <c r="G49" t="s">
        <v>3</v>
      </c>
      <c r="H49" s="27">
        <f>ROUND(((+H82+H83+H84+H85+H86-H87+H88+H92)/H61),2)</f>
        <v>4.26</v>
      </c>
      <c r="I49" t="s">
        <v>3</v>
      </c>
      <c r="J49" s="27">
        <f>ROUND(((+J82+J83+J84+J85+J86-J87+J88+J92)/J61),2)</f>
        <v>8.2799999999999994</v>
      </c>
      <c r="K49" t="s">
        <v>3</v>
      </c>
      <c r="L49" s="27">
        <f>ROUND(((+L82+L83+L84+L85+L86-L87+L88+L92)/L61),2)</f>
        <v>5.41</v>
      </c>
      <c r="M49" t="s">
        <v>3</v>
      </c>
      <c r="N49" s="27">
        <f t="shared" si="0"/>
        <v>6.0919999999999996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2.66</v>
      </c>
      <c r="E50" t="s">
        <v>3</v>
      </c>
      <c r="F50" s="27">
        <f>ROUND(((+F82+F83+F84+F85+F86-F87+F88-F91)/+F90),2)</f>
        <v>3.13</v>
      </c>
      <c r="G50" t="s">
        <v>3</v>
      </c>
      <c r="H50" s="27">
        <f>ROUND(((+H82+H83+H84+H85+H86-H87+H88-H91)/+H90),2)</f>
        <v>3.23</v>
      </c>
      <c r="I50" t="s">
        <v>3</v>
      </c>
      <c r="J50" s="27">
        <f>ROUND(((+J82+J83+J84+J85+J86-J87+J88-J91)/+J90),2)</f>
        <v>5.4</v>
      </c>
      <c r="K50" t="s">
        <v>3</v>
      </c>
      <c r="L50" s="27">
        <f>ROUND(((+L82+L83+L84+L85+L86-L87+L88-L91)/+L90),2)</f>
        <v>3.95</v>
      </c>
      <c r="M50" t="s">
        <v>3</v>
      </c>
      <c r="N50" s="27">
        <f t="shared" si="0"/>
        <v>3.6740000000000004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110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17069</v>
      </c>
      <c r="E56" s="22"/>
      <c r="F56" s="22">
        <v>17997</v>
      </c>
      <c r="G56" s="22"/>
      <c r="H56" s="22">
        <v>19204</v>
      </c>
      <c r="I56" s="22"/>
      <c r="J56" s="22">
        <v>16727</v>
      </c>
      <c r="K56" s="22"/>
      <c r="L56" s="22">
        <v>17195</v>
      </c>
      <c r="M56" s="22"/>
      <c r="N56" s="22">
        <v>16155</v>
      </c>
    </row>
    <row r="57" spans="1:15" x14ac:dyDescent="0.4">
      <c r="A57" s="20" t="s">
        <v>23</v>
      </c>
      <c r="B57" s="20"/>
      <c r="C57" s="20"/>
      <c r="D57" s="22">
        <v>348</v>
      </c>
      <c r="E57" s="22"/>
      <c r="F57" s="22">
        <v>44</v>
      </c>
      <c r="G57" s="22"/>
      <c r="H57" s="22">
        <v>448</v>
      </c>
      <c r="I57" s="22"/>
      <c r="J57" s="22">
        <v>1576</v>
      </c>
      <c r="K57" s="22"/>
      <c r="L57" s="22">
        <v>-653</v>
      </c>
      <c r="M57" s="22"/>
      <c r="N57" s="22">
        <v>1383</v>
      </c>
    </row>
    <row r="58" spans="1:15" x14ac:dyDescent="0.4">
      <c r="A58" s="20" t="s">
        <v>24</v>
      </c>
      <c r="B58" s="20"/>
      <c r="C58" s="20"/>
      <c r="D58" s="22">
        <f>14233+D57</f>
        <v>14581</v>
      </c>
      <c r="E58" s="22"/>
      <c r="F58" s="22">
        <f>13234+F57</f>
        <v>13278</v>
      </c>
      <c r="G58" s="22"/>
      <c r="H58" s="22">
        <f>13851+H57</f>
        <v>14299</v>
      </c>
      <c r="I58" s="22"/>
      <c r="J58" s="22">
        <v>13977</v>
      </c>
      <c r="K58" s="22"/>
      <c r="L58" s="22">
        <v>9446</v>
      </c>
      <c r="M58" s="22"/>
      <c r="N58" s="22">
        <v>13241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2913-D57+666+D62+70+267+257+130+746</f>
        <v>4843</v>
      </c>
      <c r="E60" s="22"/>
      <c r="F60" s="22">
        <f>5116-F57-1351+F62+38+50+163+200+54+550</f>
        <v>4869</v>
      </c>
      <c r="G60" s="22"/>
      <c r="H60" s="22">
        <f>5353-H57+66+67+54+55+238+185+67+381</f>
        <v>6018</v>
      </c>
      <c r="I60" s="22"/>
      <c r="J60" s="22">
        <v>7274</v>
      </c>
      <c r="K60" s="22"/>
      <c r="L60" s="22">
        <v>6878</v>
      </c>
      <c r="M60" s="22"/>
      <c r="N60" s="22">
        <v>4098</v>
      </c>
    </row>
    <row r="61" spans="1:15" x14ac:dyDescent="0.4">
      <c r="A61" s="20" t="s">
        <v>27</v>
      </c>
      <c r="B61" s="20"/>
      <c r="C61" s="20"/>
      <c r="D61" s="22">
        <v>1270</v>
      </c>
      <c r="E61" s="22"/>
      <c r="F61" s="22">
        <v>1950</v>
      </c>
      <c r="G61" s="22"/>
      <c r="H61" s="22">
        <v>2249</v>
      </c>
      <c r="I61" s="22"/>
      <c r="J61" s="22">
        <v>1516</v>
      </c>
      <c r="K61" s="22"/>
      <c r="L61" s="22">
        <v>1567</v>
      </c>
      <c r="M61" s="22"/>
      <c r="N61" s="22">
        <v>1104</v>
      </c>
    </row>
    <row r="62" spans="1:15" x14ac:dyDescent="0.4">
      <c r="A62" s="20" t="s">
        <v>28</v>
      </c>
      <c r="B62" s="20"/>
      <c r="C62" s="20"/>
      <c r="D62" s="22">
        <v>142</v>
      </c>
      <c r="E62" s="22"/>
      <c r="F62" s="22">
        <v>93</v>
      </c>
      <c r="G62" s="22"/>
      <c r="H62" s="22">
        <v>80</v>
      </c>
      <c r="I62" s="22"/>
      <c r="J62" s="22">
        <v>114</v>
      </c>
      <c r="K62" s="22"/>
      <c r="L62" s="22">
        <v>101</v>
      </c>
      <c r="M62" s="22"/>
      <c r="N62" s="22">
        <v>97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3573</v>
      </c>
      <c r="E66" s="22"/>
      <c r="F66" s="22">
        <v>2919</v>
      </c>
      <c r="G66" s="22"/>
      <c r="H66" s="22">
        <v>3769</v>
      </c>
      <c r="I66" s="22"/>
      <c r="J66" s="22">
        <v>6638</v>
      </c>
      <c r="K66" s="22"/>
      <c r="L66" s="22">
        <v>5378</v>
      </c>
      <c r="M66" s="22"/>
      <c r="N66" s="22">
        <v>2912</v>
      </c>
    </row>
    <row r="67" spans="1:14" x14ac:dyDescent="0.4">
      <c r="A67" s="20" t="s">
        <v>33</v>
      </c>
      <c r="B67" s="20"/>
      <c r="C67" s="20"/>
      <c r="D67" s="22">
        <v>1.82</v>
      </c>
      <c r="E67" s="22"/>
      <c r="F67" s="22">
        <v>1.49</v>
      </c>
      <c r="G67" s="22"/>
      <c r="H67" s="22">
        <v>7.82</v>
      </c>
      <c r="I67" s="22"/>
      <c r="J67" s="22">
        <v>14.03</v>
      </c>
      <c r="K67" s="22"/>
      <c r="L67" s="22">
        <v>11.47</v>
      </c>
      <c r="M67" s="22"/>
      <c r="N67" s="22">
        <v>6.29</v>
      </c>
    </row>
    <row r="68" spans="1:14" x14ac:dyDescent="0.4">
      <c r="A68" s="20" t="s">
        <v>34</v>
      </c>
      <c r="B68" s="20"/>
      <c r="C68" s="20"/>
      <c r="D68" s="22">
        <v>37202</v>
      </c>
      <c r="E68" s="22"/>
      <c r="F68" s="22">
        <v>36513</v>
      </c>
      <c r="G68" s="22"/>
      <c r="H68" s="22">
        <v>37005</v>
      </c>
      <c r="I68" s="22"/>
      <c r="J68" s="22">
        <v>34144</v>
      </c>
      <c r="K68" s="22"/>
      <c r="L68" s="22">
        <v>28208</v>
      </c>
      <c r="M68" s="22"/>
      <c r="N68" s="22">
        <v>24341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8222</v>
      </c>
      <c r="E75" s="22"/>
      <c r="F75" s="22">
        <v>8416</v>
      </c>
      <c r="G75" s="22"/>
      <c r="H75" s="22">
        <f>4355+487</f>
        <v>4842</v>
      </c>
      <c r="I75" s="22"/>
      <c r="J75" s="22">
        <v>3737</v>
      </c>
      <c r="K75" s="22"/>
      <c r="L75" s="22">
        <v>1290</v>
      </c>
      <c r="M75" s="22"/>
      <c r="N75" s="22">
        <v>990</v>
      </c>
    </row>
    <row r="76" spans="1:14" x14ac:dyDescent="0.4">
      <c r="A76" s="20" t="s">
        <v>42</v>
      </c>
      <c r="B76" s="20"/>
      <c r="C76" s="20"/>
      <c r="D76" s="22">
        <v>50960</v>
      </c>
      <c r="E76" s="22"/>
      <c r="F76" s="22">
        <v>41944</v>
      </c>
      <c r="G76" s="22"/>
      <c r="H76" s="22">
        <v>37543</v>
      </c>
      <c r="I76" s="22"/>
      <c r="J76" s="22">
        <v>26782</v>
      </c>
      <c r="K76" s="22"/>
      <c r="L76" s="22">
        <v>31463</v>
      </c>
      <c r="M76" s="22"/>
      <c r="N76" s="22">
        <v>27818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96384</v>
      </c>
      <c r="E78" s="22"/>
      <c r="F78" s="22">
        <f>SUM(F68:F77)</f>
        <v>86873</v>
      </c>
      <c r="G78" s="22"/>
      <c r="H78" s="22">
        <f>SUM(H68:H77)</f>
        <v>79390</v>
      </c>
      <c r="I78" s="22"/>
      <c r="J78" s="22">
        <v>64663</v>
      </c>
      <c r="K78" s="22"/>
      <c r="L78" s="22">
        <v>60961</v>
      </c>
      <c r="M78" s="22"/>
      <c r="N78" s="22">
        <v>53149</v>
      </c>
    </row>
    <row r="79" spans="1:14" x14ac:dyDescent="0.4">
      <c r="A79" s="20" t="s">
        <v>45</v>
      </c>
      <c r="B79" s="20"/>
      <c r="C79" s="20"/>
      <c r="D79" s="22">
        <v>1785</v>
      </c>
      <c r="E79" s="22"/>
      <c r="F79" s="22">
        <v>4138</v>
      </c>
      <c r="G79" s="22"/>
      <c r="H79" s="22">
        <v>2124</v>
      </c>
      <c r="I79" s="22"/>
      <c r="J79" s="22">
        <v>2716</v>
      </c>
      <c r="K79" s="22"/>
      <c r="L79" s="22">
        <v>1676</v>
      </c>
      <c r="M79" s="22"/>
      <c r="N79" s="22">
        <v>2604</v>
      </c>
    </row>
    <row r="80" spans="1:14" x14ac:dyDescent="0.4">
      <c r="A80" s="20" t="s">
        <v>46</v>
      </c>
      <c r="B80" s="20"/>
      <c r="C80" s="20"/>
      <c r="D80" s="22">
        <f>1382+700</f>
        <v>2082</v>
      </c>
      <c r="E80" s="22"/>
      <c r="F80" s="22">
        <f>1551+458</f>
        <v>2009</v>
      </c>
      <c r="G80" s="22"/>
      <c r="H80" s="22">
        <f>2516+400</f>
        <v>2916</v>
      </c>
      <c r="I80" s="22"/>
      <c r="J80" s="22">
        <v>8214</v>
      </c>
      <c r="K80" s="22"/>
      <c r="L80" s="22">
        <v>1942</v>
      </c>
      <c r="M80" s="22"/>
      <c r="N80" s="22">
        <v>418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2827</v>
      </c>
      <c r="E82" s="22"/>
      <c r="F82" s="22">
        <v>2369</v>
      </c>
      <c r="G82" s="22"/>
      <c r="H82" s="22">
        <v>3388</v>
      </c>
      <c r="I82" s="22"/>
      <c r="J82" s="22">
        <v>5776</v>
      </c>
      <c r="K82" s="22"/>
      <c r="L82" s="22">
        <v>5320</v>
      </c>
      <c r="M82" s="22"/>
      <c r="N82" s="22">
        <v>3005</v>
      </c>
    </row>
    <row r="83" spans="1:16" x14ac:dyDescent="0.4">
      <c r="A83" s="20" t="s">
        <v>49</v>
      </c>
      <c r="B83" s="20"/>
      <c r="C83" s="20"/>
      <c r="D83" s="22">
        <v>3924</v>
      </c>
      <c r="E83" s="22"/>
      <c r="F83" s="22">
        <v>4052</v>
      </c>
      <c r="G83" s="22"/>
      <c r="H83" s="22">
        <v>4216</v>
      </c>
      <c r="I83" s="22"/>
      <c r="J83" s="22">
        <v>4147</v>
      </c>
      <c r="K83" s="22"/>
      <c r="L83" s="22">
        <v>2629</v>
      </c>
      <c r="M83" s="22"/>
      <c r="N83" s="22">
        <v>3377</v>
      </c>
    </row>
    <row r="84" spans="1:16" x14ac:dyDescent="0.4">
      <c r="A84" s="20" t="s">
        <v>50</v>
      </c>
      <c r="B84" s="20"/>
      <c r="C84" s="20"/>
      <c r="D84" s="22">
        <v>290</v>
      </c>
      <c r="E84" s="22"/>
      <c r="F84" s="22">
        <v>263</v>
      </c>
      <c r="G84" s="22"/>
      <c r="H84" s="22">
        <v>262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6" x14ac:dyDescent="0.4">
      <c r="A85" s="20" t="s">
        <v>51</v>
      </c>
      <c r="B85" s="20"/>
      <c r="C85" s="20"/>
      <c r="D85" s="22">
        <v>436</v>
      </c>
      <c r="E85" s="22"/>
      <c r="F85" s="22">
        <v>-78</v>
      </c>
      <c r="G85" s="22"/>
      <c r="H85" s="22">
        <v>258</v>
      </c>
      <c r="I85" s="22"/>
      <c r="J85" s="22">
        <v>1463</v>
      </c>
      <c r="K85" s="22"/>
      <c r="L85" s="22">
        <v>-875</v>
      </c>
      <c r="M85" s="22"/>
      <c r="N85" s="22">
        <v>1230</v>
      </c>
    </row>
    <row r="86" spans="1:16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6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  <c r="O87" s="22"/>
      <c r="P87" s="22"/>
    </row>
    <row r="88" spans="1:16" x14ac:dyDescent="0.4">
      <c r="A88" s="20" t="s">
        <v>69</v>
      </c>
      <c r="B88" s="20"/>
      <c r="C88" s="20"/>
      <c r="D88" s="22">
        <f>2005-94-599-666+526-146-138-326</f>
        <v>562</v>
      </c>
      <c r="E88" s="22"/>
      <c r="F88" s="22">
        <f>533+45-121+1351+456-403-69+189</f>
        <v>1981</v>
      </c>
      <c r="G88" s="22"/>
      <c r="H88" s="22">
        <f>72-108+17+155-66+438-461-180-213</f>
        <v>-346</v>
      </c>
      <c r="I88" s="22"/>
      <c r="J88" s="22">
        <v>-40</v>
      </c>
      <c r="K88" s="22"/>
      <c r="L88" s="22">
        <v>218</v>
      </c>
      <c r="M88" s="22"/>
      <c r="N88" s="22">
        <v>-563</v>
      </c>
    </row>
    <row r="89" spans="1:16" x14ac:dyDescent="0.4">
      <c r="A89" s="20" t="s">
        <v>54</v>
      </c>
      <c r="B89" s="20"/>
      <c r="C89" s="20"/>
      <c r="D89" s="22">
        <f>6626+275</f>
        <v>6901</v>
      </c>
      <c r="E89" s="22"/>
      <c r="F89" s="22">
        <f>6477+245</f>
        <v>6722</v>
      </c>
      <c r="G89" s="22"/>
      <c r="H89" s="22">
        <f>5560+315</f>
        <v>5875</v>
      </c>
      <c r="I89" s="22"/>
      <c r="J89" s="22">
        <v>5279</v>
      </c>
      <c r="K89" s="22"/>
      <c r="L89" s="22">
        <v>5371</v>
      </c>
      <c r="M89" s="22"/>
      <c r="N89" s="22">
        <v>4240</v>
      </c>
    </row>
    <row r="90" spans="1:16" x14ac:dyDescent="0.4">
      <c r="A90" s="20" t="s">
        <v>55</v>
      </c>
      <c r="B90" s="20"/>
      <c r="C90" s="20"/>
      <c r="D90" s="22">
        <v>3024</v>
      </c>
      <c r="E90" s="22"/>
      <c r="F90" s="22">
        <v>2743</v>
      </c>
      <c r="G90" s="22"/>
      <c r="H90" s="22">
        <v>2408</v>
      </c>
      <c r="I90" s="22"/>
      <c r="J90" s="22">
        <v>2101</v>
      </c>
      <c r="K90" s="22"/>
      <c r="L90" s="22">
        <v>1845</v>
      </c>
      <c r="M90" s="22"/>
      <c r="N90" s="22">
        <v>1612</v>
      </c>
    </row>
    <row r="91" spans="1:16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6" x14ac:dyDescent="0.4">
      <c r="A92" s="20" t="s">
        <v>57</v>
      </c>
      <c r="B92" s="20"/>
      <c r="C92" s="20"/>
      <c r="D92" s="22">
        <v>1323</v>
      </c>
      <c r="E92" s="22"/>
      <c r="F92" s="22">
        <v>1432</v>
      </c>
      <c r="G92" s="22"/>
      <c r="H92" s="22">
        <v>1799</v>
      </c>
      <c r="I92" s="22"/>
      <c r="J92" s="22">
        <v>1209</v>
      </c>
      <c r="K92" s="22"/>
      <c r="L92" s="22">
        <v>1184</v>
      </c>
      <c r="M92" s="22"/>
      <c r="N92" s="22">
        <v>1193</v>
      </c>
    </row>
    <row r="93" spans="1:16" x14ac:dyDescent="0.4">
      <c r="A93" s="20" t="s">
        <v>58</v>
      </c>
      <c r="B93" s="20"/>
      <c r="C93" s="20"/>
      <c r="D93" s="22">
        <v>-69</v>
      </c>
      <c r="E93" s="22"/>
      <c r="F93" s="22">
        <v>235</v>
      </c>
      <c r="G93" s="22"/>
      <c r="H93" s="22">
        <v>184</v>
      </c>
      <c r="I93" s="22"/>
      <c r="J93" s="22">
        <v>200</v>
      </c>
      <c r="K93" s="22"/>
      <c r="L93" s="22">
        <v>142</v>
      </c>
      <c r="M93" s="22"/>
      <c r="N93" s="22">
        <v>91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4</v>
      </c>
      <c r="I94" s="22"/>
      <c r="J94" s="22">
        <v>4</v>
      </c>
      <c r="K94" s="22"/>
      <c r="L94" s="22">
        <v>4</v>
      </c>
      <c r="M94" s="22"/>
      <c r="N94" s="22">
        <v>4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4</v>
      </c>
      <c r="I95" s="22"/>
      <c r="J95" s="22">
        <v>4</v>
      </c>
      <c r="K95" s="22"/>
      <c r="L95" s="22">
        <v>4</v>
      </c>
      <c r="M95" s="22"/>
      <c r="N95" s="22">
        <v>4</v>
      </c>
    </row>
    <row r="96" spans="1:16" x14ac:dyDescent="0.4">
      <c r="A96" s="20" t="s">
        <v>59</v>
      </c>
      <c r="B96" s="20"/>
      <c r="C96" s="20"/>
      <c r="D96" s="22">
        <v>3024</v>
      </c>
      <c r="E96" s="22"/>
      <c r="F96" s="22">
        <v>2743</v>
      </c>
      <c r="G96" s="22"/>
      <c r="H96" s="22">
        <v>2408</v>
      </c>
      <c r="I96" s="22"/>
      <c r="J96" s="22">
        <v>2101</v>
      </c>
      <c r="K96" s="22"/>
      <c r="L96" s="22">
        <v>1845</v>
      </c>
      <c r="M96" s="22"/>
      <c r="N96" s="22">
        <v>1612</v>
      </c>
    </row>
    <row r="97" spans="1:14" x14ac:dyDescent="0.4">
      <c r="A97" s="20" t="s">
        <v>60</v>
      </c>
      <c r="B97" s="20"/>
      <c r="C97" s="20"/>
      <c r="D97" s="22">
        <v>1.54</v>
      </c>
      <c r="E97" s="22"/>
      <c r="F97" s="22">
        <v>1.4</v>
      </c>
      <c r="G97" s="22"/>
      <c r="H97" s="22">
        <v>5</v>
      </c>
      <c r="I97" s="22"/>
      <c r="J97" s="22">
        <v>4.4400000000000004</v>
      </c>
      <c r="K97" s="22"/>
      <c r="L97" s="22">
        <v>3.93</v>
      </c>
      <c r="M97" s="22"/>
      <c r="N97" s="22">
        <v>3.48</v>
      </c>
    </row>
    <row r="98" spans="1:14" x14ac:dyDescent="0.4">
      <c r="A98" s="20" t="s">
        <v>61</v>
      </c>
      <c r="B98" s="20"/>
      <c r="C98" s="20"/>
      <c r="D98" s="22">
        <v>1.54</v>
      </c>
      <c r="E98" s="22"/>
      <c r="F98" s="22">
        <v>1.4</v>
      </c>
      <c r="G98" s="22"/>
      <c r="H98" s="22">
        <v>5</v>
      </c>
      <c r="I98" s="22"/>
      <c r="J98" s="22">
        <v>4.4400000000000004</v>
      </c>
      <c r="K98" s="22"/>
      <c r="L98" s="22">
        <v>3.93</v>
      </c>
      <c r="M98" s="22"/>
      <c r="N98" s="22">
        <v>3.48</v>
      </c>
    </row>
    <row r="99" spans="1:14" x14ac:dyDescent="0.4">
      <c r="A99" s="20" t="s">
        <v>62</v>
      </c>
      <c r="B99" s="20"/>
      <c r="C99" s="20"/>
      <c r="D99" s="22">
        <v>93.73</v>
      </c>
      <c r="E99" s="22"/>
      <c r="F99" s="22">
        <v>83.34</v>
      </c>
      <c r="G99" s="22"/>
      <c r="H99" s="22">
        <v>245.01</v>
      </c>
      <c r="I99" s="22"/>
      <c r="J99" s="22">
        <v>184.2</v>
      </c>
      <c r="K99" s="22"/>
      <c r="L99" s="22">
        <v>159.4</v>
      </c>
      <c r="M99" s="22"/>
      <c r="N99" s="22">
        <v>131.97999999999999</v>
      </c>
    </row>
    <row r="100" spans="1:14" x14ac:dyDescent="0.4">
      <c r="A100" s="20" t="s">
        <v>63</v>
      </c>
      <c r="B100" s="20"/>
      <c r="C100" s="20"/>
      <c r="D100" s="22">
        <v>68.33</v>
      </c>
      <c r="E100" s="22"/>
      <c r="F100" s="22">
        <v>43.700001</v>
      </c>
      <c r="G100" s="22"/>
      <c r="H100" s="22">
        <v>168.66</v>
      </c>
      <c r="I100" s="22"/>
      <c r="J100" s="22">
        <v>145.102</v>
      </c>
      <c r="K100" s="22"/>
      <c r="L100" s="22">
        <v>117.33</v>
      </c>
      <c r="M100" s="22"/>
      <c r="N100" s="22">
        <v>102.2</v>
      </c>
    </row>
    <row r="101" spans="1:14" x14ac:dyDescent="0.4">
      <c r="A101" s="20" t="s">
        <v>64</v>
      </c>
      <c r="B101" s="20"/>
      <c r="C101" s="20"/>
      <c r="D101" s="35">
        <v>93.36</v>
      </c>
      <c r="E101" s="22"/>
      <c r="F101" s="7">
        <v>77.150000000000006</v>
      </c>
      <c r="G101" s="22"/>
      <c r="H101" s="22">
        <v>242.16</v>
      </c>
      <c r="I101" s="22"/>
      <c r="J101" s="22">
        <v>173.82</v>
      </c>
      <c r="K101" s="22"/>
      <c r="L101" s="22">
        <v>156.19</v>
      </c>
      <c r="M101" s="22"/>
      <c r="N101" s="22">
        <v>119.46</v>
      </c>
    </row>
    <row r="102" spans="1:14" x14ac:dyDescent="0.4">
      <c r="A102" s="20" t="s">
        <v>65</v>
      </c>
      <c r="B102" s="20"/>
      <c r="C102" s="20"/>
      <c r="D102" s="22">
        <v>1963</v>
      </c>
      <c r="E102" s="22"/>
      <c r="F102" s="22">
        <v>1960</v>
      </c>
      <c r="G102" s="22"/>
      <c r="H102" s="22">
        <v>489</v>
      </c>
      <c r="I102" s="22"/>
      <c r="J102" s="22">
        <v>478</v>
      </c>
      <c r="K102" s="22"/>
      <c r="L102" s="22">
        <v>471</v>
      </c>
      <c r="M102" s="22"/>
      <c r="N102" s="22">
        <v>468</v>
      </c>
    </row>
    <row r="103" spans="1:14" x14ac:dyDescent="0.4">
      <c r="A103" s="20" t="s">
        <v>91</v>
      </c>
      <c r="B103" s="20"/>
      <c r="C103" s="20"/>
      <c r="D103" s="22">
        <v>0</v>
      </c>
      <c r="E103" s="22"/>
      <c r="F103" s="22">
        <v>-92</v>
      </c>
      <c r="G103" s="22"/>
      <c r="H103" s="22">
        <v>-169</v>
      </c>
      <c r="I103" s="22"/>
      <c r="J103" s="22">
        <v>-188</v>
      </c>
      <c r="K103" s="22"/>
      <c r="L103" s="22">
        <v>111</v>
      </c>
      <c r="M103" s="22"/>
      <c r="N103" s="22">
        <v>-70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1.82</v>
      </c>
      <c r="F105" s="15">
        <f>F67/F94</f>
        <v>1.49</v>
      </c>
      <c r="H105" s="15">
        <f>H67/H94</f>
        <v>1.9550000000000001</v>
      </c>
      <c r="J105" s="15">
        <f>J67/J94</f>
        <v>3.5074999999999998</v>
      </c>
      <c r="L105" s="15">
        <f>L67/L94</f>
        <v>2.8675000000000002</v>
      </c>
      <c r="N105" s="15">
        <f>N67/N94</f>
        <v>1.5725</v>
      </c>
    </row>
    <row r="106" spans="1:14" x14ac:dyDescent="0.4">
      <c r="B106" t="s">
        <v>60</v>
      </c>
      <c r="D106" s="15">
        <f>D97/D94</f>
        <v>1.54</v>
      </c>
      <c r="F106" s="15">
        <f>F97/F94</f>
        <v>1.4</v>
      </c>
      <c r="H106" s="15">
        <f>H97/H94</f>
        <v>1.25</v>
      </c>
      <c r="J106" s="15">
        <f>J97/J94</f>
        <v>1.1100000000000001</v>
      </c>
      <c r="L106" s="15">
        <f>L97/L94</f>
        <v>0.98250000000000004</v>
      </c>
      <c r="N106" s="15">
        <f>N97/N94</f>
        <v>0.87</v>
      </c>
    </row>
    <row r="107" spans="1:14" x14ac:dyDescent="0.4">
      <c r="B107" t="s">
        <v>61</v>
      </c>
      <c r="D107" s="15">
        <f>D98/D94</f>
        <v>1.54</v>
      </c>
      <c r="F107" s="15">
        <f>F98/F94</f>
        <v>1.4</v>
      </c>
      <c r="H107" s="15">
        <f>H98/H94</f>
        <v>1.25</v>
      </c>
      <c r="J107" s="15">
        <f>J98/J94</f>
        <v>1.1100000000000001</v>
      </c>
      <c r="L107" s="15">
        <f>L98/L94</f>
        <v>0.98250000000000004</v>
      </c>
      <c r="N107" s="15">
        <f>N98/N94</f>
        <v>0.87</v>
      </c>
    </row>
    <row r="108" spans="1:14" x14ac:dyDescent="0.4">
      <c r="B108" t="s">
        <v>62</v>
      </c>
      <c r="D108" s="15">
        <f>D99/D94</f>
        <v>93.73</v>
      </c>
      <c r="F108" s="15">
        <f>F99/F94</f>
        <v>83.34</v>
      </c>
      <c r="H108" s="15">
        <f>H99/H94</f>
        <v>61.252499999999998</v>
      </c>
      <c r="J108" s="15">
        <f>J99/J94</f>
        <v>46.05</v>
      </c>
      <c r="L108" s="15">
        <f>L99/L94</f>
        <v>39.85</v>
      </c>
      <c r="N108" s="15">
        <f>N99/N94</f>
        <v>32.994999999999997</v>
      </c>
    </row>
    <row r="109" spans="1:14" x14ac:dyDescent="0.4">
      <c r="B109" t="s">
        <v>63</v>
      </c>
      <c r="D109" s="15">
        <f>D100/D94</f>
        <v>68.33</v>
      </c>
      <c r="F109" s="15">
        <f>F100/F94</f>
        <v>43.700001</v>
      </c>
      <c r="H109" s="15">
        <f>H100/H94</f>
        <v>42.164999999999999</v>
      </c>
      <c r="J109" s="15">
        <f>J100/J94</f>
        <v>36.275500000000001</v>
      </c>
      <c r="L109" s="15">
        <f>L100/L94</f>
        <v>29.3325</v>
      </c>
      <c r="N109" s="15">
        <f>N100/N94</f>
        <v>25.55</v>
      </c>
    </row>
    <row r="110" spans="1:14" x14ac:dyDescent="0.4">
      <c r="B110" t="s">
        <v>64</v>
      </c>
      <c r="D110" s="15">
        <f>D101/D94</f>
        <v>93.36</v>
      </c>
      <c r="F110" s="15">
        <f>F101/F94</f>
        <v>77.150000000000006</v>
      </c>
      <c r="H110" s="15">
        <f>H101/H94</f>
        <v>60.54</v>
      </c>
      <c r="J110" s="15">
        <f>J101/J94</f>
        <v>43.454999999999998</v>
      </c>
      <c r="L110" s="15">
        <f>L101/L94</f>
        <v>39.047499999999999</v>
      </c>
      <c r="N110" s="15">
        <f>N101/N94</f>
        <v>29.864999999999998</v>
      </c>
    </row>
    <row r="111" spans="1:14" x14ac:dyDescent="0.4">
      <c r="B111" t="s">
        <v>65</v>
      </c>
      <c r="D111" s="16">
        <f>D102*D94</f>
        <v>1963</v>
      </c>
      <c r="E111" s="16"/>
      <c r="F111" s="16">
        <f>F102*F94</f>
        <v>1960</v>
      </c>
      <c r="G111" s="16"/>
      <c r="H111" s="16">
        <f>H102*H94</f>
        <v>1956</v>
      </c>
      <c r="I111" s="16"/>
      <c r="J111" s="16">
        <f>J102*J94</f>
        <v>1912</v>
      </c>
      <c r="K111" s="16"/>
      <c r="L111" s="16">
        <f>L102*L94</f>
        <v>1884</v>
      </c>
      <c r="M111" s="16"/>
      <c r="N111" s="16">
        <f>N102*N94</f>
        <v>1872</v>
      </c>
    </row>
    <row r="112" spans="1:14" x14ac:dyDescent="0.4">
      <c r="B112" t="s">
        <v>66</v>
      </c>
      <c r="D112" s="15">
        <f>ROUND(D68/D111,2)</f>
        <v>18.95</v>
      </c>
      <c r="F112" s="15">
        <f>ROUND(F68/F111,2)</f>
        <v>18.63</v>
      </c>
      <c r="H112" s="15">
        <f>ROUND(H68/H111,2)</f>
        <v>18.920000000000002</v>
      </c>
      <c r="J112" s="15">
        <f>ROUND(J68/J111,2)</f>
        <v>17.86</v>
      </c>
      <c r="L112" s="15">
        <f>ROUND(L68/L111,2)</f>
        <v>14.97</v>
      </c>
      <c r="N112" s="15">
        <f>ROUND(N68/N111,2)</f>
        <v>13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NISOURCE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16641.199999999997</v>
      </c>
      <c r="F8" s="34">
        <f>F78+F79+F81-F103</f>
        <v>15237.599999999999</v>
      </c>
      <c r="H8" s="34">
        <f>H78+H79+H81-H103</f>
        <v>13948.9</v>
      </c>
      <c r="J8" s="34">
        <f>J78+J79+J81-J103</f>
        <v>12943.5</v>
      </c>
      <c r="L8" s="34">
        <f>L78+L79+L81-L103</f>
        <v>12159.999999999998</v>
      </c>
    </row>
    <row r="9" spans="1:15" x14ac:dyDescent="0.4">
      <c r="B9" t="s">
        <v>5</v>
      </c>
      <c r="D9" s="9">
        <f>D80</f>
        <v>560</v>
      </c>
      <c r="F9" s="9">
        <f>F80</f>
        <v>503</v>
      </c>
      <c r="H9" s="9">
        <f>H80</f>
        <v>1773.2</v>
      </c>
      <c r="J9" s="9">
        <f>J80</f>
        <v>1977.2</v>
      </c>
      <c r="L9" s="9">
        <f>L80</f>
        <v>1205.7</v>
      </c>
    </row>
    <row r="10" spans="1:15" ht="15.4" thickBot="1" x14ac:dyDescent="0.45">
      <c r="B10" t="s">
        <v>7</v>
      </c>
      <c r="D10" s="10">
        <f>D8+D9</f>
        <v>17201.199999999997</v>
      </c>
      <c r="F10" s="10">
        <f>F8+F9</f>
        <v>15740.599999999999</v>
      </c>
      <c r="H10" s="10">
        <f>H8+H9</f>
        <v>15722.1</v>
      </c>
      <c r="J10" s="10">
        <f>J8+J9</f>
        <v>14920.7</v>
      </c>
      <c r="L10" s="10">
        <f>L8+L9</f>
        <v>13365.699999999999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18</v>
      </c>
      <c r="E13" s="7" t="s">
        <v>3</v>
      </c>
      <c r="F13" s="30"/>
      <c r="G13" s="7" t="s">
        <v>3</v>
      </c>
      <c r="H13" s="30">
        <f>ROUND(AVERAGE(H108:H109)/H105,0)</f>
        <v>31</v>
      </c>
      <c r="I13" s="7" t="s">
        <v>3</v>
      </c>
      <c r="J13" s="30"/>
      <c r="K13" s="7" t="s">
        <v>3</v>
      </c>
      <c r="L13" s="30"/>
      <c r="M13" s="7" t="s">
        <v>3</v>
      </c>
      <c r="N13" s="30">
        <f>AVERAGE(D13,F13,H13,J13,L13)</f>
        <v>24.5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1.899</v>
      </c>
      <c r="E14" s="3"/>
      <c r="F14" s="3">
        <f>ROUND(AVERAGE(F108:F109)/AVERAGE(F112,H112),3)</f>
        <v>1.9390000000000001</v>
      </c>
      <c r="G14" s="3"/>
      <c r="H14" s="3">
        <f>ROUND(AVERAGE(H108:H109)/AVERAGE(H112,J112),3)</f>
        <v>2.0939999999999999</v>
      </c>
      <c r="I14" s="3"/>
      <c r="J14" s="3">
        <f>ROUND(AVERAGE(J108:J109)/AVERAGE(J112,L112),3)</f>
        <v>1.952</v>
      </c>
      <c r="K14" s="3"/>
      <c r="L14" s="3">
        <f>ROUND(AVERAGE(L108:L109)/AVERAGE(L112,N112),3)</f>
        <v>1.944</v>
      </c>
      <c r="M14" s="3"/>
      <c r="N14" s="3">
        <f>AVERAGE(D14,F14,H14,J14,L14)</f>
        <v>1.9655999999999998</v>
      </c>
    </row>
    <row r="15" spans="1:15" x14ac:dyDescent="0.4">
      <c r="B15" t="s">
        <v>9</v>
      </c>
      <c r="D15" s="3">
        <f>ROUND(D106/AVERAGE(D108:D109),3)</f>
        <v>3.5999999999999997E-2</v>
      </c>
      <c r="E15" s="3"/>
      <c r="F15" s="3">
        <f>ROUND(F106/AVERAGE(F108:F109),3)</f>
        <v>3.4000000000000002E-2</v>
      </c>
      <c r="G15" s="3"/>
      <c r="H15" s="3">
        <f>ROUND(H106/AVERAGE(H108:H109),3)</f>
        <v>2.9000000000000001E-2</v>
      </c>
      <c r="I15" s="3"/>
      <c r="J15" s="3">
        <f>ROUND(J106/AVERAGE(J108:J109),3)</f>
        <v>3.1E-2</v>
      </c>
      <c r="K15" s="3"/>
      <c r="L15" s="3">
        <f>ROUND(L106/AVERAGE(L108:L109),3)</f>
        <v>2.8000000000000001E-2</v>
      </c>
      <c r="M15" s="3"/>
      <c r="N15" s="3">
        <f>AVERAGE(D15,F15,H15,J15,L15)</f>
        <v>3.1600000000000003E-2</v>
      </c>
    </row>
    <row r="16" spans="1:15" x14ac:dyDescent="0.4">
      <c r="B16" t="s">
        <v>10</v>
      </c>
      <c r="D16" s="3">
        <f>ROUND(D96/D66,3)</f>
        <v>0.65200000000000002</v>
      </c>
      <c r="E16" s="3"/>
      <c r="F16" s="3"/>
      <c r="G16" s="3"/>
      <c r="H16" s="3">
        <f>ROUND(H96/H66,3)</f>
        <v>0.91</v>
      </c>
      <c r="I16" s="3"/>
      <c r="J16" s="3"/>
      <c r="K16" s="3"/>
      <c r="L16" s="3"/>
      <c r="M16" s="3"/>
      <c r="N16" s="3">
        <f>AVERAGE(D16,F16,H16,J16,L16)</f>
        <v>0.78100000000000003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0.55500000000000005</v>
      </c>
      <c r="E20" s="3"/>
      <c r="F20" s="3">
        <f>ROUND((+F76+F79)/F8,3)</f>
        <v>0.60699999999999998</v>
      </c>
      <c r="G20" s="3"/>
      <c r="H20" s="3">
        <f>ROUND((+H76+H79)/H8,3)</f>
        <v>0.56399999999999995</v>
      </c>
      <c r="I20" s="3"/>
      <c r="J20" s="3">
        <f>ROUND((+J76+J79)/J8,3)</f>
        <v>0.55300000000000005</v>
      </c>
      <c r="K20" s="3"/>
      <c r="L20" s="3">
        <f>ROUND((+L76+L79)/L8,3)</f>
        <v>0.64100000000000001</v>
      </c>
      <c r="M20" s="3"/>
      <c r="N20" s="3">
        <f>AVERAGE(D20,F20,H20,J20,L20)</f>
        <v>0.58399999999999996</v>
      </c>
    </row>
    <row r="21" spans="1:14" x14ac:dyDescent="0.4">
      <c r="B21" s="31" t="s">
        <v>93</v>
      </c>
      <c r="D21" s="3">
        <f>ROUND((SUM(D69:D75)+D81)/D8,3)</f>
        <v>0.112</v>
      </c>
      <c r="E21" s="3"/>
      <c r="F21" s="3">
        <f>ROUND((SUM(F69:F75)+F81)/F8,3)</f>
        <v>6.3E-2</v>
      </c>
      <c r="G21" s="3"/>
      <c r="H21" s="3">
        <f>ROUND((SUM(H69:H75)+H81)/H8,3)</f>
        <v>6.3E-2</v>
      </c>
      <c r="I21" s="3"/>
      <c r="J21" s="3">
        <f>ROUND((SUM(J69:J75)+J81)/J8,3)</f>
        <v>6.8000000000000005E-2</v>
      </c>
      <c r="K21" s="3"/>
      <c r="L21" s="3">
        <f>ROUND((SUM(L69:L75)+L81)/L8,3)</f>
        <v>0</v>
      </c>
      <c r="M21" s="3"/>
      <c r="N21" s="3">
        <f>AVERAGE(D21,F21,H21,J21,L21)</f>
        <v>6.1199999999999997E-2</v>
      </c>
    </row>
    <row r="22" spans="1:14" ht="17.25" x14ac:dyDescent="0.4">
      <c r="B22" s="32" t="s">
        <v>94</v>
      </c>
      <c r="D22" s="4">
        <f>ROUND((D68-D103)/D8,3)</f>
        <v>0.33200000000000002</v>
      </c>
      <c r="E22" s="3"/>
      <c r="F22" s="4">
        <f>ROUND((F68-F103)/F8,3)</f>
        <v>0.33</v>
      </c>
      <c r="G22" s="3"/>
      <c r="H22" s="4">
        <f>ROUND((H68-H103)/H8,3)</f>
        <v>0.373</v>
      </c>
      <c r="I22" s="3"/>
      <c r="J22" s="4">
        <f>ROUND((J68-J103)/J8,3)</f>
        <v>0.379</v>
      </c>
      <c r="K22" s="3"/>
      <c r="L22" s="4">
        <f>ROUND((L68-L103)/L8,3)</f>
        <v>0.35899999999999999</v>
      </c>
      <c r="M22" s="3"/>
      <c r="N22" s="4">
        <f>AVERAGE(D22,F22,H22,J22,L22)</f>
        <v>0.35460000000000003</v>
      </c>
    </row>
    <row r="23" spans="1:14" ht="15.4" thickBot="1" x14ac:dyDescent="0.45">
      <c r="D23" s="5">
        <f>SUM(D20:D22)</f>
        <v>0.99900000000000011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0.99980000000000013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0.56999999999999995</v>
      </c>
      <c r="E25" s="3"/>
      <c r="F25" s="3">
        <f>ROUND((+F76+F79+F80)/F10,3)</f>
        <v>0.61899999999999999</v>
      </c>
      <c r="G25" s="3"/>
      <c r="H25" s="3">
        <f>ROUND((+H76+H79+H80)/H10,3)</f>
        <v>0.61299999999999999</v>
      </c>
      <c r="I25" s="3"/>
      <c r="J25" s="3">
        <f>ROUND((+J76+J79+J80)/J10,3)</f>
        <v>0.61199999999999999</v>
      </c>
      <c r="K25" s="3"/>
      <c r="L25" s="3">
        <f>ROUND((+L76+L79+L80)/L10,3)</f>
        <v>0.67400000000000004</v>
      </c>
      <c r="M25" s="3"/>
      <c r="N25" s="3">
        <f>AVERAGE(D25,F25,H25,J25,L25)</f>
        <v>0.61760000000000004</v>
      </c>
    </row>
    <row r="26" spans="1:14" x14ac:dyDescent="0.4">
      <c r="B26" s="31" t="s">
        <v>93</v>
      </c>
      <c r="D26" s="3">
        <f>ROUND((SUM(D69:D75)+D81)/D10,3)</f>
        <v>0.109</v>
      </c>
      <c r="E26" s="3"/>
      <c r="F26" s="3">
        <f>ROUND((SUM(F69:F75)+F81)/F10,3)</f>
        <v>6.0999999999999999E-2</v>
      </c>
      <c r="G26" s="3"/>
      <c r="H26" s="3">
        <f>ROUND((SUM(H69:H75)+H81)/H10,3)</f>
        <v>5.6000000000000001E-2</v>
      </c>
      <c r="I26" s="3"/>
      <c r="J26" s="3">
        <f>ROUND((SUM(J69:J75)+J81)/J10,3)</f>
        <v>5.8999999999999997E-2</v>
      </c>
      <c r="K26" s="3"/>
      <c r="L26" s="3">
        <f>ROUND((SUM(L69:L75)+L81)/L10,3)</f>
        <v>0</v>
      </c>
      <c r="M26" s="3"/>
      <c r="N26" s="3">
        <f>AVERAGE(D26,F26,H26,J26,L26)</f>
        <v>5.6999999999999995E-2</v>
      </c>
    </row>
    <row r="27" spans="1:14" ht="17.25" x14ac:dyDescent="0.4">
      <c r="B27" s="32" t="s">
        <v>94</v>
      </c>
      <c r="D27" s="4">
        <f>ROUND((D68-D103)/D10,3)</f>
        <v>0.32100000000000001</v>
      </c>
      <c r="E27" s="3"/>
      <c r="F27" s="4">
        <f>ROUND((F68-F103)/F10,3)</f>
        <v>0.31900000000000001</v>
      </c>
      <c r="G27" s="3"/>
      <c r="H27" s="4">
        <f>ROUND((H68-H103)/H10,3)</f>
        <v>0.33100000000000002</v>
      </c>
      <c r="I27" s="3"/>
      <c r="J27" s="4">
        <f>ROUND((J68-J103)/J10,3)</f>
        <v>0.32900000000000001</v>
      </c>
      <c r="K27" s="3"/>
      <c r="L27" s="4">
        <f>ROUND((L68-L103)/L10,3)</f>
        <v>0.32600000000000001</v>
      </c>
      <c r="M27" s="3"/>
      <c r="N27" s="4">
        <f>AVERAGE(D27,F27,H27,J27,L27)</f>
        <v>0.32520000000000004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0.99899999999999989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0.99979999999999991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</v>
      </c>
      <c r="E30" s="3"/>
      <c r="F30" s="3"/>
      <c r="G30" s="3"/>
      <c r="H30" s="3">
        <f>ROUND(+H66/(((H68-H103)+(J68-J103))/2),3)</f>
        <v>6.5000000000000002E-2</v>
      </c>
      <c r="I30" s="3"/>
      <c r="J30" s="3"/>
      <c r="K30" s="3"/>
      <c r="L30" s="3">
        <f>ROUND(+L66/(((L68-L103)+(N68-N103))/2),3)</f>
        <v>0.03</v>
      </c>
      <c r="M30" s="3"/>
      <c r="N30" s="3">
        <f>AVERAGE(D30,F30,H30,J30,L30)</f>
        <v>6.5000000000000002E-2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0.79400000000000004</v>
      </c>
      <c r="E32" s="3"/>
      <c r="F32" s="3">
        <f>ROUND((+F58-F57)/F56,3)</f>
        <v>0.88200000000000001</v>
      </c>
      <c r="G32" s="3"/>
      <c r="H32" s="3">
        <f>ROUND((+H58-H57)/H56,3)</f>
        <v>0.82899999999999996</v>
      </c>
      <c r="I32" s="3"/>
      <c r="J32" s="3">
        <f>ROUND((+J58-J57)/J56,3)</f>
        <v>0.81299999999999994</v>
      </c>
      <c r="K32" s="3"/>
      <c r="L32" s="3">
        <f>ROUND((+L58-L57)/L56,3)</f>
        <v>0.80900000000000005</v>
      </c>
      <c r="M32" s="3"/>
      <c r="N32" s="3">
        <f>AVERAGE(D32,F32,H32,J32,L32)</f>
        <v>0.82539999999999991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3.06</v>
      </c>
      <c r="E35" s="7" t="s">
        <v>3</v>
      </c>
      <c r="F35" s="7">
        <f>ROUND(((+F66+F65+F64+F63+F61+F59+F57)/F61),2)</f>
        <v>0.91</v>
      </c>
      <c r="G35" s="7" t="s">
        <v>3</v>
      </c>
      <c r="H35" s="7">
        <f>ROUND(((+H66+H65+H64+H63+H61+H59+H57)/H61),2)</f>
        <v>2.34</v>
      </c>
      <c r="I35" s="7" t="s">
        <v>3</v>
      </c>
      <c r="J35" s="7">
        <f>ROUND(((+J66+J65+J64+J63+J61+J59+J57)/J61),2)</f>
        <v>0.36</v>
      </c>
      <c r="K35" s="7" t="s">
        <v>3</v>
      </c>
      <c r="L35" s="7">
        <f>ROUND(((+L66+L65+L64+L63+L61+L59+L57)/L61),2)</f>
        <v>2.23</v>
      </c>
      <c r="M35" s="7" t="s">
        <v>3</v>
      </c>
      <c r="N35" s="26">
        <f>AVERAGE(D35,F35,H35,J35,L35)</f>
        <v>1.78</v>
      </c>
      <c r="O35" t="s">
        <v>3</v>
      </c>
    </row>
    <row r="36" spans="1:15" x14ac:dyDescent="0.4">
      <c r="B36" t="s">
        <v>21</v>
      </c>
      <c r="D36" s="7">
        <f>ROUND(((+D66+D65+D64+D63+D61)/(D61)),2)</f>
        <v>2.71</v>
      </c>
      <c r="E36" s="7" t="s">
        <v>3</v>
      </c>
      <c r="F36" s="7">
        <f>ROUND(((+F66+F65+F64+F63+F61)/(F61)),2)</f>
        <v>0.95</v>
      </c>
      <c r="G36" s="7" t="s">
        <v>3</v>
      </c>
      <c r="H36" s="7">
        <f>ROUND(((+H66+H65+H64+H63+H61)/(H61)),2)</f>
        <v>2.0099999999999998</v>
      </c>
      <c r="I36" s="7" t="s">
        <v>3</v>
      </c>
      <c r="J36" s="7">
        <f>ROUND(((+J66+J65+J64+J63+J61)/(J61)),2)</f>
        <v>0.86</v>
      </c>
      <c r="K36" s="7" t="s">
        <v>3</v>
      </c>
      <c r="L36" s="7">
        <f>ROUND(((+L66+L65+L64+L63+L61)/(L61)),2)</f>
        <v>1.36</v>
      </c>
      <c r="M36" s="7" t="s">
        <v>3</v>
      </c>
      <c r="N36" s="26">
        <f>AVERAGE(D36,F36,H36,J36,L36)</f>
        <v>1.5780000000000001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2.34</v>
      </c>
      <c r="E37" s="7" t="s">
        <v>3</v>
      </c>
      <c r="F37" s="7">
        <f>ROUND(((+F66+F65+F64+F63+F61)/(F61+F63+F64+F65)),2)</f>
        <v>0.83</v>
      </c>
      <c r="G37" s="7" t="s">
        <v>3</v>
      </c>
      <c r="H37" s="7">
        <f>ROUND(((+H66+H65+H64+H63+H61)/(H61+H63+H64+H65)),2)</f>
        <v>1.76</v>
      </c>
      <c r="I37" s="7" t="s">
        <v>3</v>
      </c>
      <c r="J37" s="7">
        <f>ROUND(((+J66+J65+J64+J63+J61)/(J61+J63+J64+J65)),2)</f>
        <v>0.83</v>
      </c>
      <c r="K37" s="7" t="s">
        <v>3</v>
      </c>
      <c r="L37" s="7">
        <f>ROUND(((+L66+L65+L64+L63+L61)/(L61+L63+L64+L65)),2)</f>
        <v>1.36</v>
      </c>
      <c r="M37" s="7" t="s">
        <v>3</v>
      </c>
      <c r="N37" s="26">
        <f>AVERAGE(D37,F37,H37,J37,L37)</f>
        <v>1.4239999999999999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3.01</v>
      </c>
      <c r="E40" s="7" t="s">
        <v>3</v>
      </c>
      <c r="F40" s="7">
        <f>ROUND(((+F66+F65+F64+F63-F62+F61+F59+F57)/F61),2)</f>
        <v>0.86</v>
      </c>
      <c r="G40" s="7" t="s">
        <v>3</v>
      </c>
      <c r="H40" s="7">
        <f>ROUND(((+H66+H65+H64+H63-H62+H61+H59+H57)/H61),2)</f>
        <v>2.2999999999999998</v>
      </c>
      <c r="I40" s="7" t="s">
        <v>3</v>
      </c>
      <c r="J40" s="7">
        <f>ROUND(((+J66+J65+J64+J63-J62+J61+J59+J57)/J61),2)</f>
        <v>0.3</v>
      </c>
      <c r="K40" s="7" t="s">
        <v>3</v>
      </c>
      <c r="L40" s="7">
        <f>ROUND(((+L66+L65+L64+L63-L62+L61+L59+L57)/L61),2)</f>
        <v>2.1800000000000002</v>
      </c>
      <c r="M40" s="7" t="s">
        <v>3</v>
      </c>
      <c r="N40" s="26">
        <f>AVERAGE(D40,F40,H40,J40,L40)</f>
        <v>1.73</v>
      </c>
      <c r="O40" t="s">
        <v>3</v>
      </c>
    </row>
    <row r="41" spans="1:15" x14ac:dyDescent="0.4">
      <c r="B41" t="s">
        <v>21</v>
      </c>
      <c r="D41" s="7">
        <f>ROUND(((+D66+D65+D64+D63-D62+D61)/D61),2)</f>
        <v>2.66</v>
      </c>
      <c r="E41" s="7" t="s">
        <v>3</v>
      </c>
      <c r="F41" s="7">
        <f>ROUND(((+F66+F65+F64+F63-F62+F61)/F61),2)</f>
        <v>0.91</v>
      </c>
      <c r="G41" s="7" t="s">
        <v>3</v>
      </c>
      <c r="H41" s="7">
        <f>ROUND(((+H66+H65+H64+H63-H62+H61)/H61),2)</f>
        <v>1.97</v>
      </c>
      <c r="I41" s="7" t="s">
        <v>3</v>
      </c>
      <c r="J41" s="7">
        <f>ROUND(((+J66+J65+J64+J63-J62+J61)/J61),2)</f>
        <v>0.8</v>
      </c>
      <c r="K41" s="7" t="s">
        <v>3</v>
      </c>
      <c r="L41" s="7">
        <f>ROUND(((+L66+L65+L64+L63-L62+L61)/L61),2)</f>
        <v>1.31</v>
      </c>
      <c r="M41" s="7" t="s">
        <v>3</v>
      </c>
      <c r="N41" s="26">
        <f>AVERAGE(D41,F41,H41,J41,L41)</f>
        <v>1.53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2.29</v>
      </c>
      <c r="E42" s="7" t="s">
        <v>3</v>
      </c>
      <c r="F42" s="7">
        <f>ROUND(((+F66+F65+F64+F63-F62+F61)/(F61+F63+F64+F65)),2)</f>
        <v>0.79</v>
      </c>
      <c r="G42" s="7" t="s">
        <v>3</v>
      </c>
      <c r="H42" s="7">
        <f>ROUND(((+H66+H65+H64+H63-H62+H61)/(H61+H63+H64+H65)),2)</f>
        <v>1.72</v>
      </c>
      <c r="I42" s="7" t="s">
        <v>3</v>
      </c>
      <c r="J42" s="7">
        <f>ROUND(((+J66+J65+J64+J63-J62+J61)/(J61+J63+J64+J65)),2)</f>
        <v>0.76</v>
      </c>
      <c r="K42" s="7" t="s">
        <v>3</v>
      </c>
      <c r="L42" s="7">
        <f>ROUND(((+L66+L65+L64+L63-L62+L61)/(L61+L63+L64+L65)),2)</f>
        <v>1.31</v>
      </c>
      <c r="M42" s="7" t="s">
        <v>3</v>
      </c>
      <c r="N42" s="26">
        <f>AVERAGE(D42,F42,H42,J42,L42)</f>
        <v>1.3739999999999999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3.3000000000000002E-2</v>
      </c>
      <c r="E45" s="11"/>
      <c r="F45" s="11"/>
      <c r="G45" s="11"/>
      <c r="H45" s="11">
        <f>ROUND(H62/H66,3)</f>
        <v>4.7E-2</v>
      </c>
      <c r="I45" s="11"/>
      <c r="J45" s="11"/>
      <c r="K45" s="11"/>
      <c r="L45" s="11">
        <f>ROUND(L62/L66,3)</f>
        <v>0.14599999999999999</v>
      </c>
      <c r="M45" s="3"/>
      <c r="N45" s="3">
        <f t="shared" ref="N45:N50" si="0">AVERAGE(D45,F45,H45,J45,L45)</f>
        <v>7.5333333333333322E-2</v>
      </c>
    </row>
    <row r="46" spans="1:15" x14ac:dyDescent="0.4">
      <c r="B46" t="s">
        <v>17</v>
      </c>
      <c r="D46" s="17">
        <f>ROUND((D57+D59)/(D57+D59+D66+D63+D64+D65),3)</f>
        <v>0.16800000000000001</v>
      </c>
      <c r="E46" s="18"/>
      <c r="F46" s="17">
        <f>ROUND((F57+F59)/(F57+F59+F66+F63+F64+F65),3)</f>
        <v>0.49299999999999999</v>
      </c>
      <c r="G46" s="18"/>
      <c r="H46" s="17">
        <f>ROUND((H57+H59)/(H57+H59+H66+H63+H64+H65),3)</f>
        <v>0.24399999999999999</v>
      </c>
      <c r="I46" s="18"/>
      <c r="J46" s="17">
        <f>ROUND((J57+J59)/(J57+J59+J66+J63+J64+J65),3)</f>
        <v>0.78100000000000003</v>
      </c>
      <c r="K46" s="18"/>
      <c r="L46" s="17">
        <f>ROUND((L57+L59)/(L57+L59+L66+L63+L64+L65),3)</f>
        <v>0.71</v>
      </c>
      <c r="N46" s="3">
        <f t="shared" si="0"/>
        <v>0.47919999999999996</v>
      </c>
    </row>
    <row r="47" spans="1:15" ht="17.25" x14ac:dyDescent="0.4">
      <c r="B47" s="33" t="s">
        <v>100</v>
      </c>
      <c r="D47" s="11">
        <f>ROUND(((+D82+D83+D84+D85+D86-D87+D88-D90-D91)/(+D89-D87)),3)</f>
        <v>0.58699999999999997</v>
      </c>
      <c r="E47" s="12"/>
      <c r="F47" s="11">
        <f>ROUND(((+F82+F83+F84+F85+F86-F87+F88-F90-F91)/(+F89-F87)),3)</f>
        <v>0.56399999999999995</v>
      </c>
      <c r="G47" s="12"/>
      <c r="H47" s="11">
        <f>ROUND(((+H82+H83+H84+H85+H86-H87+H88-H90-H91)/(+H89-H87)),3)</f>
        <v>0.72699999999999998</v>
      </c>
      <c r="I47" s="12"/>
      <c r="J47" s="11">
        <f>ROUND(((+J82+J83+J84+J85+J86-J87+J88-J90-J91)/(+J89-J87)),3)</f>
        <v>0.08</v>
      </c>
      <c r="K47" s="12"/>
      <c r="L47" s="11">
        <f>ROUND(((+L82+L83+L84+L85+L86-L87+L88-L90-L91)/(+L89-L87)),3)</f>
        <v>0.54800000000000004</v>
      </c>
      <c r="N47" s="3">
        <f t="shared" si="0"/>
        <v>0.50119999999999998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0.151</v>
      </c>
      <c r="E48" s="12"/>
      <c r="F48" s="11">
        <f>ROUND(((+F82+F83+F84+F85+F86-F87+F88)/(AVERAGE(F76,H76)+AVERAGE(F79,H79)+AVERAGE(F80,H80))),3)</f>
        <v>0.14099999999999999</v>
      </c>
      <c r="G48" s="12"/>
      <c r="H48" s="11">
        <f>ROUND(((+H82+H83+H84+H85+H86-H87+H88)/(AVERAGE(H76,J76)+AVERAGE(H79,J79)+AVERAGE(H80,J80))),3)</f>
        <v>0.17699999999999999</v>
      </c>
      <c r="I48" s="12"/>
      <c r="J48" s="11">
        <f>ROUND(((+J82+J83+J84+J85+J86-J87+J88)/(AVERAGE(J76,L76)+AVERAGE(J79,L79)+AVERAGE(J80,L80))),3)</f>
        <v>4.7E-2</v>
      </c>
      <c r="K48" s="12"/>
      <c r="L48" s="11">
        <f>ROUND(((+L82+L83+L84+L85+L86-L87+L88)/(AVERAGE(L76,N76)+AVERAGE(L79,N79)+AVERAGE(L80,N80))),3)</f>
        <v>0.13700000000000001</v>
      </c>
      <c r="N48" s="3">
        <f t="shared" si="0"/>
        <v>0.13059999999999999</v>
      </c>
    </row>
    <row r="49" spans="1:15" ht="17.25" x14ac:dyDescent="0.4">
      <c r="B49" s="33" t="s">
        <v>102</v>
      </c>
      <c r="D49" s="27">
        <f>ROUND(((+D82+D83+D84+D85+D86-D87+D88+D92)/D61),2)</f>
        <v>5.28</v>
      </c>
      <c r="E49" t="s">
        <v>3</v>
      </c>
      <c r="F49" s="27">
        <f>ROUND(((+F82+F83+F84+F85+F86-F87+F88+F92)/F61),2)</f>
        <v>4.62</v>
      </c>
      <c r="G49" t="s">
        <v>3</v>
      </c>
      <c r="H49" s="27">
        <f>ROUND(((+H82+H83+H84+H85+H86-H87+H88+H92)/H61),2)</f>
        <v>5.3</v>
      </c>
      <c r="I49" t="s">
        <v>3</v>
      </c>
      <c r="J49" s="27">
        <f>ROUND(((+J82+J83+J84+J85+J86-J87+J88+J92)/J61),2)</f>
        <v>2.16</v>
      </c>
      <c r="K49" t="s">
        <v>3</v>
      </c>
      <c r="L49" s="27">
        <f>ROUND(((+L82+L83+L84+L85+L86-L87+L88+L92)/L61),2)</f>
        <v>4.17</v>
      </c>
      <c r="M49" t="s">
        <v>3</v>
      </c>
      <c r="N49" s="27">
        <f t="shared" si="0"/>
        <v>4.306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4.12</v>
      </c>
      <c r="E50" t="s">
        <v>3</v>
      </c>
      <c r="F50" s="27">
        <f>ROUND(((+F82+F83+F84+F85+F86-F87+F88-F91)/+F90),2)</f>
        <v>4.07</v>
      </c>
      <c r="G50" t="s">
        <v>3</v>
      </c>
      <c r="H50" s="27">
        <f>ROUND(((+H82+H83+H84+H85+H86-H87+H88-H91)/+H90),2)</f>
        <v>5.37</v>
      </c>
      <c r="I50" t="s">
        <v>3</v>
      </c>
      <c r="J50" s="27">
        <f>ROUND(((+J82+J83+J84+J85+J86-J87+J88-J91)/+J90),2)</f>
        <v>1.53</v>
      </c>
      <c r="K50" t="s">
        <v>3</v>
      </c>
      <c r="L50" s="27">
        <f>ROUND(((+L82+L83+L84+L85+L86-L87+L88-L91)/+L90),2)</f>
        <v>5.0599999999999996</v>
      </c>
      <c r="M50" t="s">
        <v>3</v>
      </c>
      <c r="N50" s="27">
        <f t="shared" si="0"/>
        <v>4.03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82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4899.6000000000004</v>
      </c>
      <c r="E56" s="22"/>
      <c r="F56" s="22">
        <v>4681.7</v>
      </c>
      <c r="G56" s="22"/>
      <c r="H56" s="22">
        <v>5208.8999999999996</v>
      </c>
      <c r="I56" s="22"/>
      <c r="J56" s="22">
        <v>5114.5</v>
      </c>
      <c r="K56" s="22"/>
      <c r="L56" s="22">
        <v>4874.6000000000004</v>
      </c>
      <c r="M56" s="22"/>
      <c r="N56" s="22">
        <v>4492.5</v>
      </c>
    </row>
    <row r="57" spans="1:15" x14ac:dyDescent="0.4">
      <c r="A57" s="20" t="s">
        <v>23</v>
      </c>
      <c r="B57" s="20"/>
      <c r="C57" s="20"/>
      <c r="D57" s="22">
        <v>117.8</v>
      </c>
      <c r="E57" s="22"/>
      <c r="F57" s="22">
        <v>-17.100000000000001</v>
      </c>
      <c r="G57" s="22"/>
      <c r="H57" s="22">
        <v>123.5</v>
      </c>
      <c r="I57" s="22"/>
      <c r="J57" s="22">
        <v>-180</v>
      </c>
      <c r="K57" s="22"/>
      <c r="L57" s="22">
        <v>314.5</v>
      </c>
      <c r="M57" s="22"/>
      <c r="N57" s="22">
        <v>182.1</v>
      </c>
    </row>
    <row r="58" spans="1:15" x14ac:dyDescent="0.4">
      <c r="A58" s="20" t="s">
        <v>24</v>
      </c>
      <c r="B58" s="20"/>
      <c r="C58" s="20"/>
      <c r="D58" s="22">
        <f>3892.7+D57</f>
        <v>4010.5</v>
      </c>
      <c r="E58" s="22"/>
      <c r="F58" s="22">
        <f>4130.9+F57</f>
        <v>4113.7999999999993</v>
      </c>
      <c r="G58" s="22"/>
      <c r="H58" s="22">
        <f>4318.2+H57</f>
        <v>4441.7</v>
      </c>
      <c r="I58" s="22"/>
      <c r="J58" s="22">
        <v>3979.2</v>
      </c>
      <c r="K58" s="22"/>
      <c r="L58" s="22">
        <v>4256.8999999999996</v>
      </c>
      <c r="M58" s="22"/>
      <c r="N58" s="22">
        <v>3816.4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1006.9-D57+40.8-3.9</f>
        <v>926</v>
      </c>
      <c r="E60" s="22"/>
      <c r="F60" s="22">
        <f>550.8-F57+32.1-243.5-3.4</f>
        <v>353.1</v>
      </c>
      <c r="G60" s="22"/>
      <c r="H60" s="22">
        <f>890.7-H57-5.2</f>
        <v>762</v>
      </c>
      <c r="I60" s="22"/>
      <c r="J60" s="22">
        <v>302.7</v>
      </c>
      <c r="K60" s="22"/>
      <c r="L60" s="22">
        <v>481.8</v>
      </c>
      <c r="M60" s="22"/>
      <c r="N60" s="22">
        <v>677.6</v>
      </c>
    </row>
    <row r="61" spans="1:15" x14ac:dyDescent="0.4">
      <c r="A61" s="20" t="s">
        <v>27</v>
      </c>
      <c r="B61" s="20"/>
      <c r="C61" s="20"/>
      <c r="D61" s="22">
        <v>341.1</v>
      </c>
      <c r="E61" s="22"/>
      <c r="F61" s="22">
        <v>370.7</v>
      </c>
      <c r="G61" s="22"/>
      <c r="H61" s="22">
        <v>378.9</v>
      </c>
      <c r="I61" s="22"/>
      <c r="J61" s="22">
        <v>362.4</v>
      </c>
      <c r="K61" s="22"/>
      <c r="L61" s="22">
        <v>359.4</v>
      </c>
      <c r="M61" s="22"/>
      <c r="N61" s="22">
        <v>355.1</v>
      </c>
    </row>
    <row r="62" spans="1:15" x14ac:dyDescent="0.4">
      <c r="A62" s="20" t="s">
        <v>28</v>
      </c>
      <c r="B62" s="20"/>
      <c r="C62" s="20"/>
      <c r="D62" s="22">
        <f>13.1+4.6</f>
        <v>17.7</v>
      </c>
      <c r="E62" s="22"/>
      <c r="F62" s="22">
        <f>9.9+7</f>
        <v>16.899999999999999</v>
      </c>
      <c r="G62" s="22"/>
      <c r="H62" s="22">
        <f>8+7.5</f>
        <v>15.5</v>
      </c>
      <c r="I62" s="22"/>
      <c r="J62" s="22">
        <v>23.3</v>
      </c>
      <c r="K62" s="22"/>
      <c r="L62" s="22">
        <v>18.8</v>
      </c>
      <c r="M62" s="22"/>
      <c r="N62" s="22">
        <v>17.2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55.1</v>
      </c>
      <c r="E64" s="22"/>
      <c r="F64" s="22">
        <v>55.1</v>
      </c>
      <c r="G64" s="22"/>
      <c r="H64" s="22">
        <v>55.1</v>
      </c>
      <c r="I64" s="22"/>
      <c r="J64" s="22">
        <v>15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529.79999999999995</v>
      </c>
      <c r="E66" s="22"/>
      <c r="F66" s="22">
        <v>-72.7</v>
      </c>
      <c r="G66" s="22"/>
      <c r="H66" s="22">
        <v>328</v>
      </c>
      <c r="I66" s="22"/>
      <c r="J66" s="22">
        <v>-65.599999999999994</v>
      </c>
      <c r="K66" s="22"/>
      <c r="L66" s="22">
        <v>128.6</v>
      </c>
      <c r="M66" s="22"/>
      <c r="N66" s="22">
        <v>328.1</v>
      </c>
    </row>
    <row r="67" spans="1:14" x14ac:dyDescent="0.4">
      <c r="A67" s="20" t="s">
        <v>33</v>
      </c>
      <c r="B67" s="20"/>
      <c r="C67" s="20"/>
      <c r="D67" s="22">
        <v>1.35</v>
      </c>
      <c r="E67" s="22"/>
      <c r="F67" s="22">
        <v>-0.19</v>
      </c>
      <c r="G67" s="22"/>
      <c r="H67" s="22">
        <v>0.88</v>
      </c>
      <c r="I67" s="22"/>
      <c r="J67" s="22">
        <v>-0.18</v>
      </c>
      <c r="K67" s="22"/>
      <c r="L67" s="22">
        <v>0.39</v>
      </c>
      <c r="M67" s="22"/>
      <c r="N67" s="22">
        <v>1.02</v>
      </c>
    </row>
    <row r="68" spans="1:14" x14ac:dyDescent="0.4">
      <c r="A68" s="20" t="s">
        <v>34</v>
      </c>
      <c r="B68" s="20"/>
      <c r="C68" s="20"/>
      <c r="D68" s="22">
        <f>6947.3-D71</f>
        <v>5400.8</v>
      </c>
      <c r="E68" s="22"/>
      <c r="F68" s="22">
        <f>5752.2-F71</f>
        <v>4872.2</v>
      </c>
      <c r="G68" s="22"/>
      <c r="H68" s="22">
        <f>5986.7-H71</f>
        <v>5106.7</v>
      </c>
      <c r="I68" s="22"/>
      <c r="J68" s="22">
        <v>4870.8999999999996</v>
      </c>
      <c r="K68" s="22"/>
      <c r="L68" s="22">
        <v>4320.1000000000004</v>
      </c>
      <c r="M68" s="22"/>
      <c r="N68" s="22">
        <v>4071.2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1546.5</v>
      </c>
      <c r="E71" s="22"/>
      <c r="F71" s="22">
        <v>880</v>
      </c>
      <c r="G71" s="22"/>
      <c r="H71" s="22">
        <v>880</v>
      </c>
      <c r="I71" s="22"/>
      <c r="J71" s="22">
        <v>880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325.60000000000002</v>
      </c>
      <c r="E75" s="22"/>
      <c r="F75" s="22">
        <v>85.6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9183.4</v>
      </c>
      <c r="E76" s="22"/>
      <c r="F76" s="22">
        <v>9219.7999999999993</v>
      </c>
      <c r="G76" s="22"/>
      <c r="H76" s="22">
        <v>7856.2</v>
      </c>
      <c r="I76" s="22"/>
      <c r="J76" s="22">
        <v>7105.4</v>
      </c>
      <c r="K76" s="22"/>
      <c r="L76" s="22">
        <v>7512.2</v>
      </c>
      <c r="M76" s="22"/>
      <c r="N76" s="22">
        <v>6058.2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16456.3</v>
      </c>
      <c r="E78" s="22"/>
      <c r="F78" s="22">
        <f>SUM(F68:F77)</f>
        <v>15057.599999999999</v>
      </c>
      <c r="G78" s="22"/>
      <c r="H78" s="22">
        <f>SUM(H68:H77)</f>
        <v>13842.9</v>
      </c>
      <c r="I78" s="22"/>
      <c r="J78" s="22">
        <v>12856.3</v>
      </c>
      <c r="K78" s="22"/>
      <c r="L78" s="22">
        <v>11832.3</v>
      </c>
      <c r="M78" s="22"/>
      <c r="N78" s="22">
        <v>10129.4</v>
      </c>
    </row>
    <row r="79" spans="1:14" x14ac:dyDescent="0.4">
      <c r="A79" s="20" t="s">
        <v>45</v>
      </c>
      <c r="B79" s="20"/>
      <c r="C79" s="20"/>
      <c r="D79" s="22">
        <v>58.1</v>
      </c>
      <c r="E79" s="22"/>
      <c r="F79" s="22">
        <v>23.3</v>
      </c>
      <c r="G79" s="22"/>
      <c r="H79" s="22">
        <v>13.4</v>
      </c>
      <c r="I79" s="22"/>
      <c r="J79" s="22">
        <v>50</v>
      </c>
      <c r="K79" s="22"/>
      <c r="L79" s="22">
        <v>284.3</v>
      </c>
      <c r="M79" s="22"/>
      <c r="N79" s="22">
        <v>363.1</v>
      </c>
    </row>
    <row r="80" spans="1:14" x14ac:dyDescent="0.4">
      <c r="A80" s="20" t="s">
        <v>46</v>
      </c>
      <c r="B80" s="20"/>
      <c r="C80" s="20"/>
      <c r="D80" s="22">
        <v>560</v>
      </c>
      <c r="E80" s="22"/>
      <c r="F80" s="22">
        <v>503</v>
      </c>
      <c r="G80" s="22"/>
      <c r="H80" s="22">
        <v>1773.2</v>
      </c>
      <c r="I80" s="22"/>
      <c r="J80" s="22">
        <v>1977.2</v>
      </c>
      <c r="K80" s="22"/>
      <c r="L80" s="22">
        <v>1205.7</v>
      </c>
      <c r="M80" s="22"/>
      <c r="N80" s="22">
        <v>1488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588.79999999999995</v>
      </c>
      <c r="E82" s="22"/>
      <c r="F82" s="22">
        <v>-14.2</v>
      </c>
      <c r="G82" s="22"/>
      <c r="H82" s="22">
        <v>383.1</v>
      </c>
      <c r="I82" s="22"/>
      <c r="J82" s="22">
        <v>-50.6</v>
      </c>
      <c r="K82" s="22"/>
      <c r="L82" s="22">
        <v>128.6</v>
      </c>
      <c r="M82" s="22"/>
      <c r="N82" s="22">
        <v>328.1</v>
      </c>
    </row>
    <row r="83" spans="1:14" x14ac:dyDescent="0.4">
      <c r="A83" s="20" t="s">
        <v>49</v>
      </c>
      <c r="B83" s="20"/>
      <c r="C83" s="20"/>
      <c r="D83" s="22">
        <v>748.4</v>
      </c>
      <c r="E83" s="22"/>
      <c r="F83" s="22">
        <v>725.9</v>
      </c>
      <c r="G83" s="22"/>
      <c r="H83" s="22">
        <v>717.4</v>
      </c>
      <c r="I83" s="22"/>
      <c r="J83" s="22">
        <v>607.1</v>
      </c>
      <c r="K83" s="22"/>
      <c r="L83" s="22">
        <v>577.70000000000005</v>
      </c>
      <c r="M83" s="22"/>
      <c r="N83" s="22">
        <v>554.70000000000005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9.4</v>
      </c>
      <c r="G84" s="22"/>
      <c r="H84" s="22">
        <v>8.1999999999999993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111.9</v>
      </c>
      <c r="E85" s="22"/>
      <c r="F85" s="22">
        <v>-29</v>
      </c>
      <c r="G85" s="22"/>
      <c r="H85" s="22">
        <v>118.2</v>
      </c>
      <c r="I85" s="22"/>
      <c r="J85" s="22">
        <v>-187.2</v>
      </c>
      <c r="K85" s="22"/>
      <c r="L85" s="22">
        <v>307.7</v>
      </c>
      <c r="M85" s="22"/>
      <c r="N85" s="22">
        <v>182.3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-1</v>
      </c>
      <c r="K86" s="22"/>
      <c r="L86" s="22">
        <v>-1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9.9</v>
      </c>
      <c r="G87" s="22"/>
      <c r="H87" s="22">
        <v>8</v>
      </c>
      <c r="I87" s="22"/>
      <c r="J87" s="22">
        <v>14.2</v>
      </c>
      <c r="K87" s="22"/>
      <c r="L87" s="22">
        <v>12.6</v>
      </c>
      <c r="M87" s="22"/>
      <c r="N87" s="22">
        <v>11.6</v>
      </c>
    </row>
    <row r="88" spans="1:14" x14ac:dyDescent="0.4">
      <c r="A88" s="20" t="s">
        <v>69</v>
      </c>
      <c r="B88" s="20"/>
      <c r="C88" s="20"/>
      <c r="D88" s="22">
        <f>24.3+5.6-0.7</f>
        <v>29.2</v>
      </c>
      <c r="E88" s="22"/>
      <c r="F88" s="22">
        <f>243.5+17.4+409.8+9.4+0.2</f>
        <v>680.30000000000007</v>
      </c>
      <c r="G88" s="22"/>
      <c r="H88" s="22">
        <f>25.9+414.5-0.9</f>
        <v>439.5</v>
      </c>
      <c r="I88" s="22"/>
      <c r="J88" s="22">
        <v>75.8</v>
      </c>
      <c r="K88" s="22"/>
      <c r="L88" s="22">
        <v>158.1</v>
      </c>
      <c r="M88" s="22"/>
      <c r="N88" s="22">
        <v>42.7</v>
      </c>
    </row>
    <row r="89" spans="1:14" x14ac:dyDescent="0.4">
      <c r="A89" s="20" t="s">
        <v>54</v>
      </c>
      <c r="B89" s="20"/>
      <c r="C89" s="20"/>
      <c r="D89" s="22">
        <v>1838</v>
      </c>
      <c r="E89" s="22"/>
      <c r="F89" s="22">
        <v>1758.1</v>
      </c>
      <c r="G89" s="22"/>
      <c r="H89" s="22">
        <v>1802.4</v>
      </c>
      <c r="I89" s="22"/>
      <c r="J89" s="22">
        <v>1832.4</v>
      </c>
      <c r="K89" s="22"/>
      <c r="L89" s="22">
        <v>1708.4</v>
      </c>
      <c r="M89" s="22"/>
      <c r="N89" s="22">
        <v>1486.8</v>
      </c>
    </row>
    <row r="90" spans="1:14" x14ac:dyDescent="0.4">
      <c r="A90" s="20" t="s">
        <v>55</v>
      </c>
      <c r="B90" s="20"/>
      <c r="C90" s="20"/>
      <c r="D90" s="22">
        <v>345.2</v>
      </c>
      <c r="E90" s="22"/>
      <c r="F90" s="22">
        <v>321.60000000000002</v>
      </c>
      <c r="G90" s="22"/>
      <c r="H90" s="22">
        <v>298.5</v>
      </c>
      <c r="I90" s="22"/>
      <c r="J90" s="22">
        <v>273.3</v>
      </c>
      <c r="K90" s="22"/>
      <c r="L90" s="22">
        <v>229.1</v>
      </c>
      <c r="M90" s="22"/>
      <c r="N90" s="22">
        <v>205.5</v>
      </c>
    </row>
    <row r="91" spans="1:14" x14ac:dyDescent="0.4">
      <c r="A91" s="20" t="s">
        <v>56</v>
      </c>
      <c r="B91" s="20"/>
      <c r="C91" s="20"/>
      <c r="D91" s="22">
        <v>55.1</v>
      </c>
      <c r="E91" s="22"/>
      <c r="F91" s="22">
        <v>55.1</v>
      </c>
      <c r="G91" s="22"/>
      <c r="H91" s="22">
        <v>56.1</v>
      </c>
      <c r="I91" s="22"/>
      <c r="J91" s="22">
        <v>11.6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322.39999999999998</v>
      </c>
      <c r="E92" s="22"/>
      <c r="F92" s="22">
        <v>349</v>
      </c>
      <c r="G92" s="22"/>
      <c r="H92" s="22">
        <v>349.7</v>
      </c>
      <c r="I92" s="22"/>
      <c r="J92" s="22">
        <v>354.2</v>
      </c>
      <c r="K92" s="22"/>
      <c r="L92" s="22">
        <v>339.9</v>
      </c>
      <c r="M92" s="22"/>
      <c r="N92" s="22">
        <v>337.8</v>
      </c>
    </row>
    <row r="93" spans="1:14" x14ac:dyDescent="0.4">
      <c r="A93" s="20" t="s">
        <v>58</v>
      </c>
      <c r="B93" s="20"/>
      <c r="C93" s="20"/>
      <c r="D93" s="22">
        <v>5.4</v>
      </c>
      <c r="E93" s="22"/>
      <c r="F93" s="22">
        <v>-1</v>
      </c>
      <c r="G93" s="22"/>
      <c r="H93" s="22">
        <v>10.8</v>
      </c>
      <c r="I93" s="22"/>
      <c r="J93" s="22">
        <v>3.3</v>
      </c>
      <c r="K93" s="22"/>
      <c r="L93" s="22">
        <v>5.5</v>
      </c>
      <c r="M93" s="22"/>
      <c r="N93" s="22">
        <v>8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345.5</v>
      </c>
      <c r="E96" s="22"/>
      <c r="F96" s="22">
        <v>321.7</v>
      </c>
      <c r="G96" s="22"/>
      <c r="H96" s="22">
        <v>298.5</v>
      </c>
      <c r="I96" s="22"/>
      <c r="J96" s="22">
        <v>273.5</v>
      </c>
      <c r="K96" s="22"/>
      <c r="L96" s="22">
        <v>229.4</v>
      </c>
      <c r="M96" s="22"/>
      <c r="N96" s="22">
        <v>205.7</v>
      </c>
    </row>
    <row r="97" spans="1:14" x14ac:dyDescent="0.4">
      <c r="A97" s="20" t="s">
        <v>60</v>
      </c>
      <c r="B97" s="20"/>
      <c r="C97" s="20"/>
      <c r="D97" s="22">
        <v>0.88</v>
      </c>
      <c r="E97" s="22"/>
      <c r="F97" s="22">
        <v>0.84</v>
      </c>
      <c r="G97" s="22"/>
      <c r="H97" s="22">
        <v>0.8</v>
      </c>
      <c r="I97" s="22"/>
      <c r="J97" s="22">
        <v>0.78</v>
      </c>
      <c r="K97" s="22"/>
      <c r="L97" s="22">
        <v>0.7</v>
      </c>
      <c r="M97" s="22"/>
      <c r="N97" s="22">
        <v>0.64</v>
      </c>
    </row>
    <row r="98" spans="1:14" x14ac:dyDescent="0.4">
      <c r="A98" s="20" t="s">
        <v>61</v>
      </c>
      <c r="B98" s="20"/>
      <c r="C98" s="20"/>
      <c r="D98" s="22">
        <v>0.88</v>
      </c>
      <c r="E98" s="22"/>
      <c r="F98" s="22">
        <v>0.84</v>
      </c>
      <c r="G98" s="22"/>
      <c r="H98" s="22">
        <v>0.8</v>
      </c>
      <c r="I98" s="22"/>
      <c r="J98" s="22">
        <v>0.78</v>
      </c>
      <c r="K98" s="22"/>
      <c r="L98" s="22">
        <v>0.7</v>
      </c>
      <c r="M98" s="22"/>
      <c r="N98" s="22">
        <v>0.64</v>
      </c>
    </row>
    <row r="99" spans="1:14" x14ac:dyDescent="0.4">
      <c r="A99" s="20" t="s">
        <v>62</v>
      </c>
      <c r="B99" s="20"/>
      <c r="C99" s="20"/>
      <c r="D99" s="22">
        <v>27.85</v>
      </c>
      <c r="E99" s="22"/>
      <c r="F99" s="22">
        <v>30.46</v>
      </c>
      <c r="G99" s="22"/>
      <c r="H99" s="22">
        <v>30.67</v>
      </c>
      <c r="I99" s="22"/>
      <c r="J99" s="22">
        <v>28.11</v>
      </c>
      <c r="K99" s="22"/>
      <c r="L99" s="22">
        <v>27.76</v>
      </c>
      <c r="M99" s="22"/>
      <c r="N99" s="22">
        <v>26.94</v>
      </c>
    </row>
    <row r="100" spans="1:14" x14ac:dyDescent="0.4">
      <c r="A100" s="20" t="s">
        <v>63</v>
      </c>
      <c r="B100" s="20"/>
      <c r="C100" s="20"/>
      <c r="D100" s="22">
        <v>21.09</v>
      </c>
      <c r="E100" s="22"/>
      <c r="F100" s="22">
        <v>19.559999999999999</v>
      </c>
      <c r="G100" s="22"/>
      <c r="H100" s="22">
        <v>24.69</v>
      </c>
      <c r="I100" s="22"/>
      <c r="J100" s="22">
        <v>22.44</v>
      </c>
      <c r="K100" s="22"/>
      <c r="L100" s="22">
        <v>21.65</v>
      </c>
      <c r="M100" s="22"/>
      <c r="N100" s="22">
        <v>19.05</v>
      </c>
    </row>
    <row r="101" spans="1:14" x14ac:dyDescent="0.4">
      <c r="A101" s="20" t="s">
        <v>64</v>
      </c>
      <c r="B101" s="20"/>
      <c r="C101" s="20"/>
      <c r="D101" s="36">
        <v>27.61</v>
      </c>
      <c r="E101" s="22"/>
      <c r="F101" s="35">
        <v>22.94</v>
      </c>
      <c r="G101" s="22"/>
      <c r="H101" s="22">
        <v>27.84</v>
      </c>
      <c r="I101" s="22"/>
      <c r="J101" s="22">
        <v>25.35</v>
      </c>
      <c r="K101" s="22"/>
      <c r="L101" s="22">
        <v>25.67</v>
      </c>
      <c r="M101" s="22"/>
      <c r="N101" s="22">
        <v>22.14</v>
      </c>
    </row>
    <row r="102" spans="1:14" x14ac:dyDescent="0.4">
      <c r="A102" s="20" t="s">
        <v>65</v>
      </c>
      <c r="B102" s="20"/>
      <c r="C102" s="20"/>
      <c r="D102" s="22">
        <v>405.303023</v>
      </c>
      <c r="E102" s="22"/>
      <c r="F102" s="22">
        <v>391.76005099999998</v>
      </c>
      <c r="G102" s="22"/>
      <c r="H102" s="22">
        <v>382.13600000000002</v>
      </c>
      <c r="I102" s="22"/>
      <c r="J102" s="22">
        <v>372.363</v>
      </c>
      <c r="K102" s="22"/>
      <c r="L102" s="22">
        <v>337.01600000000002</v>
      </c>
      <c r="M102" s="22"/>
      <c r="N102" s="22">
        <v>323.16000000000003</v>
      </c>
    </row>
    <row r="103" spans="1:14" x14ac:dyDescent="0.4">
      <c r="A103" s="20" t="s">
        <v>91</v>
      </c>
      <c r="B103" s="20"/>
      <c r="C103" s="20"/>
      <c r="D103" s="22">
        <v>-126.8</v>
      </c>
      <c r="E103" s="22"/>
      <c r="F103" s="22">
        <v>-156.69999999999999</v>
      </c>
      <c r="G103" s="22"/>
      <c r="H103" s="22">
        <v>-92.6</v>
      </c>
      <c r="I103" s="22"/>
      <c r="J103" s="22">
        <v>-37.200000000000003</v>
      </c>
      <c r="K103" s="22"/>
      <c r="L103" s="22">
        <v>-43.4</v>
      </c>
      <c r="M103" s="22"/>
      <c r="N103" s="22">
        <v>-25.1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1.35</v>
      </c>
      <c r="F105" s="15">
        <f>F67/F94</f>
        <v>-0.19</v>
      </c>
      <c r="H105" s="15">
        <f>H67/H94</f>
        <v>0.88</v>
      </c>
      <c r="J105" s="15">
        <f>J67/J94</f>
        <v>-0.18</v>
      </c>
      <c r="L105" s="15">
        <f>L67/L94</f>
        <v>0.39</v>
      </c>
      <c r="N105" s="15">
        <f>N67/N94</f>
        <v>1.02</v>
      </c>
    </row>
    <row r="106" spans="1:14" x14ac:dyDescent="0.4">
      <c r="B106" t="s">
        <v>60</v>
      </c>
      <c r="D106" s="15">
        <f>D97/D94</f>
        <v>0.88</v>
      </c>
      <c r="F106" s="15">
        <f>F97/F94</f>
        <v>0.84</v>
      </c>
      <c r="H106" s="15">
        <f>H97/H94</f>
        <v>0.8</v>
      </c>
      <c r="J106" s="15">
        <f>J97/J94</f>
        <v>0.78</v>
      </c>
      <c r="L106" s="15">
        <f>L97/L94</f>
        <v>0.7</v>
      </c>
      <c r="N106" s="15">
        <f>N97/N94</f>
        <v>0.64</v>
      </c>
    </row>
    <row r="107" spans="1:14" x14ac:dyDescent="0.4">
      <c r="B107" t="s">
        <v>61</v>
      </c>
      <c r="D107" s="15">
        <f>D98/D94</f>
        <v>0.88</v>
      </c>
      <c r="F107" s="15">
        <f>F98/F94</f>
        <v>0.84</v>
      </c>
      <c r="H107" s="15">
        <f>H98/H94</f>
        <v>0.8</v>
      </c>
      <c r="J107" s="15">
        <f>J98/J94</f>
        <v>0.78</v>
      </c>
      <c r="L107" s="15">
        <f>L98/L94</f>
        <v>0.7</v>
      </c>
      <c r="N107" s="15">
        <f>N98/N94</f>
        <v>0.64</v>
      </c>
    </row>
    <row r="108" spans="1:14" x14ac:dyDescent="0.4">
      <c r="B108" t="s">
        <v>62</v>
      </c>
      <c r="D108" s="15">
        <f>D99/D94</f>
        <v>27.85</v>
      </c>
      <c r="F108" s="15">
        <f>F99/F94</f>
        <v>30.46</v>
      </c>
      <c r="H108" s="15">
        <f>H99/H94</f>
        <v>30.67</v>
      </c>
      <c r="J108" s="15">
        <f>J99/J94</f>
        <v>28.11</v>
      </c>
      <c r="L108" s="15">
        <f>L99/L94</f>
        <v>27.76</v>
      </c>
      <c r="N108" s="15">
        <f>N99/N94</f>
        <v>26.94</v>
      </c>
    </row>
    <row r="109" spans="1:14" x14ac:dyDescent="0.4">
      <c r="B109" t="s">
        <v>63</v>
      </c>
      <c r="D109" s="15">
        <f>D100/D94</f>
        <v>21.09</v>
      </c>
      <c r="F109" s="15">
        <f>F100/F94</f>
        <v>19.559999999999999</v>
      </c>
      <c r="H109" s="15">
        <f>H100/H94</f>
        <v>24.69</v>
      </c>
      <c r="J109" s="15">
        <f>J100/J94</f>
        <v>22.44</v>
      </c>
      <c r="L109" s="15">
        <f>L100/L94</f>
        <v>21.65</v>
      </c>
      <c r="N109" s="15">
        <f>N100/N94</f>
        <v>19.05</v>
      </c>
    </row>
    <row r="110" spans="1:14" x14ac:dyDescent="0.4">
      <c r="B110" t="s">
        <v>64</v>
      </c>
      <c r="D110" s="15">
        <f>D101/D94</f>
        <v>27.61</v>
      </c>
      <c r="F110" s="15">
        <f>F101/F94</f>
        <v>22.94</v>
      </c>
      <c r="H110" s="15">
        <f>H101/H94</f>
        <v>27.84</v>
      </c>
      <c r="J110" s="15">
        <f>J101/J94</f>
        <v>25.35</v>
      </c>
      <c r="L110" s="15">
        <f>L101/L94</f>
        <v>25.67</v>
      </c>
      <c r="N110" s="15">
        <f>N101/N94</f>
        <v>22.14</v>
      </c>
    </row>
    <row r="111" spans="1:14" x14ac:dyDescent="0.4">
      <c r="B111" t="s">
        <v>65</v>
      </c>
      <c r="D111" s="16">
        <f>D102*D94</f>
        <v>405.303023</v>
      </c>
      <c r="E111" s="16"/>
      <c r="F111" s="16">
        <f>F102*F94</f>
        <v>391.76005099999998</v>
      </c>
      <c r="G111" s="16"/>
      <c r="H111" s="16">
        <f>H102*H94</f>
        <v>382.13600000000002</v>
      </c>
      <c r="I111" s="16"/>
      <c r="J111" s="16">
        <f>J102*J94</f>
        <v>372.363</v>
      </c>
      <c r="K111" s="16"/>
      <c r="L111" s="16">
        <f>L102*L94</f>
        <v>337.01600000000002</v>
      </c>
      <c r="M111" s="16"/>
      <c r="N111" s="16">
        <f>N102*N94</f>
        <v>323.16000000000003</v>
      </c>
    </row>
    <row r="112" spans="1:14" x14ac:dyDescent="0.4">
      <c r="B112" t="s">
        <v>66</v>
      </c>
      <c r="D112" s="15">
        <f>ROUND(D68/D111,2)</f>
        <v>13.33</v>
      </c>
      <c r="F112" s="15">
        <f>ROUND(F68/F111,2)</f>
        <v>12.44</v>
      </c>
      <c r="H112" s="15">
        <f>ROUND(H68/H111,2)</f>
        <v>13.36</v>
      </c>
      <c r="J112" s="15">
        <f>ROUND(J68/J111,2)</f>
        <v>13.08</v>
      </c>
      <c r="L112" s="15">
        <f>ROUND(L68/L111,2)</f>
        <v>12.82</v>
      </c>
      <c r="N112" s="15">
        <f>ROUND(N68/N111,2)</f>
        <v>12.6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ALLIANT ENERGY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13358</v>
      </c>
      <c r="F8" s="34">
        <f>F78+F79+F81-F103</f>
        <v>12666</v>
      </c>
      <c r="H8" s="34">
        <f>H78+H79+H81-H103</f>
        <v>11594.000000000002</v>
      </c>
      <c r="J8" s="34">
        <f>J78+J79+J81-J103</f>
        <v>10286.799999999999</v>
      </c>
      <c r="L8" s="34">
        <f>L78+L79+L81-L103</f>
        <v>9249</v>
      </c>
    </row>
    <row r="9" spans="1:15" x14ac:dyDescent="0.4">
      <c r="B9" t="s">
        <v>5</v>
      </c>
      <c r="D9" s="9">
        <f>D80</f>
        <v>515</v>
      </c>
      <c r="F9" s="9">
        <f>F80</f>
        <v>389</v>
      </c>
      <c r="H9" s="9">
        <f>H80</f>
        <v>337.4</v>
      </c>
      <c r="J9" s="9">
        <f>J80</f>
        <v>441.2</v>
      </c>
      <c r="L9" s="9">
        <f>L80</f>
        <v>415.2</v>
      </c>
    </row>
    <row r="10" spans="1:15" ht="15.4" thickBot="1" x14ac:dyDescent="0.45">
      <c r="B10" t="s">
        <v>7</v>
      </c>
      <c r="D10" s="10">
        <f>D8+D9</f>
        <v>13873</v>
      </c>
      <c r="F10" s="10">
        <f>F8+F9</f>
        <v>13055</v>
      </c>
      <c r="H10" s="10">
        <f>H8+H9</f>
        <v>11931.400000000001</v>
      </c>
      <c r="J10" s="10">
        <f>J8+J9</f>
        <v>10728</v>
      </c>
      <c r="L10" s="10">
        <f>L8+L9</f>
        <v>9664.2000000000007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21</v>
      </c>
      <c r="E13" s="7" t="s">
        <v>3</v>
      </c>
      <c r="F13" s="30">
        <f>ROUND(AVERAGE(F108:F109)/F105,0)</f>
        <v>20</v>
      </c>
      <c r="G13" s="7" t="s">
        <v>3</v>
      </c>
      <c r="H13" s="30">
        <f>ROUND(AVERAGE(H108:H109)/H105,0)</f>
        <v>21</v>
      </c>
      <c r="I13" s="7" t="s">
        <v>3</v>
      </c>
      <c r="J13" s="30">
        <f>ROUND(AVERAGE(J108:J109)/J105,0)</f>
        <v>19</v>
      </c>
      <c r="K13" s="7" t="s">
        <v>3</v>
      </c>
      <c r="L13" s="30">
        <f>ROUND(AVERAGE(L108:L109)/L105,0)</f>
        <v>21</v>
      </c>
      <c r="M13" s="7" t="s">
        <v>3</v>
      </c>
      <c r="N13" s="30">
        <f>AVERAGE(D13,F13,H13,J13,L13)</f>
        <v>20.399999999999999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2.3210000000000002</v>
      </c>
      <c r="E14" s="3"/>
      <c r="F14" s="3">
        <f>ROUND(AVERAGE(F108:F109)/AVERAGE(F112,H112),3)</f>
        <v>2.226</v>
      </c>
      <c r="G14" s="3"/>
      <c r="H14" s="3">
        <f>ROUND(AVERAGE(H108:H109)/AVERAGE(H112,J112),3)</f>
        <v>2.3639999999999999</v>
      </c>
      <c r="I14" s="3"/>
      <c r="J14" s="3">
        <f>ROUND(AVERAGE(J108:J109)/AVERAGE(J112,L112),3)</f>
        <v>2.2240000000000002</v>
      </c>
      <c r="K14" s="3"/>
      <c r="L14" s="3">
        <f>ROUND(AVERAGE(L108:L109)/AVERAGE(L112,N112),3)</f>
        <v>2.343</v>
      </c>
      <c r="M14" s="3"/>
      <c r="N14" s="3">
        <f>AVERAGE(D14,F14,H14,J14,L14)</f>
        <v>2.2956000000000003</v>
      </c>
    </row>
    <row r="15" spans="1:15" x14ac:dyDescent="0.4">
      <c r="B15" t="s">
        <v>9</v>
      </c>
      <c r="D15" s="3">
        <f>ROUND(D106/AVERAGE(D108:D109),3)</f>
        <v>0.03</v>
      </c>
      <c r="E15" s="3"/>
      <c r="F15" s="3">
        <f>ROUND(F106/AVERAGE(F108:F109),3)</f>
        <v>3.1E-2</v>
      </c>
      <c r="G15" s="3"/>
      <c r="H15" s="3">
        <f>ROUND(H106/AVERAGE(H108:H109),3)</f>
        <v>0.03</v>
      </c>
      <c r="I15" s="3"/>
      <c r="J15" s="3">
        <f>ROUND(J106/AVERAGE(J108:J109),3)</f>
        <v>3.2000000000000001E-2</v>
      </c>
      <c r="K15" s="3"/>
      <c r="L15" s="3">
        <f>ROUND(L106/AVERAGE(L108:L109),3)</f>
        <v>3.1E-2</v>
      </c>
      <c r="M15" s="3"/>
      <c r="N15" s="3">
        <f>AVERAGE(D15,F15,H15,J15,L15)</f>
        <v>3.0800000000000001E-2</v>
      </c>
    </row>
    <row r="16" spans="1:15" x14ac:dyDescent="0.4">
      <c r="B16" t="s">
        <v>10</v>
      </c>
      <c r="D16" s="3">
        <f>ROUND(D96/D66,3)</f>
        <v>0.61199999999999999</v>
      </c>
      <c r="E16" s="3"/>
      <c r="F16" s="3">
        <f>ROUND(F96/F66,3)</f>
        <v>0.61399999999999999</v>
      </c>
      <c r="G16" s="3"/>
      <c r="H16" s="3">
        <f>ROUND(H96/H66,3)</f>
        <v>0.60599999999999998</v>
      </c>
      <c r="I16" s="3"/>
      <c r="J16" s="3">
        <f>ROUND(J96/J66,3)</f>
        <v>0.61</v>
      </c>
      <c r="K16" s="3"/>
      <c r="L16" s="3">
        <f>ROUND(L96/L66,3)</f>
        <v>0.63200000000000001</v>
      </c>
      <c r="M16" s="3"/>
      <c r="N16" s="3">
        <f>AVERAGE(D16,F16,H16,J16,L16)</f>
        <v>0.61480000000000001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0.55200000000000005</v>
      </c>
      <c r="E20" s="3"/>
      <c r="F20" s="3">
        <f>ROUND((+F76+F79)/F8,3)</f>
        <v>0.53500000000000003</v>
      </c>
      <c r="G20" s="3"/>
      <c r="H20" s="3">
        <f>ROUND((+H76+H79)/H8,3)</f>
        <v>0.53400000000000003</v>
      </c>
      <c r="I20" s="3"/>
      <c r="J20" s="3">
        <f>ROUND((+J76+J79)/J8,3)</f>
        <v>0.53500000000000003</v>
      </c>
      <c r="K20" s="3"/>
      <c r="L20" s="3">
        <f>ROUND((+L76+L79)/L8,3)</f>
        <v>0.52600000000000002</v>
      </c>
      <c r="M20" s="3"/>
      <c r="N20" s="3">
        <f>AVERAGE(D20,F20,H20,J20,L20)</f>
        <v>0.5364000000000001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1.6E-2</v>
      </c>
      <c r="G21" s="3"/>
      <c r="H21" s="3">
        <f>ROUND((SUM(H69:H75)+H81)/H8,3)</f>
        <v>1.7000000000000001E-2</v>
      </c>
      <c r="I21" s="3"/>
      <c r="J21" s="3">
        <f>ROUND((SUM(J69:J75)+J81)/J8,3)</f>
        <v>1.9E-2</v>
      </c>
      <c r="K21" s="3"/>
      <c r="L21" s="3">
        <f>ROUND((SUM(L69:L75)+L81)/L8,3)</f>
        <v>2.1999999999999999E-2</v>
      </c>
      <c r="M21" s="3"/>
      <c r="N21" s="3">
        <f>AVERAGE(D21,F21,H21,J21,L21)</f>
        <v>1.4800000000000002E-2</v>
      </c>
    </row>
    <row r="22" spans="1:14" ht="17.25" x14ac:dyDescent="0.4">
      <c r="B22" s="32" t="s">
        <v>94</v>
      </c>
      <c r="D22" s="4">
        <f>ROUND((D68-D103)/D8,3)</f>
        <v>0.44800000000000001</v>
      </c>
      <c r="E22" s="3"/>
      <c r="F22" s="4">
        <f>ROUND((F68-F103)/F8,3)</f>
        <v>0.44900000000000001</v>
      </c>
      <c r="G22" s="3"/>
      <c r="H22" s="4">
        <f>ROUND((H68-H103)/H8,3)</f>
        <v>0.44900000000000001</v>
      </c>
      <c r="I22" s="3"/>
      <c r="J22" s="4">
        <f>ROUND((J68-J103)/J8,3)</f>
        <v>0.44600000000000001</v>
      </c>
      <c r="K22" s="3"/>
      <c r="L22" s="4">
        <f>ROUND((L68-L103)/L8,3)</f>
        <v>0.45200000000000001</v>
      </c>
      <c r="M22" s="3"/>
      <c r="N22" s="4">
        <f>AVERAGE(D22,F22,H22,J22,L22)</f>
        <v>0.44880000000000003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0.56799999999999995</v>
      </c>
      <c r="E25" s="3"/>
      <c r="F25" s="3">
        <f>ROUND((+F76+F79+F80)/F10,3)</f>
        <v>0.54900000000000004</v>
      </c>
      <c r="G25" s="3"/>
      <c r="H25" s="3">
        <f>ROUND((+H76+H79+H80)/H10,3)</f>
        <v>0.54700000000000004</v>
      </c>
      <c r="I25" s="3"/>
      <c r="J25" s="3">
        <f>ROUND((+J76+J79+J80)/J10,3)</f>
        <v>0.55400000000000005</v>
      </c>
      <c r="K25" s="3"/>
      <c r="L25" s="3">
        <f>ROUND((+L76+L79+L80)/L10,3)</f>
        <v>0.54700000000000004</v>
      </c>
      <c r="M25" s="3"/>
      <c r="N25" s="3">
        <f>AVERAGE(D25,F25,H25,J25,L25)</f>
        <v>0.55300000000000005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1.4999999999999999E-2</v>
      </c>
      <c r="G26" s="3"/>
      <c r="H26" s="3">
        <f>ROUND((SUM(H69:H75)+H81)/H10,3)</f>
        <v>1.7000000000000001E-2</v>
      </c>
      <c r="I26" s="3"/>
      <c r="J26" s="3">
        <f>ROUND((SUM(J69:J75)+J81)/J10,3)</f>
        <v>1.9E-2</v>
      </c>
      <c r="K26" s="3"/>
      <c r="L26" s="3">
        <f>ROUND((SUM(L69:L75)+L81)/L10,3)</f>
        <v>2.1000000000000001E-2</v>
      </c>
      <c r="M26" s="3"/>
      <c r="N26" s="3">
        <f>AVERAGE(D26,F26,H26,J26,L26)</f>
        <v>1.4400000000000001E-2</v>
      </c>
    </row>
    <row r="27" spans="1:14" ht="17.25" x14ac:dyDescent="0.4">
      <c r="B27" s="32" t="s">
        <v>94</v>
      </c>
      <c r="D27" s="4">
        <f>ROUND((D68-D103)/D10,3)</f>
        <v>0.432</v>
      </c>
      <c r="E27" s="3"/>
      <c r="F27" s="4">
        <f>ROUND((F68-F103)/F10,3)</f>
        <v>0.436</v>
      </c>
      <c r="G27" s="3"/>
      <c r="H27" s="4">
        <f>ROUND((H68-H103)/H10,3)</f>
        <v>0.436</v>
      </c>
      <c r="I27" s="3"/>
      <c r="J27" s="4">
        <f>ROUND((J68-J103)/J10,3)</f>
        <v>0.42699999999999999</v>
      </c>
      <c r="K27" s="3"/>
      <c r="L27" s="4">
        <f>ROUND((L68-L103)/L10,3)</f>
        <v>0.433</v>
      </c>
      <c r="M27" s="3"/>
      <c r="N27" s="4">
        <f>AVERAGE(D27,F27,H27,J27,L27)</f>
        <v>0.43280000000000002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1.0010000000000001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0.113</v>
      </c>
      <c r="E30" s="3"/>
      <c r="F30" s="3">
        <f>ROUND(+F66/(((F68-F103)+(H68-H103))/2),3)</f>
        <v>0.113</v>
      </c>
      <c r="G30" s="3"/>
      <c r="H30" s="3">
        <f>ROUND(+H66/(((H68-H103)+(J68-J103))/2),3)</f>
        <v>0.114</v>
      </c>
      <c r="I30" s="3"/>
      <c r="J30" s="3">
        <f>ROUND(+J66/(((J68-J103)+(L68-L103))/2),3)</f>
        <v>0.11700000000000001</v>
      </c>
      <c r="K30" s="3"/>
      <c r="L30" s="3">
        <f>ROUND(+L66/(((L68-L103)+(N68-N103))/2),3)</f>
        <v>0.113</v>
      </c>
      <c r="M30" s="3"/>
      <c r="N30" s="3">
        <f>AVERAGE(D30,F30,H30,J30,L30)</f>
        <v>0.11400000000000002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0.78300000000000003</v>
      </c>
      <c r="E32" s="3"/>
      <c r="F32" s="3">
        <f>ROUND((+F58-F57)/F56,3)</f>
        <v>0.78300000000000003</v>
      </c>
      <c r="G32" s="3"/>
      <c r="H32" s="3">
        <f>ROUND((+H58-H57)/H56,3)</f>
        <v>0.78700000000000003</v>
      </c>
      <c r="I32" s="3"/>
      <c r="J32" s="3">
        <f>ROUND((+J58-J57)/J56,3)</f>
        <v>0.80400000000000005</v>
      </c>
      <c r="K32" s="3"/>
      <c r="L32" s="3">
        <f>ROUND((+L58-L57)/L56,3)</f>
        <v>0.80700000000000005</v>
      </c>
      <c r="M32" s="3"/>
      <c r="N32" s="3">
        <f>AVERAGE(D32,F32,H32,J32,L32)</f>
        <v>0.79279999999999995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3.17</v>
      </c>
      <c r="E35" s="7" t="s">
        <v>3</v>
      </c>
      <c r="F35" s="7">
        <f>ROUND(((+F66+F65+F64+F63+F61+F59+F57)/F61),2)</f>
        <v>3.06</v>
      </c>
      <c r="G35" s="7" t="s">
        <v>3</v>
      </c>
      <c r="H35" s="7">
        <f>ROUND(((+H66+H65+H64+H63+H61+H59+H57)/H61),2)</f>
        <v>3.33</v>
      </c>
      <c r="I35" s="7" t="s">
        <v>3</v>
      </c>
      <c r="J35" s="7">
        <f>ROUND(((+J66+J65+J64+J63+J61+J59+J57)/J61),2)</f>
        <v>3.31</v>
      </c>
      <c r="K35" s="7" t="s">
        <v>3</v>
      </c>
      <c r="L35" s="7">
        <f>ROUND(((+L66+L65+L64+L63+L61+L59+L57)/L61),2)</f>
        <v>3.47</v>
      </c>
      <c r="M35" s="7" t="s">
        <v>3</v>
      </c>
      <c r="N35" s="26">
        <f>AVERAGE(D35,F35,H35,J35,L35)</f>
        <v>3.2679999999999998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3.43</v>
      </c>
      <c r="E36" s="7" t="s">
        <v>3</v>
      </c>
      <c r="F36" s="7">
        <f>ROUND(((+F66+F65+F64+F63+F61)/(F61)),2)</f>
        <v>3.27</v>
      </c>
      <c r="G36" s="7" t="s">
        <v>3</v>
      </c>
      <c r="H36" s="7">
        <f>ROUND(((+H66+H65+H64+H63+H61)/(H61)),2)</f>
        <v>3.08</v>
      </c>
      <c r="I36" s="7" t="s">
        <v>3</v>
      </c>
      <c r="J36" s="7">
        <f>ROUND(((+J66+J65+J64+J63+J61)/(J61)),2)</f>
        <v>3.11</v>
      </c>
      <c r="K36" s="7" t="s">
        <v>3</v>
      </c>
      <c r="L36" s="7">
        <f>ROUND(((+L66+L65+L64+L63+L61)/(L61)),2)</f>
        <v>3.16</v>
      </c>
      <c r="M36" s="7" t="s">
        <v>3</v>
      </c>
      <c r="N36" s="26">
        <f>AVERAGE(D36,F36,H36,J36,L36)</f>
        <v>3.21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3.26</v>
      </c>
      <c r="E37" s="7" t="s">
        <v>3</v>
      </c>
      <c r="F37" s="7">
        <f>ROUND(((+F66+F65+F64+F63+F61)/(F61+F63+F64+F65)),2)</f>
        <v>3.15</v>
      </c>
      <c r="G37" s="7" t="s">
        <v>3</v>
      </c>
      <c r="H37" s="7">
        <f>ROUND(((+H66+H65+H64+H63+H61)/(H61+H63+H64+H65)),2)</f>
        <v>2.97</v>
      </c>
      <c r="I37" s="7" t="s">
        <v>3</v>
      </c>
      <c r="J37" s="7">
        <f>ROUND(((+J66+J65+J64+J63+J61)/(J61+J63+J64+J65)),2)</f>
        <v>2.99</v>
      </c>
      <c r="K37" s="7" t="s">
        <v>3</v>
      </c>
      <c r="L37" s="7">
        <f>ROUND(((+L66+L65+L64+L63+L61)/(L61+L63+L64+L65)),2)</f>
        <v>3.02</v>
      </c>
      <c r="M37" s="7" t="s">
        <v>3</v>
      </c>
      <c r="N37" s="26">
        <f>AVERAGE(D37,F37,H37,J37,L37)</f>
        <v>3.0780000000000003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3.08</v>
      </c>
      <c r="E40" s="7" t="s">
        <v>3</v>
      </c>
      <c r="F40" s="7">
        <f>ROUND(((+F66+F65+F64+F63-F62+F61+F59+F57)/F61),2)</f>
        <v>2.86</v>
      </c>
      <c r="G40" s="7" t="s">
        <v>3</v>
      </c>
      <c r="H40" s="7">
        <f>ROUND(((+H66+H65+H64+H63-H62+H61+H59+H57)/H61),2)</f>
        <v>2.99</v>
      </c>
      <c r="I40" s="7" t="s">
        <v>3</v>
      </c>
      <c r="J40" s="7">
        <f>ROUND(((+J66+J65+J64+J63-J62+J61+J59+J57)/J61),2)</f>
        <v>3</v>
      </c>
      <c r="K40" s="7" t="s">
        <v>3</v>
      </c>
      <c r="L40" s="7">
        <f>ROUND(((+L66+L65+L64+L63-L62+L61+L59+L57)/L61),2)</f>
        <v>3.24</v>
      </c>
      <c r="M40" s="7" t="s">
        <v>3</v>
      </c>
      <c r="N40" s="26">
        <f>AVERAGE(D40,F40,H40,J40,L40)</f>
        <v>3.0339999999999998</v>
      </c>
      <c r="O40" t="s">
        <v>3</v>
      </c>
    </row>
    <row r="41" spans="1:15" x14ac:dyDescent="0.4">
      <c r="B41" t="s">
        <v>21</v>
      </c>
      <c r="D41" s="7">
        <f>ROUND(((+D66+D65+D64+D63-D62+D61)/D61),2)</f>
        <v>3.34</v>
      </c>
      <c r="E41" s="7" t="s">
        <v>3</v>
      </c>
      <c r="F41" s="7">
        <f>ROUND(((+F66+F65+F64+F63-F62+F61)/F61),2)</f>
        <v>3.07</v>
      </c>
      <c r="G41" s="7" t="s">
        <v>3</v>
      </c>
      <c r="H41" s="7">
        <f>ROUND(((+H66+H65+H64+H63-H62+H61)/H61),2)</f>
        <v>2.74</v>
      </c>
      <c r="I41" s="7" t="s">
        <v>3</v>
      </c>
      <c r="J41" s="7">
        <f>ROUND(((+J66+J65+J64+J63-J62+J61)/J61),2)</f>
        <v>2.81</v>
      </c>
      <c r="K41" s="7" t="s">
        <v>3</v>
      </c>
      <c r="L41" s="7">
        <f>ROUND(((+L66+L65+L64+L63-L62+L61)/L61),2)</f>
        <v>2.93</v>
      </c>
      <c r="M41" s="7" t="s">
        <v>3</v>
      </c>
      <c r="N41" s="26">
        <f>AVERAGE(D41,F41,H41,J41,L41)</f>
        <v>2.9780000000000002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3.17</v>
      </c>
      <c r="E42" s="7" t="s">
        <v>3</v>
      </c>
      <c r="F42" s="7">
        <f>ROUND(((+F66+F65+F64+F63-F62+F61)/(F61+F63+F64+F65)),2)</f>
        <v>2.96</v>
      </c>
      <c r="G42" s="7" t="s">
        <v>3</v>
      </c>
      <c r="H42" s="7">
        <f>ROUND(((+H66+H65+H64+H63-H62+H61)/(H61+H63+H64+H65)),2)</f>
        <v>2.64</v>
      </c>
      <c r="I42" s="7" t="s">
        <v>3</v>
      </c>
      <c r="J42" s="7">
        <f>ROUND(((+J66+J65+J64+J63-J62+J61)/(J61+J63+J64+J65)),2)</f>
        <v>2.7</v>
      </c>
      <c r="K42" s="7" t="s">
        <v>3</v>
      </c>
      <c r="L42" s="7">
        <f>ROUND(((+L66+L65+L64+L63-L62+L61)/(L61+L63+L64+L65)),2)</f>
        <v>2.8</v>
      </c>
      <c r="M42" s="7" t="s">
        <v>3</v>
      </c>
      <c r="N42" s="26">
        <f>AVERAGE(D42,F42,H42,J42,L42)</f>
        <v>2.8540000000000001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3.7999999999999999E-2</v>
      </c>
      <c r="E45" s="11"/>
      <c r="F45" s="11">
        <f>ROUND(F62/F66,3)</f>
        <v>0.09</v>
      </c>
      <c r="G45" s="11"/>
      <c r="H45" s="11">
        <f>ROUND(H62/H66,3)</f>
        <v>0.16600000000000001</v>
      </c>
      <c r="I45" s="11"/>
      <c r="J45" s="11">
        <f>ROUND(J62/J66,3)</f>
        <v>0.14799999999999999</v>
      </c>
      <c r="K45" s="11"/>
      <c r="L45" s="11">
        <f>ROUND(L62/L66,3)</f>
        <v>0.109</v>
      </c>
      <c r="M45" s="11"/>
      <c r="N45" s="3">
        <f t="shared" ref="N45:N50" si="0">AVERAGE(D45,F45,H45,J45,L45)</f>
        <v>0.11020000000000001</v>
      </c>
    </row>
    <row r="46" spans="1:15" x14ac:dyDescent="0.4">
      <c r="B46" t="s">
        <v>17</v>
      </c>
      <c r="D46" s="17">
        <f>ROUND((D57+D59)/(D57+D59+D66+D63+D64+D65),3)</f>
        <v>-0.123</v>
      </c>
      <c r="E46" s="18"/>
      <c r="F46" s="17">
        <f>ROUND((F57+F59)/(F57+F59+F66+F63+F64+F65),3)</f>
        <v>-0.10100000000000001</v>
      </c>
      <c r="G46" s="18"/>
      <c r="H46" s="17">
        <f>ROUND((H57+H59)/(H57+H59+H66+H63+H64+H65),3)</f>
        <v>0.108</v>
      </c>
      <c r="I46" s="18"/>
      <c r="J46" s="17">
        <f>ROUND((J57+J59)/(J57+J59+J66+J63+J64+J65),3)</f>
        <v>8.4000000000000005E-2</v>
      </c>
      <c r="K46" s="18"/>
      <c r="L46" s="17">
        <f>ROUND((L57+L59)/(L57+L59+L66+L63+L64+L65),3)</f>
        <v>0.125</v>
      </c>
      <c r="M46" s="18"/>
      <c r="N46" s="3">
        <f t="shared" si="0"/>
        <v>1.8599999999999998E-2</v>
      </c>
    </row>
    <row r="47" spans="1:15" ht="17.25" x14ac:dyDescent="0.4">
      <c r="B47" s="33" t="s">
        <v>100</v>
      </c>
      <c r="D47" s="11">
        <f>ROUND(((+D82+D83+D84+D85+D86-D87+D88-D90-D91)/(+D89-D87)),3)</f>
        <v>0.74</v>
      </c>
      <c r="E47" s="12"/>
      <c r="F47" s="11">
        <f>ROUND(((+F82+F83+F84+F85+F86-F87+F88-F90-F91)/(+F89-F87)),3)</f>
        <v>0.59099999999999997</v>
      </c>
      <c r="G47" s="12"/>
      <c r="H47" s="11">
        <f>ROUND(((+H82+H83+H84+H85+H86-H87+H88-H90-H91)/(+H89-H87)),3)</f>
        <v>0.50600000000000001</v>
      </c>
      <c r="I47" s="12"/>
      <c r="J47" s="11">
        <f>ROUND(((+J82+J83+J84+J85+J86-J87+J88-J90-J91)/(+J89-J87)),3)</f>
        <v>0.49399999999999999</v>
      </c>
      <c r="K47" s="12"/>
      <c r="L47" s="11">
        <f>ROUND(((+L82+L83+L84+L85+L86-L87+L88-L90-L91)/(+L89-L87)),3)</f>
        <v>0.58299999999999996</v>
      </c>
      <c r="M47" s="12"/>
      <c r="N47" s="3">
        <f t="shared" si="0"/>
        <v>0.58279999999999998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0.16900000000000001</v>
      </c>
      <c r="E48" s="12"/>
      <c r="F48" s="11">
        <f>ROUND(((+F82+F83+F84+F85+F86-F87+F88)/(AVERAGE(F76,H76)+AVERAGE(F79,H79)+AVERAGE(F80,H80))),3)</f>
        <v>0.17100000000000001</v>
      </c>
      <c r="G48" s="12"/>
      <c r="H48" s="11">
        <f>ROUND(((+H82+H83+H84+H85+H86-H87+H88)/(AVERAGE(H76,J76)+AVERAGE(H79,J79)+AVERAGE(H80,J80))),3)</f>
        <v>0.184</v>
      </c>
      <c r="I48" s="12"/>
      <c r="J48" s="11">
        <f>ROUND(((+J82+J83+J84+J85+J86-J87+J88)/(AVERAGE(J76,L76)+AVERAGE(J79,L79)+AVERAGE(J80,L80))),3)</f>
        <v>0.19900000000000001</v>
      </c>
      <c r="K48" s="12"/>
      <c r="L48" s="11">
        <f>ROUND(((+L82+L83+L84+L85+L86-L87+L88)/(AVERAGE(L76,N76)+AVERAGE(L79,N79)+AVERAGE(L80,N80))),3)</f>
        <v>0.23200000000000001</v>
      </c>
      <c r="M48" s="12"/>
      <c r="N48" s="3">
        <f t="shared" si="0"/>
        <v>0.191</v>
      </c>
    </row>
    <row r="49" spans="1:15" ht="17.25" x14ac:dyDescent="0.4">
      <c r="B49" s="33" t="s">
        <v>102</v>
      </c>
      <c r="D49" s="27">
        <f>ROUND(((+D82+D83+D84+D85+D86-D87+D88+D92)/D61),2)</f>
        <v>5.57</v>
      </c>
      <c r="E49" t="s">
        <v>3</v>
      </c>
      <c r="F49" s="27">
        <f>ROUND(((+F82+F83+F84+F85+F86-F87+F88+F92)/F61),2)</f>
        <v>5.25</v>
      </c>
      <c r="G49" t="s">
        <v>3</v>
      </c>
      <c r="H49" s="27">
        <f>ROUND(((+H82+H83+H84+H85+H86-H87+H88+H92)/H61),2)</f>
        <v>5.18</v>
      </c>
      <c r="I49" t="s">
        <v>3</v>
      </c>
      <c r="J49" s="27">
        <f>ROUND(((+J82+J83+J84+J85+J86-J87+J88+J92)/J61),2)</f>
        <v>5.53</v>
      </c>
      <c r="K49" t="s">
        <v>3</v>
      </c>
      <c r="L49" s="27">
        <f>ROUND(((+L82+L83+L84+L85+L86-L87+L88+L92)/L61),2)</f>
        <v>6.29</v>
      </c>
      <c r="M49" t="s">
        <v>3</v>
      </c>
      <c r="N49" s="27">
        <f t="shared" si="0"/>
        <v>5.5640000000000001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3.11</v>
      </c>
      <c r="E50" t="s">
        <v>3</v>
      </c>
      <c r="F50" s="27">
        <f>ROUND(((+F82+F83+F84+F85+F86-F87+F88-F91)/+F90),2)</f>
        <v>3.08</v>
      </c>
      <c r="G50" t="s">
        <v>3</v>
      </c>
      <c r="H50" s="27">
        <f>ROUND(((+H82+H83+H84+H85+H86-H87+H88-H91)/+H90),2)</f>
        <v>3.36</v>
      </c>
      <c r="I50" t="s">
        <v>3</v>
      </c>
      <c r="J50" s="27">
        <f>ROUND(((+J82+J83+J84+J85+J86-J87+J88-J91)/+J90),2)</f>
        <v>3.58</v>
      </c>
      <c r="K50" t="s">
        <v>3</v>
      </c>
      <c r="L50" s="27">
        <f>ROUND(((+L82+L83+L84+L85+L86-L87+L88-L91)/+L90),2)</f>
        <v>3.97</v>
      </c>
      <c r="M50" t="s">
        <v>3</v>
      </c>
      <c r="N50" s="27">
        <f t="shared" si="0"/>
        <v>3.4199999999999995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117</v>
      </c>
      <c r="B54" s="19"/>
      <c r="C54" s="19"/>
      <c r="D54" s="35"/>
      <c r="F54" s="35"/>
      <c r="I54" s="20"/>
      <c r="J54" s="36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3669</v>
      </c>
      <c r="E56" s="22"/>
      <c r="F56" s="22">
        <v>3416</v>
      </c>
      <c r="G56" s="22"/>
      <c r="H56" s="22">
        <v>3647.7</v>
      </c>
      <c r="I56" s="22"/>
      <c r="J56" s="22">
        <v>3534.5</v>
      </c>
      <c r="K56" s="22"/>
      <c r="L56" s="22">
        <v>3382.2</v>
      </c>
      <c r="M56" s="22"/>
      <c r="N56" s="22">
        <v>3320</v>
      </c>
    </row>
    <row r="57" spans="1:15" x14ac:dyDescent="0.4">
      <c r="A57" s="20" t="s">
        <v>23</v>
      </c>
      <c r="B57" s="20"/>
      <c r="C57" s="20"/>
      <c r="D57" s="22">
        <v>-74</v>
      </c>
      <c r="E57" s="22"/>
      <c r="F57" s="22">
        <v>-57</v>
      </c>
      <c r="G57" s="22"/>
      <c r="H57" s="22">
        <v>68.7</v>
      </c>
      <c r="I57" s="22"/>
      <c r="J57" s="22">
        <v>47.7</v>
      </c>
      <c r="K57" s="22"/>
      <c r="L57" s="22">
        <v>66.7</v>
      </c>
      <c r="M57" s="22"/>
      <c r="N57" s="22">
        <v>59.4</v>
      </c>
    </row>
    <row r="58" spans="1:15" x14ac:dyDescent="0.4">
      <c r="A58" s="20" t="s">
        <v>24</v>
      </c>
      <c r="B58" s="20"/>
      <c r="C58" s="20"/>
      <c r="D58" s="22">
        <f>2874+D57</f>
        <v>2800</v>
      </c>
      <c r="E58" s="22"/>
      <c r="F58" s="22">
        <f>2676+F57</f>
        <v>2619</v>
      </c>
      <c r="G58" s="22"/>
      <c r="H58" s="22">
        <f>2870+H57</f>
        <v>2938.7</v>
      </c>
      <c r="I58" s="22"/>
      <c r="J58" s="22">
        <v>2887.8</v>
      </c>
      <c r="K58" s="22"/>
      <c r="L58" s="22">
        <v>2795.5</v>
      </c>
      <c r="M58" s="22"/>
      <c r="N58" s="22">
        <v>2756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795-D57+62+D62-5</f>
        <v>951</v>
      </c>
      <c r="E60" s="22"/>
      <c r="F60" s="22">
        <f>740-F57+61+F62-14</f>
        <v>899</v>
      </c>
      <c r="G60" s="22"/>
      <c r="H60" s="22">
        <f>777.7-H57+53+H62-14.4</f>
        <v>840.30000000000007</v>
      </c>
      <c r="I60" s="22"/>
      <c r="J60" s="22">
        <v>717.9</v>
      </c>
      <c r="K60" s="22"/>
      <c r="L60" s="22">
        <v>648.1</v>
      </c>
      <c r="M60" s="22"/>
      <c r="N60" s="22">
        <v>560</v>
      </c>
    </row>
    <row r="61" spans="1:15" x14ac:dyDescent="0.4">
      <c r="A61" s="20" t="s">
        <v>27</v>
      </c>
      <c r="B61" s="20"/>
      <c r="C61" s="20"/>
      <c r="D61" s="22">
        <v>277</v>
      </c>
      <c r="E61" s="22"/>
      <c r="F61" s="22">
        <v>275</v>
      </c>
      <c r="G61" s="22"/>
      <c r="H61" s="22">
        <v>272.89999999999998</v>
      </c>
      <c r="I61" s="22"/>
      <c r="J61" s="22">
        <v>247</v>
      </c>
      <c r="K61" s="22"/>
      <c r="L61" s="22">
        <v>215.6</v>
      </c>
      <c r="M61" s="22"/>
      <c r="N61" s="22">
        <v>196.2</v>
      </c>
    </row>
    <row r="62" spans="1:15" x14ac:dyDescent="0.4">
      <c r="A62" s="20" t="s">
        <v>28</v>
      </c>
      <c r="B62" s="20"/>
      <c r="C62" s="20"/>
      <c r="D62" s="22">
        <v>25</v>
      </c>
      <c r="E62" s="22"/>
      <c r="F62" s="22">
        <v>55</v>
      </c>
      <c r="G62" s="22"/>
      <c r="H62" s="22">
        <v>92.7</v>
      </c>
      <c r="I62" s="22"/>
      <c r="J62" s="22">
        <v>75.599999999999994</v>
      </c>
      <c r="K62" s="22"/>
      <c r="L62" s="22">
        <v>49.7</v>
      </c>
      <c r="M62" s="22"/>
      <c r="N62" s="22">
        <v>62.5</v>
      </c>
    </row>
    <row r="63" spans="1:15" x14ac:dyDescent="0.4">
      <c r="A63" s="20" t="s">
        <v>29</v>
      </c>
      <c r="B63" s="20"/>
      <c r="C63" s="20"/>
      <c r="D63" s="22">
        <v>15</v>
      </c>
      <c r="E63" s="22"/>
      <c r="F63" s="22">
        <v>10</v>
      </c>
      <c r="G63" s="22"/>
      <c r="H63" s="22">
        <v>10.199999999999999</v>
      </c>
      <c r="I63" s="22"/>
      <c r="J63" s="22">
        <v>10.199999999999999</v>
      </c>
      <c r="K63" s="22"/>
      <c r="L63" s="22">
        <v>10.199999999999999</v>
      </c>
      <c r="M63" s="22"/>
      <c r="N63" s="22">
        <v>10.199999999999999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659</v>
      </c>
      <c r="E66" s="22"/>
      <c r="F66" s="22">
        <v>614</v>
      </c>
      <c r="G66" s="22"/>
      <c r="H66" s="22">
        <v>557.20000000000005</v>
      </c>
      <c r="I66" s="22"/>
      <c r="J66" s="22">
        <v>512.1</v>
      </c>
      <c r="K66" s="22"/>
      <c r="L66" s="22">
        <v>455.9</v>
      </c>
      <c r="M66" s="22"/>
      <c r="N66" s="22">
        <v>373.8</v>
      </c>
    </row>
    <row r="67" spans="1:14" x14ac:dyDescent="0.4">
      <c r="A67" s="20" t="s">
        <v>33</v>
      </c>
      <c r="B67" s="20"/>
      <c r="C67" s="20"/>
      <c r="D67" s="22">
        <v>2.63</v>
      </c>
      <c r="E67" s="22"/>
      <c r="F67" s="22">
        <v>2.4700000000000002</v>
      </c>
      <c r="G67" s="22"/>
      <c r="H67" s="22">
        <v>2.34</v>
      </c>
      <c r="I67" s="22"/>
      <c r="J67" s="22">
        <v>2.19</v>
      </c>
      <c r="K67" s="22"/>
      <c r="L67" s="22">
        <v>1.99</v>
      </c>
      <c r="M67" s="22"/>
      <c r="N67" s="22">
        <v>1.65</v>
      </c>
    </row>
    <row r="68" spans="1:14" x14ac:dyDescent="0.4">
      <c r="A68" s="20" t="s">
        <v>34</v>
      </c>
      <c r="B68" s="20"/>
      <c r="C68" s="20"/>
      <c r="D68" s="22">
        <v>5990</v>
      </c>
      <c r="E68" s="22"/>
      <c r="F68" s="22">
        <v>5688</v>
      </c>
      <c r="G68" s="22"/>
      <c r="H68" s="22">
        <v>5205.1000000000004</v>
      </c>
      <c r="I68" s="22"/>
      <c r="J68" s="22">
        <v>4585.7</v>
      </c>
      <c r="K68" s="22"/>
      <c r="L68" s="22">
        <v>4182.2</v>
      </c>
      <c r="M68" s="22"/>
      <c r="N68" s="22">
        <v>3862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200</v>
      </c>
      <c r="G69" s="22"/>
      <c r="H69" s="22">
        <v>200</v>
      </c>
      <c r="I69" s="22"/>
      <c r="J69" s="22">
        <v>200</v>
      </c>
      <c r="K69" s="22"/>
      <c r="L69" s="22">
        <v>200</v>
      </c>
      <c r="M69" s="22"/>
      <c r="N69" s="22">
        <v>200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6735</v>
      </c>
      <c r="E76" s="22"/>
      <c r="F76" s="22">
        <v>6769</v>
      </c>
      <c r="G76" s="22"/>
      <c r="H76" s="22">
        <v>5533</v>
      </c>
      <c r="I76" s="22"/>
      <c r="J76" s="22">
        <v>5246.3</v>
      </c>
      <c r="K76" s="22"/>
      <c r="L76" s="22">
        <v>4010.6</v>
      </c>
      <c r="M76" s="22"/>
      <c r="N76" s="22">
        <v>4315.6000000000004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12725</v>
      </c>
      <c r="E78" s="22"/>
      <c r="F78" s="22">
        <f>SUM(F68:F77)</f>
        <v>12657</v>
      </c>
      <c r="G78" s="22"/>
      <c r="H78" s="22">
        <f>SUM(H68:H77)</f>
        <v>10938.1</v>
      </c>
      <c r="I78" s="22"/>
      <c r="J78" s="22">
        <v>10032</v>
      </c>
      <c r="K78" s="22"/>
      <c r="L78" s="22">
        <v>8392.7999999999993</v>
      </c>
      <c r="M78" s="22"/>
      <c r="N78" s="22">
        <v>8377.6</v>
      </c>
    </row>
    <row r="79" spans="1:14" x14ac:dyDescent="0.4">
      <c r="A79" s="20" t="s">
        <v>45</v>
      </c>
      <c r="B79" s="20"/>
      <c r="C79" s="20"/>
      <c r="D79" s="22">
        <v>633</v>
      </c>
      <c r="E79" s="22"/>
      <c r="F79" s="22">
        <v>8</v>
      </c>
      <c r="G79" s="22"/>
      <c r="H79" s="22">
        <v>657.2</v>
      </c>
      <c r="I79" s="22"/>
      <c r="J79" s="22">
        <v>256.5</v>
      </c>
      <c r="K79" s="22"/>
      <c r="L79" s="22">
        <v>855.7</v>
      </c>
      <c r="M79" s="22"/>
      <c r="N79" s="22">
        <v>4.5999999999999996</v>
      </c>
    </row>
    <row r="80" spans="1:14" x14ac:dyDescent="0.4">
      <c r="A80" s="20" t="s">
        <v>46</v>
      </c>
      <c r="B80" s="20"/>
      <c r="C80" s="20"/>
      <c r="D80" s="22">
        <v>515</v>
      </c>
      <c r="E80" s="22"/>
      <c r="F80" s="22">
        <v>389</v>
      </c>
      <c r="G80" s="22"/>
      <c r="H80" s="22">
        <v>337.4</v>
      </c>
      <c r="I80" s="22"/>
      <c r="J80" s="22">
        <v>441.2</v>
      </c>
      <c r="K80" s="22"/>
      <c r="L80" s="22">
        <v>415.2</v>
      </c>
      <c r="M80" s="22"/>
      <c r="N80" s="22">
        <v>244.1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674</v>
      </c>
      <c r="E82" s="22"/>
      <c r="F82" s="22">
        <v>624</v>
      </c>
      <c r="G82" s="22"/>
      <c r="H82" s="22">
        <v>567.4</v>
      </c>
      <c r="I82" s="22"/>
      <c r="J82" s="22">
        <v>522.29999999999995</v>
      </c>
      <c r="K82" s="22"/>
      <c r="L82" s="22">
        <v>466.1</v>
      </c>
      <c r="M82" s="22"/>
      <c r="N82" s="22">
        <v>384</v>
      </c>
    </row>
    <row r="83" spans="1:14" x14ac:dyDescent="0.4">
      <c r="A83" s="20" t="s">
        <v>49</v>
      </c>
      <c r="B83" s="20"/>
      <c r="C83" s="20"/>
      <c r="D83" s="22">
        <v>657</v>
      </c>
      <c r="E83" s="22"/>
      <c r="F83" s="22">
        <v>615</v>
      </c>
      <c r="G83" s="22"/>
      <c r="H83" s="22">
        <v>567.20000000000005</v>
      </c>
      <c r="I83" s="22"/>
      <c r="J83" s="22">
        <v>517.5</v>
      </c>
      <c r="K83" s="22"/>
      <c r="L83" s="22">
        <v>483.5</v>
      </c>
      <c r="M83" s="22"/>
      <c r="N83" s="22">
        <v>411.6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-78</v>
      </c>
      <c r="E85" s="22"/>
      <c r="F85" s="22">
        <v>-66</v>
      </c>
      <c r="G85" s="22"/>
      <c r="H85" s="22">
        <v>55.6</v>
      </c>
      <c r="I85" s="22"/>
      <c r="J85" s="22">
        <v>122.9</v>
      </c>
      <c r="K85" s="22"/>
      <c r="L85" s="22">
        <v>221.3</v>
      </c>
      <c r="M85" s="22"/>
      <c r="N85" s="22">
        <v>187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18</v>
      </c>
      <c r="E87" s="22"/>
      <c r="F87" s="22">
        <v>39</v>
      </c>
      <c r="G87" s="22"/>
      <c r="H87" s="22">
        <v>65.5</v>
      </c>
      <c r="I87" s="22"/>
      <c r="J87" s="22">
        <v>51.4</v>
      </c>
      <c r="K87" s="22"/>
      <c r="L87" s="22">
        <v>33.6</v>
      </c>
      <c r="M87" s="22"/>
      <c r="N87" s="22">
        <v>42.3</v>
      </c>
    </row>
    <row r="88" spans="1:14" x14ac:dyDescent="0.4">
      <c r="A88" s="20" t="s">
        <v>69</v>
      </c>
      <c r="B88" s="20"/>
      <c r="C88" s="20"/>
      <c r="D88" s="22">
        <v>35</v>
      </c>
      <c r="E88" s="22"/>
      <c r="F88" s="22">
        <v>37</v>
      </c>
      <c r="G88" s="22"/>
      <c r="H88" s="22">
        <v>19.899999999999999</v>
      </c>
      <c r="I88" s="22"/>
      <c r="J88" s="22">
        <v>7.8</v>
      </c>
      <c r="K88" s="22"/>
      <c r="L88" s="22">
        <v>6.7</v>
      </c>
      <c r="M88" s="22"/>
      <c r="N88" s="22">
        <v>82.4</v>
      </c>
    </row>
    <row r="89" spans="1:14" x14ac:dyDescent="0.4">
      <c r="A89" s="20" t="s">
        <v>54</v>
      </c>
      <c r="B89" s="20"/>
      <c r="C89" s="20"/>
      <c r="D89" s="22">
        <f>1070+99</f>
        <v>1169</v>
      </c>
      <c r="E89" s="22"/>
      <c r="F89" s="22">
        <f>1293+73</f>
        <v>1366</v>
      </c>
      <c r="G89" s="22"/>
      <c r="H89" s="22">
        <f>1538.4+101.7</f>
        <v>1640.1000000000001</v>
      </c>
      <c r="I89" s="22"/>
      <c r="J89" s="22">
        <v>1685.3</v>
      </c>
      <c r="K89" s="22"/>
      <c r="L89" s="22">
        <v>1500.5</v>
      </c>
      <c r="M89" s="22"/>
      <c r="N89" s="22">
        <v>1239.0999999999999</v>
      </c>
    </row>
    <row r="90" spans="1:14" x14ac:dyDescent="0.4">
      <c r="A90" s="20" t="s">
        <v>55</v>
      </c>
      <c r="B90" s="20"/>
      <c r="C90" s="20"/>
      <c r="D90" s="22">
        <v>403</v>
      </c>
      <c r="E90" s="22"/>
      <c r="F90" s="22">
        <v>377</v>
      </c>
      <c r="G90" s="22"/>
      <c r="H90" s="22">
        <v>337.7</v>
      </c>
      <c r="I90" s="22"/>
      <c r="J90" s="22">
        <v>312.2</v>
      </c>
      <c r="K90" s="22"/>
      <c r="L90" s="22">
        <v>288.3</v>
      </c>
      <c r="M90" s="22"/>
      <c r="N90" s="22">
        <v>266.5</v>
      </c>
    </row>
    <row r="91" spans="1:14" x14ac:dyDescent="0.4">
      <c r="A91" s="20" t="s">
        <v>56</v>
      </c>
      <c r="B91" s="20"/>
      <c r="C91" s="20"/>
      <c r="D91" s="22">
        <v>15</v>
      </c>
      <c r="E91" s="22"/>
      <c r="F91" s="22">
        <v>10</v>
      </c>
      <c r="G91" s="22"/>
      <c r="H91" s="22">
        <v>10.199999999999999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272</v>
      </c>
      <c r="E92" s="22"/>
      <c r="F92" s="22">
        <v>274</v>
      </c>
      <c r="G92" s="22"/>
      <c r="H92" s="22">
        <v>267.89999999999998</v>
      </c>
      <c r="I92" s="22"/>
      <c r="J92" s="22">
        <v>247.5</v>
      </c>
      <c r="K92" s="22"/>
      <c r="L92" s="22">
        <v>212.6</v>
      </c>
      <c r="M92" s="22"/>
      <c r="N92" s="22">
        <v>192.4</v>
      </c>
    </row>
    <row r="93" spans="1:14" x14ac:dyDescent="0.4">
      <c r="A93" s="20" t="s">
        <v>58</v>
      </c>
      <c r="B93" s="20"/>
      <c r="C93" s="20"/>
      <c r="D93" s="22">
        <v>3</v>
      </c>
      <c r="E93" s="22"/>
      <c r="F93" s="22">
        <v>-5</v>
      </c>
      <c r="G93" s="22"/>
      <c r="H93" s="22">
        <v>-20.5</v>
      </c>
      <c r="I93" s="22"/>
      <c r="J93" s="22">
        <v>5</v>
      </c>
      <c r="K93" s="22"/>
      <c r="L93" s="22">
        <v>11.3</v>
      </c>
      <c r="M93" s="22"/>
      <c r="N93" s="22">
        <v>9.8000000000000007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403</v>
      </c>
      <c r="E96" s="22"/>
      <c r="F96" s="22">
        <v>377</v>
      </c>
      <c r="G96" s="22"/>
      <c r="H96" s="22">
        <v>337.7</v>
      </c>
      <c r="I96" s="22"/>
      <c r="J96" s="22">
        <v>312.2</v>
      </c>
      <c r="K96" s="22"/>
      <c r="L96" s="22">
        <v>288.3</v>
      </c>
      <c r="M96" s="22"/>
      <c r="N96" s="22">
        <v>266.5</v>
      </c>
    </row>
    <row r="97" spans="1:14" x14ac:dyDescent="0.4">
      <c r="A97" s="20" t="s">
        <v>60</v>
      </c>
      <c r="B97" s="20"/>
      <c r="C97" s="20"/>
      <c r="D97" s="22">
        <v>1.61</v>
      </c>
      <c r="E97" s="22"/>
      <c r="F97" s="22">
        <v>1.52</v>
      </c>
      <c r="G97" s="22"/>
      <c r="H97" s="22">
        <v>1.42</v>
      </c>
      <c r="I97" s="22"/>
      <c r="J97" s="22">
        <v>1.341</v>
      </c>
      <c r="K97" s="22"/>
      <c r="L97" s="22">
        <v>1.26</v>
      </c>
      <c r="M97" s="22"/>
      <c r="N97" s="22">
        <v>1.175</v>
      </c>
    </row>
    <row r="98" spans="1:14" x14ac:dyDescent="0.4">
      <c r="A98" s="20" t="s">
        <v>61</v>
      </c>
      <c r="B98" s="20"/>
      <c r="C98" s="20"/>
      <c r="D98" s="22">
        <v>1.61</v>
      </c>
      <c r="E98" s="22"/>
      <c r="F98" s="22">
        <v>1.52</v>
      </c>
      <c r="G98" s="22"/>
      <c r="H98" s="22">
        <v>1.42</v>
      </c>
      <c r="I98" s="22"/>
      <c r="J98" s="22">
        <v>1.341</v>
      </c>
      <c r="K98" s="22"/>
      <c r="L98" s="22">
        <v>1.26</v>
      </c>
      <c r="M98" s="22"/>
      <c r="N98" s="22">
        <v>1.175</v>
      </c>
    </row>
    <row r="99" spans="1:14" x14ac:dyDescent="0.4">
      <c r="A99" s="20" t="s">
        <v>62</v>
      </c>
      <c r="B99" s="20"/>
      <c r="C99" s="20"/>
      <c r="D99" s="22">
        <v>62.35</v>
      </c>
      <c r="E99" s="22"/>
      <c r="F99" s="22">
        <v>60.28</v>
      </c>
      <c r="G99" s="22"/>
      <c r="H99" s="22">
        <v>55.4</v>
      </c>
      <c r="I99" s="22"/>
      <c r="J99" s="22">
        <v>46.582999999999998</v>
      </c>
      <c r="K99" s="22"/>
      <c r="L99" s="22">
        <v>45.55</v>
      </c>
      <c r="M99" s="22"/>
      <c r="N99" s="22">
        <v>40.99</v>
      </c>
    </row>
    <row r="100" spans="1:14" x14ac:dyDescent="0.4">
      <c r="A100" s="20" t="s">
        <v>63</v>
      </c>
      <c r="B100" s="20"/>
      <c r="C100" s="20"/>
      <c r="D100" s="22">
        <v>45.99</v>
      </c>
      <c r="E100" s="22"/>
      <c r="F100" s="22">
        <v>37.659999999999997</v>
      </c>
      <c r="G100" s="22"/>
      <c r="H100" s="22">
        <v>40.75</v>
      </c>
      <c r="I100" s="22"/>
      <c r="J100" s="22">
        <v>36.840000000000003</v>
      </c>
      <c r="K100" s="22"/>
      <c r="L100" s="22">
        <v>36.56</v>
      </c>
      <c r="M100" s="22"/>
      <c r="N100" s="22">
        <v>30.375</v>
      </c>
    </row>
    <row r="101" spans="1:14" x14ac:dyDescent="0.4">
      <c r="A101" s="20" t="s">
        <v>64</v>
      </c>
      <c r="B101" s="20"/>
      <c r="C101" s="20"/>
      <c r="D101" s="22">
        <v>61.47</v>
      </c>
      <c r="E101" s="22"/>
      <c r="F101" s="22">
        <v>51.529998999999997</v>
      </c>
      <c r="G101" s="22"/>
      <c r="H101" s="22">
        <v>54.72</v>
      </c>
      <c r="I101" s="22"/>
      <c r="J101" s="22">
        <v>42.25</v>
      </c>
      <c r="K101" s="22"/>
      <c r="L101" s="22">
        <v>42.61</v>
      </c>
      <c r="M101" s="22"/>
      <c r="N101" s="22">
        <v>37.89</v>
      </c>
    </row>
    <row r="102" spans="1:14" x14ac:dyDescent="0.4">
      <c r="A102" s="20" t="s">
        <v>65</v>
      </c>
      <c r="B102" s="20"/>
      <c r="C102" s="20"/>
      <c r="D102" s="22">
        <v>250.47452899999999</v>
      </c>
      <c r="E102" s="22"/>
      <c r="F102" s="22">
        <v>249.868415</v>
      </c>
      <c r="G102" s="22"/>
      <c r="H102" s="22">
        <v>245.02279999999999</v>
      </c>
      <c r="I102" s="22"/>
      <c r="J102" s="22">
        <v>236.06299999999999</v>
      </c>
      <c r="K102" s="22"/>
      <c r="L102" s="22">
        <v>231.34899999999999</v>
      </c>
      <c r="M102" s="22"/>
      <c r="N102" s="22">
        <v>227.67400000000001</v>
      </c>
    </row>
    <row r="103" spans="1:14" x14ac:dyDescent="0.4">
      <c r="A103" s="20" t="s">
        <v>91</v>
      </c>
      <c r="B103" s="20"/>
      <c r="C103" s="20"/>
      <c r="D103" s="22">
        <v>0</v>
      </c>
      <c r="E103" s="22"/>
      <c r="F103" s="22">
        <v>-1</v>
      </c>
      <c r="G103" s="22"/>
      <c r="H103" s="22">
        <v>1.3</v>
      </c>
      <c r="I103" s="22"/>
      <c r="J103" s="22">
        <v>1.7</v>
      </c>
      <c r="K103" s="22"/>
      <c r="L103" s="22">
        <v>-0.5</v>
      </c>
      <c r="M103" s="22"/>
      <c r="N103" s="22">
        <v>-0.4</v>
      </c>
    </row>
    <row r="104" spans="1:14" x14ac:dyDescent="0.4">
      <c r="A104" t="s">
        <v>71</v>
      </c>
    </row>
    <row r="105" spans="1:14" x14ac:dyDescent="0.4">
      <c r="B105" t="s">
        <v>70</v>
      </c>
      <c r="D105" s="6">
        <f>D67/D94</f>
        <v>2.63</v>
      </c>
      <c r="F105" s="6">
        <f>F67/F94</f>
        <v>2.4700000000000002</v>
      </c>
      <c r="H105" s="6">
        <f>H67/H94</f>
        <v>2.34</v>
      </c>
      <c r="J105" s="6">
        <f>J67/J94</f>
        <v>2.19</v>
      </c>
      <c r="L105" s="6">
        <f>L67/L94</f>
        <v>1.99</v>
      </c>
      <c r="N105" s="6">
        <f>N67/N94</f>
        <v>1.65</v>
      </c>
    </row>
    <row r="106" spans="1:14" x14ac:dyDescent="0.4">
      <c r="B106" t="s">
        <v>60</v>
      </c>
      <c r="D106" s="6">
        <f>D97/D94</f>
        <v>1.61</v>
      </c>
      <c r="F106" s="6">
        <f>F97/F94</f>
        <v>1.52</v>
      </c>
      <c r="H106" s="6">
        <f>H97/H94</f>
        <v>1.42</v>
      </c>
      <c r="J106" s="6">
        <f>J97/J94</f>
        <v>1.341</v>
      </c>
      <c r="L106" s="6">
        <f>L97/L94</f>
        <v>1.26</v>
      </c>
      <c r="N106" s="6">
        <f>N97/N94</f>
        <v>1.175</v>
      </c>
    </row>
    <row r="107" spans="1:14" x14ac:dyDescent="0.4">
      <c r="B107" t="s">
        <v>61</v>
      </c>
      <c r="D107" s="6">
        <f>D98/D94</f>
        <v>1.61</v>
      </c>
      <c r="F107" s="6">
        <f>F98/F94</f>
        <v>1.52</v>
      </c>
      <c r="H107" s="6">
        <f>H98/H94</f>
        <v>1.42</v>
      </c>
      <c r="J107" s="6">
        <f>J98/J94</f>
        <v>1.341</v>
      </c>
      <c r="L107" s="6">
        <f>L98/L94</f>
        <v>1.26</v>
      </c>
      <c r="N107" s="6">
        <f>N98/N94</f>
        <v>1.175</v>
      </c>
    </row>
    <row r="108" spans="1:14" x14ac:dyDescent="0.4">
      <c r="B108" t="s">
        <v>62</v>
      </c>
      <c r="D108" s="6">
        <f>D99/D94</f>
        <v>62.35</v>
      </c>
      <c r="F108" s="6">
        <f>F99/F94</f>
        <v>60.28</v>
      </c>
      <c r="H108" s="6">
        <f>H99/H94</f>
        <v>55.4</v>
      </c>
      <c r="J108" s="6">
        <f>J99/J94</f>
        <v>46.582999999999998</v>
      </c>
      <c r="L108" s="6">
        <f>L99/L94</f>
        <v>45.55</v>
      </c>
      <c r="N108" s="6">
        <f>N99/N94</f>
        <v>40.99</v>
      </c>
    </row>
    <row r="109" spans="1:14" x14ac:dyDescent="0.4">
      <c r="B109" t="s">
        <v>63</v>
      </c>
      <c r="D109" s="6">
        <f>D100/D94</f>
        <v>45.99</v>
      </c>
      <c r="F109" s="6">
        <f>F100/F94</f>
        <v>37.659999999999997</v>
      </c>
      <c r="H109" s="6">
        <f>H100/H94</f>
        <v>40.75</v>
      </c>
      <c r="J109" s="6">
        <f>J100/J94</f>
        <v>36.840000000000003</v>
      </c>
      <c r="L109" s="6">
        <f>L100/L94</f>
        <v>36.56</v>
      </c>
      <c r="N109" s="6">
        <f>N100/N94</f>
        <v>30.375</v>
      </c>
    </row>
    <row r="110" spans="1:14" x14ac:dyDescent="0.4">
      <c r="B110" t="s">
        <v>64</v>
      </c>
      <c r="D110" s="6">
        <f>D101/D94</f>
        <v>61.47</v>
      </c>
      <c r="F110" s="6">
        <f>F101/F94</f>
        <v>51.529998999999997</v>
      </c>
      <c r="H110" s="6">
        <f>H101/H94</f>
        <v>54.72</v>
      </c>
      <c r="J110" s="6">
        <f>J101/J94</f>
        <v>42.25</v>
      </c>
      <c r="L110" s="6">
        <f>L101/L94</f>
        <v>42.61</v>
      </c>
      <c r="N110" s="6">
        <f>N101/N94</f>
        <v>37.89</v>
      </c>
    </row>
    <row r="111" spans="1:14" x14ac:dyDescent="0.4">
      <c r="B111" t="s">
        <v>65</v>
      </c>
      <c r="D111" s="14">
        <f>D102*D94</f>
        <v>250.47452899999999</v>
      </c>
      <c r="E111" s="14"/>
      <c r="F111" s="14">
        <f>F102*F94</f>
        <v>249.868415</v>
      </c>
      <c r="G111" s="14"/>
      <c r="H111" s="14">
        <f>H102*H94</f>
        <v>245.02279999999999</v>
      </c>
      <c r="I111" s="14"/>
      <c r="J111" s="14">
        <f>J102*J94</f>
        <v>236.06299999999999</v>
      </c>
      <c r="K111" s="14"/>
      <c r="L111" s="14">
        <f>L102*L94</f>
        <v>231.34899999999999</v>
      </c>
      <c r="M111" s="14"/>
      <c r="N111" s="14">
        <f>N102*N94</f>
        <v>227.67400000000001</v>
      </c>
    </row>
    <row r="112" spans="1:14" x14ac:dyDescent="0.4">
      <c r="B112" t="s">
        <v>66</v>
      </c>
      <c r="D112" s="6">
        <f>ROUND(D68/D111,2)</f>
        <v>23.91</v>
      </c>
      <c r="F112" s="6">
        <f>ROUND(F68/F111,2)</f>
        <v>22.76</v>
      </c>
      <c r="H112" s="6">
        <f>ROUND(H68/H111,2)</f>
        <v>21.24</v>
      </c>
      <c r="J112" s="6">
        <f>ROUND(J68/J111,2)</f>
        <v>19.43</v>
      </c>
      <c r="L112" s="6">
        <f>ROUND(L68/L111,2)</f>
        <v>18.079999999999998</v>
      </c>
      <c r="N112" s="6">
        <f>ROUND(N68/N111,2)</f>
        <v>16.96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NRG ENERGY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8">
        <f>D78+D79+D81-D103</f>
        <v>11777</v>
      </c>
      <c r="F8" s="8">
        <f>F78+F79+F81-F103</f>
        <v>10647</v>
      </c>
      <c r="H8" s="8">
        <f>H78+H79+H81-H103</f>
        <v>7834</v>
      </c>
      <c r="J8" s="8">
        <f>J78+J79+J81-J103</f>
        <v>5400</v>
      </c>
      <c r="L8" s="8">
        <f>L78+L79+L81-L103</f>
        <v>18522</v>
      </c>
    </row>
    <row r="9" spans="1:15" x14ac:dyDescent="0.4">
      <c r="B9" t="s">
        <v>5</v>
      </c>
      <c r="D9" s="9">
        <f>D80</f>
        <v>0</v>
      </c>
      <c r="F9" s="9">
        <f>F80</f>
        <v>0</v>
      </c>
      <c r="H9" s="9">
        <f>H80</f>
        <v>0</v>
      </c>
      <c r="J9" s="9">
        <f>J80</f>
        <v>0</v>
      </c>
      <c r="L9" s="9">
        <f>L80</f>
        <v>0</v>
      </c>
    </row>
    <row r="10" spans="1:15" ht="15.4" thickBot="1" x14ac:dyDescent="0.45">
      <c r="B10" t="s">
        <v>7</v>
      </c>
      <c r="D10" s="10">
        <f>D8+D9</f>
        <v>11777</v>
      </c>
      <c r="F10" s="10">
        <f>F8+F9</f>
        <v>10647</v>
      </c>
      <c r="H10" s="10">
        <f>H8+H9</f>
        <v>7834</v>
      </c>
      <c r="J10" s="10">
        <f>J8+J9</f>
        <v>5400</v>
      </c>
      <c r="L10" s="10">
        <f>L8+L9</f>
        <v>18522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4</v>
      </c>
      <c r="E13" s="7" t="s">
        <v>3</v>
      </c>
      <c r="F13" s="30">
        <f>ROUND(AVERAGE(F108:F109)/F105,0)</f>
        <v>14</v>
      </c>
      <c r="G13" s="7" t="s">
        <v>3</v>
      </c>
      <c r="H13" s="30">
        <f>ROUND(AVERAGE(H108:H109)/H105,0)</f>
        <v>2</v>
      </c>
      <c r="I13" s="7" t="s">
        <v>3</v>
      </c>
      <c r="J13" s="30">
        <f>ROUND(AVERAGE(J108:J109)/J105,0)</f>
        <v>22</v>
      </c>
      <c r="K13" s="7" t="s">
        <v>3</v>
      </c>
      <c r="L13" s="30"/>
      <c r="M13" s="7" t="s">
        <v>3</v>
      </c>
      <c r="N13" s="30">
        <f>AVERAGE(D13,F13,H13,J13,L13)</f>
        <v>10.5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3.605</v>
      </c>
      <c r="E14" s="3"/>
      <c r="F14" s="3">
        <f>ROUND(AVERAGE(F108:F109)/AVERAGE(F112,H112),3)</f>
        <v>4.4160000000000004</v>
      </c>
      <c r="G14" s="3"/>
      <c r="H14" s="3"/>
      <c r="I14" s="3"/>
      <c r="J14" s="3"/>
      <c r="K14" s="3"/>
      <c r="L14" s="3"/>
      <c r="M14" s="3"/>
      <c r="N14" s="3">
        <f>AVERAGE(D14,F14,H14,J14,L14)</f>
        <v>4.0105000000000004</v>
      </c>
    </row>
    <row r="15" spans="1:15" x14ac:dyDescent="0.4">
      <c r="B15" t="s">
        <v>9</v>
      </c>
      <c r="D15" s="3">
        <f>ROUND(D106/AVERAGE(D108:D109),3)</f>
        <v>3.3000000000000002E-2</v>
      </c>
      <c r="E15" s="3"/>
      <c r="F15" s="3">
        <f>ROUND(F106/AVERAGE(F108:F109),3)</f>
        <v>0.04</v>
      </c>
      <c r="G15" s="3"/>
      <c r="H15" s="3">
        <f>ROUND(H106/AVERAGE(H108:H109),3)</f>
        <v>3.0000000000000001E-3</v>
      </c>
      <c r="I15" s="3"/>
      <c r="J15" s="3">
        <f>ROUND(J106/AVERAGE(J108:J109),3)</f>
        <v>4.0000000000000001E-3</v>
      </c>
      <c r="K15" s="3"/>
      <c r="L15" s="3">
        <f>ROUND(L106/AVERAGE(L108:L109),3)</f>
        <v>6.0000000000000001E-3</v>
      </c>
      <c r="M15" s="3"/>
      <c r="N15" s="3">
        <f>AVERAGE(D15,F15,H15,J15,L15)</f>
        <v>1.7200000000000003E-2</v>
      </c>
    </row>
    <row r="16" spans="1:15" x14ac:dyDescent="0.4">
      <c r="B16" t="s">
        <v>10</v>
      </c>
      <c r="D16" s="3">
        <f>ROUND(D96/D66,3)</f>
        <v>0.14599999999999999</v>
      </c>
      <c r="E16" s="3"/>
      <c r="F16" s="3">
        <f>ROUND(F96/F66,3)</f>
        <v>0.58199999999999996</v>
      </c>
      <c r="G16" s="3"/>
      <c r="H16" s="3">
        <f>ROUND(H96/H66,3)</f>
        <v>7.0000000000000001E-3</v>
      </c>
      <c r="I16" s="3"/>
      <c r="J16" s="3">
        <f>ROUND(J96/J66,3)</f>
        <v>0.08</v>
      </c>
      <c r="K16" s="3"/>
      <c r="L16" s="3"/>
      <c r="M16" s="3"/>
      <c r="N16" s="3">
        <f>AVERAGE(D16,F16,H16,J16,L16)</f>
        <v>0.20374999999999999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0.68400000000000005</v>
      </c>
      <c r="E20" s="3"/>
      <c r="F20" s="3">
        <f>ROUND((+F76+F79)/F8,3)</f>
        <v>0.82299999999999995</v>
      </c>
      <c r="G20" s="3"/>
      <c r="H20" s="3">
        <f>ROUND((+H76+H79)/H8,3)</f>
        <v>0.76100000000000001</v>
      </c>
      <c r="I20" s="3"/>
      <c r="J20" s="3"/>
      <c r="K20" s="3"/>
      <c r="L20" s="3"/>
      <c r="M20" s="3"/>
      <c r="N20" s="3">
        <f>AVERAGE(D20,F20,H20,J20,L20)</f>
        <v>0.75600000000000012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3.0000000000000001E-3</v>
      </c>
      <c r="I21" s="3"/>
      <c r="J21" s="3"/>
      <c r="K21" s="3"/>
      <c r="L21" s="3"/>
      <c r="M21" s="3"/>
      <c r="N21" s="3">
        <f>AVERAGE(D21,F21,H21,J21,L21)</f>
        <v>1E-3</v>
      </c>
    </row>
    <row r="22" spans="1:14" ht="17.25" x14ac:dyDescent="0.4">
      <c r="B22" s="32" t="s">
        <v>94</v>
      </c>
      <c r="D22" s="4">
        <f>ROUND((D68-D103)/D8,3)</f>
        <v>0.316</v>
      </c>
      <c r="E22" s="3"/>
      <c r="F22" s="4">
        <f>ROUND((F68-F103)/F8,3)</f>
        <v>0.17699999999999999</v>
      </c>
      <c r="G22" s="3"/>
      <c r="H22" s="4">
        <f>ROUND((H68-H103)/H8,3)</f>
        <v>0.23599999999999999</v>
      </c>
      <c r="I22" s="3"/>
      <c r="J22" s="4"/>
      <c r="K22" s="3"/>
      <c r="L22" s="4"/>
      <c r="M22" s="3"/>
      <c r="N22" s="4">
        <f>AVERAGE(D22,F22,H22,J22,L22)</f>
        <v>0.24299999999999999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0</v>
      </c>
      <c r="K23" s="3"/>
      <c r="L23" s="5">
        <f>SUM(L20:L22)</f>
        <v>0</v>
      </c>
      <c r="M23" s="3"/>
      <c r="N23" s="5">
        <f>AVERAGE(D23,F23,H23,J23,L23)</f>
        <v>0.6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0.68400000000000005</v>
      </c>
      <c r="E25" s="3"/>
      <c r="F25" s="3">
        <f>ROUND((+F76+F79+F80)/F10,3)</f>
        <v>0.82299999999999995</v>
      </c>
      <c r="G25" s="3"/>
      <c r="H25" s="3">
        <f>ROUND((+H76+H79+H80)/H10,3)</f>
        <v>0.76100000000000001</v>
      </c>
      <c r="I25" s="3"/>
      <c r="J25" s="3"/>
      <c r="K25" s="3"/>
      <c r="L25" s="3"/>
      <c r="M25" s="3"/>
      <c r="N25" s="3">
        <f>AVERAGE(D25,F25,H25,J25,L25)</f>
        <v>0.75600000000000012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3.0000000000000001E-3</v>
      </c>
      <c r="I26" s="3"/>
      <c r="J26" s="3"/>
      <c r="K26" s="3"/>
      <c r="L26" s="3"/>
      <c r="M26" s="3"/>
      <c r="N26" s="3">
        <f>AVERAGE(D26,F26,H26,J26,L26)</f>
        <v>1E-3</v>
      </c>
    </row>
    <row r="27" spans="1:14" ht="17.25" x14ac:dyDescent="0.4">
      <c r="B27" s="32" t="s">
        <v>94</v>
      </c>
      <c r="D27" s="4">
        <f>ROUND((D68-D103)/D10,3)</f>
        <v>0.316</v>
      </c>
      <c r="E27" s="3"/>
      <c r="F27" s="4">
        <f>ROUND((F68-F103)/F10,3)</f>
        <v>0.17699999999999999</v>
      </c>
      <c r="G27" s="3"/>
      <c r="H27" s="4">
        <f>ROUND((H68-H103)/H10,3)</f>
        <v>0.23599999999999999</v>
      </c>
      <c r="I27" s="3"/>
      <c r="J27" s="4"/>
      <c r="K27" s="3"/>
      <c r="L27" s="4"/>
      <c r="M27" s="3"/>
      <c r="N27" s="4">
        <f>AVERAGE(D27,F27,H27,J27,L27)</f>
        <v>0.24299999999999999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0</v>
      </c>
      <c r="K28" s="3"/>
      <c r="L28" s="5">
        <f>SUM(L25:L27)</f>
        <v>0</v>
      </c>
      <c r="M28" s="3"/>
      <c r="N28" s="5">
        <f>AVERAGE(D28,F28,H28,J28,L28)</f>
        <v>0.6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/>
      <c r="E30" s="3"/>
      <c r="F30" s="3">
        <f>ROUND(+F66/(((F68-F103)+(H68-H103))/2),3)</f>
        <v>0.27300000000000002</v>
      </c>
      <c r="G30" s="3"/>
      <c r="H30" s="3"/>
      <c r="I30" s="3"/>
      <c r="J30" s="3"/>
      <c r="K30" s="3"/>
      <c r="L30" s="3"/>
      <c r="M30" s="3"/>
      <c r="N30" s="3">
        <f>AVERAGE(D30,F30,H30,J30,L30)</f>
        <v>0.27300000000000002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0.88500000000000001</v>
      </c>
      <c r="E32" s="3"/>
      <c r="F32" s="3">
        <f>ROUND((+F58-F57)/F56,3)</f>
        <v>0.879</v>
      </c>
      <c r="G32" s="3"/>
      <c r="H32" s="3">
        <f>ROUND((+H58-H57)/H56,3)</f>
        <v>0.86899999999999999</v>
      </c>
      <c r="I32" s="3"/>
      <c r="J32" s="3">
        <f>ROUND((+J58-J57)/J56,3)</f>
        <v>0.88400000000000001</v>
      </c>
      <c r="K32" s="3"/>
      <c r="L32" s="3">
        <f>ROUND((+L58-L57)/L56,3)</f>
        <v>0.88200000000000001</v>
      </c>
      <c r="M32" s="3"/>
      <c r="N32" s="3">
        <f>AVERAGE(D32,F32,H32,J32,L32)</f>
        <v>0.87980000000000003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6.89</v>
      </c>
      <c r="E35" s="7" t="s">
        <v>3</v>
      </c>
      <c r="F35" s="7">
        <f>ROUND(((+F66+F65+F64+F63+F61+F59+F57)/F61),2)</f>
        <v>2.9</v>
      </c>
      <c r="G35" s="7" t="s">
        <v>3</v>
      </c>
      <c r="H35" s="7">
        <f>ROUND(((+H66+H65+H64+H63+H61+H59+H57)/H61),2)</f>
        <v>3.67</v>
      </c>
      <c r="I35" s="7" t="s">
        <v>3</v>
      </c>
      <c r="J35" s="7">
        <f>ROUND(((+J66+J65+J64+J63+J61+J59+J57)/J61),2)</f>
        <v>1.95</v>
      </c>
      <c r="K35" s="7" t="s">
        <v>3</v>
      </c>
      <c r="L35" s="7"/>
      <c r="M35" s="7" t="s">
        <v>3</v>
      </c>
      <c r="N35" s="26">
        <f>AVERAGE(D35,F35,H35,J35,L35)</f>
        <v>3.8524999999999996</v>
      </c>
      <c r="O35" t="s">
        <v>3</v>
      </c>
    </row>
    <row r="36" spans="1:15" x14ac:dyDescent="0.4">
      <c r="B36" t="s">
        <v>21</v>
      </c>
      <c r="D36" s="7">
        <f>ROUND(((+D66+D65+D64+D63+D61)/(D61)),2)</f>
        <v>5.51</v>
      </c>
      <c r="E36" s="7" t="s">
        <v>3</v>
      </c>
      <c r="F36" s="7">
        <f>ROUND(((+F66+F65+F64+F63+F61)/(F61)),2)</f>
        <v>2.27</v>
      </c>
      <c r="G36" s="7" t="s">
        <v>3</v>
      </c>
      <c r="H36" s="7">
        <f>ROUND(((+H66+H65+H64+H63+H61)/(H61)),2)</f>
        <v>11.75</v>
      </c>
      <c r="I36" s="7" t="s">
        <v>3</v>
      </c>
      <c r="J36" s="7">
        <f>ROUND(((+J66+J65+J64+J63+J61)/(J61)),2)</f>
        <v>1.94</v>
      </c>
      <c r="K36" s="7" t="s">
        <v>3</v>
      </c>
      <c r="L36" s="7"/>
      <c r="M36" s="7" t="s">
        <v>3</v>
      </c>
      <c r="N36" s="26">
        <f>AVERAGE(D36,F36,H36,J36,L36)</f>
        <v>5.3675000000000006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5.51</v>
      </c>
      <c r="E37" s="7" t="s">
        <v>3</v>
      </c>
      <c r="F37" s="7">
        <f>ROUND(((+F66+F65+F64+F63+F61)/(F61+F63+F64+F65)),2)</f>
        <v>2.27</v>
      </c>
      <c r="G37" s="7" t="s">
        <v>3</v>
      </c>
      <c r="H37" s="7">
        <f>ROUND(((+H66+H65+H64+H63+H61)/(H61+H63+H64+H65)),2)</f>
        <v>11.75</v>
      </c>
      <c r="I37" s="7" t="s">
        <v>3</v>
      </c>
      <c r="J37" s="7">
        <f>ROUND(((+J66+J65+J64+J63+J61)/(J61+J63+J64+J65)),2)</f>
        <v>1.94</v>
      </c>
      <c r="K37" s="7" t="s">
        <v>3</v>
      </c>
      <c r="L37" s="7"/>
      <c r="M37" s="7" t="s">
        <v>3</v>
      </c>
      <c r="N37" s="26">
        <f>AVERAGE(D37,F37,H37,J37,L37)</f>
        <v>5.3675000000000006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6.89</v>
      </c>
      <c r="E40" s="7" t="s">
        <v>3</v>
      </c>
      <c r="F40" s="7">
        <f>ROUND(((+F66+F65+F64+F63-F62+F61+F59+F57)/F61),2)</f>
        <v>2.9</v>
      </c>
      <c r="G40" s="7" t="s">
        <v>3</v>
      </c>
      <c r="H40" s="7">
        <f>ROUND(((+H66+H65+H64+H63-H62+H61+H59+H57)/H61),2)</f>
        <v>3.67</v>
      </c>
      <c r="I40" s="7" t="s">
        <v>3</v>
      </c>
      <c r="J40" s="7">
        <f>ROUND(((+J66+J65+J64+J63-J62+J61+J59+J57)/J61),2)</f>
        <v>1.95</v>
      </c>
      <c r="K40" s="7" t="s">
        <v>3</v>
      </c>
      <c r="L40" s="7"/>
      <c r="M40" s="7" t="s">
        <v>3</v>
      </c>
      <c r="N40" s="26">
        <f>AVERAGE(D40,F40,H40,J40,L40)</f>
        <v>3.8524999999999996</v>
      </c>
      <c r="O40" t="s">
        <v>3</v>
      </c>
    </row>
    <row r="41" spans="1:15" x14ac:dyDescent="0.4">
      <c r="B41" t="s">
        <v>21</v>
      </c>
      <c r="D41" s="7">
        <f>ROUND(((+D66+D65+D64+D63-D62+D61)/D61),2)</f>
        <v>5.51</v>
      </c>
      <c r="E41" s="7" t="s">
        <v>3</v>
      </c>
      <c r="F41" s="7">
        <f>ROUND(((+F66+F65+F64+F63-F62+F61)/F61),2)</f>
        <v>2.27</v>
      </c>
      <c r="G41" s="7" t="s">
        <v>3</v>
      </c>
      <c r="H41" s="7">
        <f>ROUND(((+H66+H65+H64+H63-H62+H61)/H61),2)</f>
        <v>11.75</v>
      </c>
      <c r="I41" s="7" t="s">
        <v>3</v>
      </c>
      <c r="J41" s="7">
        <f>ROUND(((+J66+J65+J64+J63-J62+J61)/J61),2)</f>
        <v>1.94</v>
      </c>
      <c r="K41" s="7" t="s">
        <v>3</v>
      </c>
      <c r="L41" s="7"/>
      <c r="M41" s="7" t="s">
        <v>3</v>
      </c>
      <c r="N41" s="26">
        <f>AVERAGE(D41,F41,H41,J41,L41)</f>
        <v>5.3675000000000006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5.51</v>
      </c>
      <c r="E42" s="7" t="s">
        <v>3</v>
      </c>
      <c r="F42" s="7">
        <f>ROUND(((+F66+F65+F64+F63-F62+F61)/(F61+F63+F64+F65)),2)</f>
        <v>2.27</v>
      </c>
      <c r="G42" s="7" t="s">
        <v>3</v>
      </c>
      <c r="H42" s="7">
        <f>ROUND(((+H66+H65+H64+H63-H62+H61)/(H61+H63+H64+H65)),2)</f>
        <v>11.75</v>
      </c>
      <c r="I42" s="7" t="s">
        <v>3</v>
      </c>
      <c r="J42" s="7">
        <f>ROUND(((+J66+J65+J64+J63-J62+J61)/(J61+J63+J64+J65)),2)</f>
        <v>1.94</v>
      </c>
      <c r="K42" s="7" t="s">
        <v>3</v>
      </c>
      <c r="L42" s="7"/>
      <c r="M42" s="7" t="s">
        <v>3</v>
      </c>
      <c r="N42" s="26">
        <f>AVERAGE(D42,F42,H42,J42,L42)</f>
        <v>5.3675000000000006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</v>
      </c>
      <c r="E45" s="11"/>
      <c r="F45" s="11">
        <f>ROUND(F62/F66,3)</f>
        <v>0</v>
      </c>
      <c r="G45" s="11"/>
      <c r="H45" s="11">
        <f>ROUND(H62/H66,3)</f>
        <v>0</v>
      </c>
      <c r="I45" s="11"/>
      <c r="J45" s="11">
        <f>ROUND(J62/J66,3)</f>
        <v>0</v>
      </c>
      <c r="K45" s="11"/>
      <c r="L45" s="11">
        <f>ROUND(L62/L66,3)</f>
        <v>0</v>
      </c>
      <c r="M45" s="11"/>
      <c r="N45" s="3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0.23499999999999999</v>
      </c>
      <c r="E46" s="18"/>
      <c r="F46" s="17">
        <f>ROUND((F57+F59)/(F57+F59+F66+F63+F64+F65),3)</f>
        <v>0.33</v>
      </c>
      <c r="G46" s="18"/>
      <c r="H46" s="17"/>
      <c r="I46" s="18"/>
      <c r="J46" s="17">
        <f>ROUND((J57+J59)/(J57+J59+J66+J63+J64+J65),3)</f>
        <v>1.4999999999999999E-2</v>
      </c>
      <c r="K46" s="18"/>
      <c r="L46" s="17">
        <f>ROUND((L57+L59)/(L57+L59+L66+L63+L64+L65),3)</f>
        <v>-6.0000000000000001E-3</v>
      </c>
      <c r="M46" s="18"/>
      <c r="N46" s="3">
        <f t="shared" si="0"/>
        <v>0.14349999999999999</v>
      </c>
    </row>
    <row r="47" spans="1:15" ht="17.25" x14ac:dyDescent="0.4">
      <c r="B47" s="33" t="s">
        <v>100</v>
      </c>
      <c r="D47" s="11"/>
      <c r="E47" s="12"/>
      <c r="F47" s="11"/>
      <c r="G47" s="12"/>
      <c r="H47" s="11"/>
      <c r="I47" s="12"/>
      <c r="J47" s="11"/>
      <c r="K47" s="12"/>
      <c r="L47" s="11">
        <f>ROUND(((+L82+L83+L84+L85+L86-L87+L88-L90-L91)/(+L89-L87)),3)</f>
        <v>1.377</v>
      </c>
      <c r="M47" s="12"/>
      <c r="N47" s="3">
        <f t="shared" si="0"/>
        <v>1.377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0.16900000000000001</v>
      </c>
      <c r="E48" s="12"/>
      <c r="F48" s="11">
        <f>ROUND(((+F82+F83+F84+F85+F86-F87+F88)/(AVERAGE(F76,H76)+AVERAGE(F79,H79)+AVERAGE(F80,H80))),3)</f>
        <v>0.27</v>
      </c>
      <c r="G48" s="12"/>
      <c r="H48" s="11">
        <f>ROUND(((+H82+H83+H84+H85+H86-H87+H88)/(AVERAGE(H76,J76)+AVERAGE(H79,J79)+AVERAGE(H80,J80))),3)</f>
        <v>0.27300000000000002</v>
      </c>
      <c r="I48" s="12"/>
      <c r="J48" s="11">
        <f>ROUND(((+J82+J83+J84+J85+J86-J87+J88)/(AVERAGE(J76,L76)+AVERAGE(J79,L79)+AVERAGE(J80,L80))),3)</f>
        <v>0.109</v>
      </c>
      <c r="K48" s="12"/>
      <c r="L48" s="11">
        <f>ROUND(((+L82+L83+L84+L85+L86-L87+L88)/(AVERAGE(L76,N76)+AVERAGE(L79,N79)+AVERAGE(L80,N80))),3)</f>
        <v>8.7999999999999995E-2</v>
      </c>
      <c r="M48" s="12"/>
      <c r="N48" s="3">
        <f t="shared" si="0"/>
        <v>0.18180000000000002</v>
      </c>
    </row>
    <row r="49" spans="1:15" ht="17.25" x14ac:dyDescent="0.4">
      <c r="B49" s="33" t="s">
        <v>102</v>
      </c>
      <c r="D49" s="27">
        <f>ROUND(((+D82+D83+D84+D85+D86-D87+D88+D92)/D61),2)</f>
        <v>3.83</v>
      </c>
      <c r="E49" t="s">
        <v>3</v>
      </c>
      <c r="F49" s="27">
        <f>ROUND(((+F82+F83+F84+F85+F86-F87+F88+F92)/F61),2)</f>
        <v>5.81</v>
      </c>
      <c r="G49" t="s">
        <v>3</v>
      </c>
      <c r="H49" s="27">
        <f>ROUND(((+H82+H83+H84+H85+H86-H87+H88+H92)/H61),2)</f>
        <v>5.0199999999999996</v>
      </c>
      <c r="I49" t="s">
        <v>3</v>
      </c>
      <c r="J49" s="27">
        <f>ROUND(((+J82+J83+J84+J85+J86-J87+J88+J92)/J61),2)</f>
        <v>3.45</v>
      </c>
      <c r="K49" t="s">
        <v>3</v>
      </c>
      <c r="L49" s="27">
        <f>ROUND(((+L82+L83+L84+L85+L86-L87+L88+L92)/L61),2)</f>
        <v>2.64</v>
      </c>
      <c r="M49" t="s">
        <v>3</v>
      </c>
      <c r="N49" s="27">
        <f t="shared" si="0"/>
        <v>4.1500000000000004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4.46</v>
      </c>
      <c r="E50" t="s">
        <v>3</v>
      </c>
      <c r="F50" s="27">
        <f>ROUND(((+F82+F83+F84+F85+F86-F87+F88-F91)/+F90),2)</f>
        <v>6.74</v>
      </c>
      <c r="G50" t="s">
        <v>3</v>
      </c>
      <c r="H50" s="27">
        <f>ROUND(((+H82+H83+H84+H85+H86-H87+H88-H91)/+H90),2)</f>
        <v>53.19</v>
      </c>
      <c r="I50" t="s">
        <v>3</v>
      </c>
      <c r="J50" s="27">
        <f>ROUND(((+J82+J83+J84+J85+J86-J87+J88-J91)/+J90),2)</f>
        <v>33.86</v>
      </c>
      <c r="K50" t="s">
        <v>3</v>
      </c>
      <c r="L50" s="27"/>
      <c r="M50" t="s">
        <v>3</v>
      </c>
      <c r="N50" s="27">
        <f t="shared" si="0"/>
        <v>24.5625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111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26989</v>
      </c>
      <c r="E56" s="22"/>
      <c r="F56" s="22">
        <v>9093</v>
      </c>
      <c r="G56" s="22"/>
      <c r="H56" s="22">
        <v>9821</v>
      </c>
      <c r="I56" s="22"/>
      <c r="J56" s="22">
        <v>9478</v>
      </c>
      <c r="K56" s="22"/>
      <c r="L56" s="22">
        <v>10629</v>
      </c>
      <c r="M56" s="22"/>
      <c r="N56" s="22">
        <v>12351</v>
      </c>
    </row>
    <row r="57" spans="1:15" x14ac:dyDescent="0.4">
      <c r="A57" s="20" t="s">
        <v>23</v>
      </c>
      <c r="B57" s="20"/>
      <c r="C57" s="20"/>
      <c r="D57" s="22">
        <v>672</v>
      </c>
      <c r="E57" s="22"/>
      <c r="F57" s="22">
        <v>251</v>
      </c>
      <c r="G57" s="22"/>
      <c r="H57" s="22">
        <v>-3334</v>
      </c>
      <c r="I57" s="22"/>
      <c r="J57" s="22">
        <v>7</v>
      </c>
      <c r="K57" s="22"/>
      <c r="L57" s="22">
        <v>8</v>
      </c>
      <c r="M57" s="22"/>
      <c r="N57" s="22">
        <v>16</v>
      </c>
    </row>
    <row r="58" spans="1:15" x14ac:dyDescent="0.4">
      <c r="A58" s="20" t="s">
        <v>24</v>
      </c>
      <c r="B58" s="20"/>
      <c r="C58" s="20"/>
      <c r="D58" s="22">
        <f>23895+D57</f>
        <v>24567</v>
      </c>
      <c r="E58" s="22"/>
      <c r="F58" s="22">
        <f>7991+F57</f>
        <v>8242</v>
      </c>
      <c r="G58" s="22"/>
      <c r="H58" s="22">
        <f>8538+H57</f>
        <v>5204</v>
      </c>
      <c r="I58" s="22"/>
      <c r="J58" s="22">
        <v>8384</v>
      </c>
      <c r="K58" s="22"/>
      <c r="L58" s="22">
        <v>9380</v>
      </c>
      <c r="M58" s="22"/>
      <c r="N58" s="22">
        <v>11466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3341-D57+17+63-77</f>
        <v>2672</v>
      </c>
      <c r="E60" s="22"/>
      <c r="F60" s="22">
        <f>1105-F57+17-18+67-9</f>
        <v>911</v>
      </c>
      <c r="G60" s="22"/>
      <c r="H60" s="22">
        <f>1290-H57+2-108+66-51+321-3</f>
        <v>4851</v>
      </c>
      <c r="I60" s="22"/>
      <c r="J60" s="22">
        <v>943</v>
      </c>
      <c r="K60" s="22"/>
      <c r="L60" s="22">
        <v>-658</v>
      </c>
      <c r="M60" s="22"/>
      <c r="N60" s="22">
        <v>170</v>
      </c>
    </row>
    <row r="61" spans="1:15" x14ac:dyDescent="0.4">
      <c r="A61" s="20" t="s">
        <v>27</v>
      </c>
      <c r="B61" s="20"/>
      <c r="C61" s="20"/>
      <c r="D61" s="22">
        <v>485</v>
      </c>
      <c r="E61" s="22"/>
      <c r="F61" s="22">
        <v>401</v>
      </c>
      <c r="G61" s="22"/>
      <c r="H61" s="22">
        <v>413</v>
      </c>
      <c r="I61" s="22"/>
      <c r="J61" s="22">
        <v>490</v>
      </c>
      <c r="K61" s="22"/>
      <c r="L61" s="22">
        <v>924</v>
      </c>
      <c r="M61" s="22"/>
      <c r="N61" s="22">
        <v>1104</v>
      </c>
    </row>
    <row r="62" spans="1:15" x14ac:dyDescent="0.4">
      <c r="A62" s="20" t="s">
        <v>28</v>
      </c>
      <c r="B62" s="20"/>
      <c r="C62" s="20"/>
      <c r="D62" s="22">
        <v>0</v>
      </c>
      <c r="E62" s="22"/>
      <c r="F62" s="22">
        <v>0</v>
      </c>
      <c r="G62" s="22"/>
      <c r="H62" s="22">
        <v>0</v>
      </c>
      <c r="I62" s="22"/>
      <c r="J62" s="22">
        <v>0</v>
      </c>
      <c r="K62" s="22"/>
      <c r="L62" s="22">
        <v>0</v>
      </c>
      <c r="M62" s="22"/>
      <c r="N62" s="22">
        <v>0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5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2187</v>
      </c>
      <c r="E66" s="22"/>
      <c r="F66" s="22">
        <v>510</v>
      </c>
      <c r="G66" s="22"/>
      <c r="H66" s="22">
        <v>4438</v>
      </c>
      <c r="I66" s="22"/>
      <c r="J66" s="22">
        <v>460</v>
      </c>
      <c r="K66" s="22"/>
      <c r="L66" s="22">
        <v>-1364</v>
      </c>
      <c r="M66" s="22"/>
      <c r="N66" s="22">
        <v>-701</v>
      </c>
    </row>
    <row r="67" spans="1:14" x14ac:dyDescent="0.4">
      <c r="A67" s="20" t="s">
        <v>33</v>
      </c>
      <c r="B67" s="20"/>
      <c r="C67" s="20"/>
      <c r="D67" s="22">
        <v>8.93</v>
      </c>
      <c r="E67" s="22"/>
      <c r="F67" s="22">
        <v>2.08</v>
      </c>
      <c r="G67" s="22"/>
      <c r="H67" s="22">
        <v>15.71</v>
      </c>
      <c r="I67" s="22"/>
      <c r="J67" s="22">
        <v>1.51</v>
      </c>
      <c r="K67" s="22"/>
      <c r="L67" s="22">
        <v>-4.3</v>
      </c>
      <c r="M67" s="22"/>
      <c r="N67" s="22">
        <v>-2.2200000000000002</v>
      </c>
    </row>
    <row r="68" spans="1:14" x14ac:dyDescent="0.4">
      <c r="A68" s="20" t="s">
        <v>34</v>
      </c>
      <c r="B68" s="20"/>
      <c r="C68" s="20"/>
      <c r="D68" s="22">
        <v>3600</v>
      </c>
      <c r="E68" s="22"/>
      <c r="F68" s="22">
        <v>1680</v>
      </c>
      <c r="G68" s="22"/>
      <c r="H68" s="22">
        <v>1658</v>
      </c>
      <c r="I68" s="22"/>
      <c r="J68" s="22">
        <v>-1234</v>
      </c>
      <c r="K68" s="22"/>
      <c r="L68" s="22">
        <v>-346</v>
      </c>
      <c r="M68" s="22"/>
      <c r="N68" s="22">
        <v>2041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20</v>
      </c>
      <c r="I75" s="22"/>
      <c r="J75" s="22">
        <v>19</v>
      </c>
      <c r="K75" s="22"/>
      <c r="L75" s="22">
        <v>2392</v>
      </c>
      <c r="M75" s="22"/>
      <c r="N75" s="22">
        <v>2451</v>
      </c>
    </row>
    <row r="76" spans="1:14" x14ac:dyDescent="0.4">
      <c r="A76" s="20" t="s">
        <v>42</v>
      </c>
      <c r="B76" s="20"/>
      <c r="C76" s="20"/>
      <c r="D76" s="22">
        <v>7966</v>
      </c>
      <c r="E76" s="22"/>
      <c r="F76" s="22">
        <v>8691</v>
      </c>
      <c r="G76" s="22"/>
      <c r="H76" s="22">
        <v>5803</v>
      </c>
      <c r="I76" s="22"/>
      <c r="J76" s="22">
        <v>6449</v>
      </c>
      <c r="K76" s="22"/>
      <c r="L76" s="22">
        <v>15716</v>
      </c>
      <c r="M76" s="22"/>
      <c r="N76" s="22">
        <v>18006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11566</v>
      </c>
      <c r="E78" s="22"/>
      <c r="F78" s="22">
        <f>SUM(F68:F77)</f>
        <v>10371</v>
      </c>
      <c r="G78" s="22"/>
      <c r="H78" s="22">
        <f>SUM(H68:H77)</f>
        <v>7481</v>
      </c>
      <c r="I78" s="22"/>
      <c r="J78" s="22">
        <v>5234</v>
      </c>
      <c r="K78" s="22"/>
      <c r="L78" s="22">
        <v>17762</v>
      </c>
      <c r="M78" s="22"/>
      <c r="N78" s="22">
        <v>22498</v>
      </c>
    </row>
    <row r="79" spans="1:14" x14ac:dyDescent="0.4">
      <c r="A79" s="20" t="s">
        <v>45</v>
      </c>
      <c r="B79" s="20"/>
      <c r="C79" s="20"/>
      <c r="D79" s="22">
        <f>4+81</f>
        <v>85</v>
      </c>
      <c r="E79" s="22"/>
      <c r="F79" s="22">
        <f>1+69</f>
        <v>70</v>
      </c>
      <c r="G79" s="22"/>
      <c r="H79" s="22">
        <f>88+73</f>
        <v>161</v>
      </c>
      <c r="I79" s="22"/>
      <c r="J79" s="22">
        <v>72</v>
      </c>
      <c r="K79" s="22"/>
      <c r="L79" s="22">
        <v>688</v>
      </c>
      <c r="M79" s="22"/>
      <c r="N79" s="22">
        <v>1220</v>
      </c>
    </row>
    <row r="80" spans="1:14" x14ac:dyDescent="0.4">
      <c r="A80" s="20" t="s">
        <v>46</v>
      </c>
      <c r="B80" s="20"/>
      <c r="C80" s="20"/>
      <c r="D80" s="22">
        <v>0</v>
      </c>
      <c r="E80" s="22"/>
      <c r="F80" s="22">
        <v>0</v>
      </c>
      <c r="G80" s="22"/>
      <c r="H80" s="22">
        <v>0</v>
      </c>
      <c r="I80" s="22"/>
      <c r="J80" s="22">
        <v>0</v>
      </c>
      <c r="K80" s="22"/>
      <c r="L80" s="22">
        <v>0</v>
      </c>
      <c r="M80" s="22"/>
      <c r="N80" s="22">
        <v>0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2187</v>
      </c>
      <c r="E82" s="22"/>
      <c r="F82" s="22">
        <v>510</v>
      </c>
      <c r="G82" s="22"/>
      <c r="H82" s="22">
        <v>4120</v>
      </c>
      <c r="I82" s="22"/>
      <c r="J82" s="22">
        <v>460</v>
      </c>
      <c r="K82" s="22"/>
      <c r="L82" s="22">
        <v>-1548</v>
      </c>
      <c r="M82" s="22"/>
      <c r="N82" s="22">
        <v>-891</v>
      </c>
    </row>
    <row r="83" spans="1:14" x14ac:dyDescent="0.4">
      <c r="A83" s="20" t="s">
        <v>49</v>
      </c>
      <c r="B83" s="20"/>
      <c r="C83" s="20"/>
      <c r="D83" s="22">
        <v>785</v>
      </c>
      <c r="E83" s="22"/>
      <c r="F83" s="22">
        <v>435</v>
      </c>
      <c r="G83" s="22"/>
      <c r="H83" s="22">
        <v>373</v>
      </c>
      <c r="I83" s="22"/>
      <c r="J83" s="22">
        <v>581</v>
      </c>
      <c r="K83" s="22"/>
      <c r="L83" s="22">
        <v>1275</v>
      </c>
      <c r="M83" s="22"/>
      <c r="N83" s="22">
        <v>1510</v>
      </c>
    </row>
    <row r="84" spans="1:14" x14ac:dyDescent="0.4">
      <c r="A84" s="20" t="s">
        <v>50</v>
      </c>
      <c r="B84" s="20"/>
      <c r="C84" s="20"/>
      <c r="D84" s="22">
        <f>51+39+106+21</f>
        <v>217</v>
      </c>
      <c r="E84" s="22"/>
      <c r="F84" s="22">
        <f>54+48+70+22</f>
        <v>194</v>
      </c>
      <c r="G84" s="22"/>
      <c r="H84" s="22">
        <f>52+26+38+20</f>
        <v>136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604</v>
      </c>
      <c r="E85" s="22"/>
      <c r="F85" s="22">
        <v>228</v>
      </c>
      <c r="G85" s="22"/>
      <c r="H85" s="22">
        <v>0</v>
      </c>
      <c r="I85" s="22"/>
      <c r="J85" s="22">
        <v>0</v>
      </c>
      <c r="K85" s="22"/>
      <c r="L85" s="22">
        <v>0</v>
      </c>
      <c r="M85" s="22"/>
      <c r="N85" s="22">
        <v>0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20+30+698+77-261+544-3626+797+40-689</f>
        <v>-2370</v>
      </c>
      <c r="E88" s="22"/>
      <c r="F88" s="22">
        <f>45+45+108+9-23+93+137+127+51+29</f>
        <v>621</v>
      </c>
      <c r="G88" s="22"/>
      <c r="H88" s="22">
        <f>14+51+95-23+113+34-3353+105+37</f>
        <v>-2927</v>
      </c>
      <c r="I88" s="22"/>
      <c r="J88" s="22">
        <v>212</v>
      </c>
      <c r="K88" s="22"/>
      <c r="L88" s="22">
        <v>1841</v>
      </c>
      <c r="M88" s="22"/>
      <c r="N88" s="22">
        <v>1698</v>
      </c>
    </row>
    <row r="89" spans="1:14" x14ac:dyDescent="0.4">
      <c r="A89" s="20" t="s">
        <v>54</v>
      </c>
      <c r="B89" s="20"/>
      <c r="C89" s="20"/>
      <c r="D89" s="22">
        <v>269</v>
      </c>
      <c r="E89" s="22"/>
      <c r="F89" s="22">
        <v>230</v>
      </c>
      <c r="G89" s="22"/>
      <c r="H89" s="22">
        <v>228</v>
      </c>
      <c r="I89" s="22"/>
      <c r="J89" s="22">
        <v>388</v>
      </c>
      <c r="K89" s="22"/>
      <c r="L89" s="22">
        <v>1111</v>
      </c>
      <c r="M89" s="22"/>
      <c r="N89" s="22">
        <v>1244</v>
      </c>
    </row>
    <row r="90" spans="1:14" x14ac:dyDescent="0.4">
      <c r="A90" s="20" t="s">
        <v>55</v>
      </c>
      <c r="B90" s="20"/>
      <c r="C90" s="20"/>
      <c r="D90" s="22">
        <v>319</v>
      </c>
      <c r="E90" s="22"/>
      <c r="F90" s="22">
        <v>295</v>
      </c>
      <c r="G90" s="22"/>
      <c r="H90" s="22">
        <v>32</v>
      </c>
      <c r="I90" s="22"/>
      <c r="J90" s="22">
        <v>37</v>
      </c>
      <c r="K90" s="22"/>
      <c r="L90" s="22">
        <v>38</v>
      </c>
      <c r="M90" s="22"/>
      <c r="N90" s="22">
        <v>76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433</v>
      </c>
      <c r="E92" s="22"/>
      <c r="F92" s="22">
        <v>340</v>
      </c>
      <c r="G92" s="22"/>
      <c r="H92" s="22">
        <v>372</v>
      </c>
      <c r="I92" s="22"/>
      <c r="J92" s="22">
        <v>436</v>
      </c>
      <c r="K92" s="22"/>
      <c r="L92" s="22">
        <v>868</v>
      </c>
      <c r="M92" s="22"/>
      <c r="N92" s="22">
        <v>1106</v>
      </c>
    </row>
    <row r="93" spans="1:14" x14ac:dyDescent="0.4">
      <c r="A93" s="20" t="s">
        <v>58</v>
      </c>
      <c r="B93" s="20"/>
      <c r="C93" s="20"/>
      <c r="D93" s="22">
        <v>32</v>
      </c>
      <c r="E93" s="22"/>
      <c r="F93" s="22">
        <v>24</v>
      </c>
      <c r="G93" s="22"/>
      <c r="H93" s="22">
        <v>8</v>
      </c>
      <c r="I93" s="22"/>
      <c r="J93" s="22">
        <v>9</v>
      </c>
      <c r="K93" s="22"/>
      <c r="L93" s="22">
        <v>9</v>
      </c>
      <c r="M93" s="22"/>
      <c r="N93" s="22">
        <v>27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320</v>
      </c>
      <c r="E96" s="22"/>
      <c r="F96" s="22">
        <v>297</v>
      </c>
      <c r="G96" s="22"/>
      <c r="H96" s="22">
        <v>32</v>
      </c>
      <c r="I96" s="22"/>
      <c r="J96" s="22">
        <v>37</v>
      </c>
      <c r="K96" s="22"/>
      <c r="L96" s="22">
        <v>38</v>
      </c>
      <c r="M96" s="22"/>
      <c r="N96" s="22">
        <v>74</v>
      </c>
    </row>
    <row r="97" spans="1:14" x14ac:dyDescent="0.4">
      <c r="A97" s="20" t="s">
        <v>60</v>
      </c>
      <c r="B97" s="20"/>
      <c r="C97" s="20"/>
      <c r="D97" s="22">
        <v>1.3</v>
      </c>
      <c r="E97" s="22"/>
      <c r="F97" s="22">
        <v>1.2</v>
      </c>
      <c r="G97" s="22"/>
      <c r="H97" s="22">
        <v>0.12</v>
      </c>
      <c r="I97" s="22"/>
      <c r="J97" s="22">
        <v>0.12</v>
      </c>
      <c r="K97" s="22"/>
      <c r="L97" s="22">
        <v>0.12</v>
      </c>
      <c r="M97" s="22"/>
      <c r="N97" s="22">
        <v>0.23499999999999999</v>
      </c>
    </row>
    <row r="98" spans="1:14" x14ac:dyDescent="0.4">
      <c r="A98" s="20" t="s">
        <v>61</v>
      </c>
      <c r="B98" s="20"/>
      <c r="C98" s="20"/>
      <c r="D98" s="22">
        <v>1.3</v>
      </c>
      <c r="E98" s="22"/>
      <c r="F98" s="22">
        <v>1.2</v>
      </c>
      <c r="G98" s="22"/>
      <c r="H98" s="22">
        <v>0.12</v>
      </c>
      <c r="I98" s="22"/>
      <c r="J98" s="22">
        <v>0.12</v>
      </c>
      <c r="K98" s="22"/>
      <c r="L98" s="22">
        <v>0.12</v>
      </c>
      <c r="M98" s="22"/>
      <c r="N98" s="22">
        <v>0.23499999999999999</v>
      </c>
    </row>
    <row r="99" spans="1:14" x14ac:dyDescent="0.4">
      <c r="A99" s="20" t="s">
        <v>62</v>
      </c>
      <c r="B99" s="20"/>
      <c r="C99" s="20"/>
      <c r="D99" s="22">
        <v>46.1</v>
      </c>
      <c r="E99" s="22"/>
      <c r="F99" s="22">
        <v>40.25</v>
      </c>
      <c r="G99" s="22"/>
      <c r="H99" s="22">
        <v>43.66</v>
      </c>
      <c r="I99" s="22"/>
      <c r="J99" s="22">
        <v>43.075000000000003</v>
      </c>
      <c r="K99" s="22"/>
      <c r="L99" s="22">
        <v>29.78</v>
      </c>
      <c r="M99" s="22"/>
      <c r="N99" s="22">
        <v>18.32</v>
      </c>
    </row>
    <row r="100" spans="1:14" x14ac:dyDescent="0.4">
      <c r="A100" s="20" t="s">
        <v>63</v>
      </c>
      <c r="B100" s="20"/>
      <c r="C100" s="20"/>
      <c r="D100" s="22">
        <v>31.94</v>
      </c>
      <c r="E100" s="22"/>
      <c r="F100" s="22">
        <v>19.54</v>
      </c>
      <c r="G100" s="22"/>
      <c r="H100" s="22">
        <v>32.630000000000003</v>
      </c>
      <c r="I100" s="22"/>
      <c r="J100" s="22">
        <v>23.75</v>
      </c>
      <c r="K100" s="22"/>
      <c r="L100" s="22">
        <v>12.185</v>
      </c>
      <c r="M100" s="22"/>
      <c r="N100" s="22">
        <v>8.92</v>
      </c>
    </row>
    <row r="101" spans="1:14" x14ac:dyDescent="0.4">
      <c r="A101" s="20" t="s">
        <v>64</v>
      </c>
      <c r="B101" s="20"/>
      <c r="C101" s="20"/>
      <c r="D101" s="22">
        <v>43.080002</v>
      </c>
      <c r="E101" s="22"/>
      <c r="F101" s="22">
        <v>37.549999999999997</v>
      </c>
      <c r="G101" s="22"/>
      <c r="H101" s="22">
        <v>39.75</v>
      </c>
      <c r="I101" s="22"/>
      <c r="J101" s="22">
        <v>39.6</v>
      </c>
      <c r="K101" s="22"/>
      <c r="L101" s="22">
        <v>28.48</v>
      </c>
      <c r="M101" s="22"/>
      <c r="N101" s="22">
        <v>12.26</v>
      </c>
    </row>
    <row r="102" spans="1:14" x14ac:dyDescent="0.4">
      <c r="A102" s="20" t="s">
        <v>65</v>
      </c>
      <c r="B102" s="20"/>
      <c r="C102" s="20"/>
      <c r="D102" s="22">
        <f>423.547174-179.793275</f>
        <v>243.75389899999999</v>
      </c>
      <c r="E102" s="22"/>
      <c r="F102" s="22">
        <f>423.057848-178.825915</f>
        <v>244.23193299999997</v>
      </c>
      <c r="G102" s="22"/>
      <c r="H102" s="22">
        <f>421.89079-172.894601</f>
        <v>248.99618899999999</v>
      </c>
      <c r="I102" s="22"/>
      <c r="J102" s="22">
        <v>283.64999999999998</v>
      </c>
      <c r="K102" s="22"/>
      <c r="L102" s="22">
        <v>316.74299999999999</v>
      </c>
      <c r="M102" s="22"/>
      <c r="N102" s="22">
        <v>315.44299999999998</v>
      </c>
    </row>
    <row r="103" spans="1:14" x14ac:dyDescent="0.4">
      <c r="A103" s="20" t="s">
        <v>91</v>
      </c>
      <c r="B103" s="20"/>
      <c r="C103" s="20"/>
      <c r="D103" s="22">
        <v>-126</v>
      </c>
      <c r="E103" s="22"/>
      <c r="F103" s="22">
        <v>-206</v>
      </c>
      <c r="G103" s="22"/>
      <c r="H103" s="22">
        <v>-192</v>
      </c>
      <c r="I103" s="22"/>
      <c r="J103" s="22">
        <v>-94</v>
      </c>
      <c r="K103" s="22"/>
      <c r="L103" s="22">
        <v>-72</v>
      </c>
      <c r="M103" s="22"/>
      <c r="N103" s="22">
        <v>-135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8.93</v>
      </c>
      <c r="F105" s="15">
        <f>F67/F94</f>
        <v>2.08</v>
      </c>
      <c r="H105" s="15">
        <f>H67/H94</f>
        <v>15.71</v>
      </c>
      <c r="J105" s="15">
        <f>J67/J94</f>
        <v>1.51</v>
      </c>
      <c r="L105" s="15">
        <f>L67/L94</f>
        <v>-4.3</v>
      </c>
      <c r="N105" s="15">
        <f>N67/N94</f>
        <v>-2.2200000000000002</v>
      </c>
    </row>
    <row r="106" spans="1:14" x14ac:dyDescent="0.4">
      <c r="B106" t="s">
        <v>60</v>
      </c>
      <c r="D106" s="15">
        <f>D97/D94</f>
        <v>1.3</v>
      </c>
      <c r="F106" s="15">
        <f>F97/F94</f>
        <v>1.2</v>
      </c>
      <c r="H106" s="15">
        <f>H97/H94</f>
        <v>0.12</v>
      </c>
      <c r="J106" s="15">
        <f>J97/J94</f>
        <v>0.12</v>
      </c>
      <c r="L106" s="15">
        <f>L97/L94</f>
        <v>0.12</v>
      </c>
      <c r="N106" s="15">
        <f>N97/N94</f>
        <v>0.23499999999999999</v>
      </c>
    </row>
    <row r="107" spans="1:14" x14ac:dyDescent="0.4">
      <c r="B107" t="s">
        <v>61</v>
      </c>
      <c r="D107" s="15">
        <f>D98/D94</f>
        <v>1.3</v>
      </c>
      <c r="F107" s="15">
        <f>F98/F94</f>
        <v>1.2</v>
      </c>
      <c r="H107" s="15">
        <f>H98/H94</f>
        <v>0.12</v>
      </c>
      <c r="J107" s="15">
        <f>J98/J94</f>
        <v>0.12</v>
      </c>
      <c r="L107" s="15">
        <f>L98/L94</f>
        <v>0.12</v>
      </c>
      <c r="N107" s="15">
        <f>N98/N94</f>
        <v>0.23499999999999999</v>
      </c>
    </row>
    <row r="108" spans="1:14" x14ac:dyDescent="0.4">
      <c r="B108" t="s">
        <v>62</v>
      </c>
      <c r="D108" s="15">
        <f>D99/D94</f>
        <v>46.1</v>
      </c>
      <c r="F108" s="15">
        <f>F99/F94</f>
        <v>40.25</v>
      </c>
      <c r="H108" s="15">
        <f>H99/H94</f>
        <v>43.66</v>
      </c>
      <c r="J108" s="15">
        <f>J99/J94</f>
        <v>43.075000000000003</v>
      </c>
      <c r="L108" s="15">
        <f>L99/L94</f>
        <v>29.78</v>
      </c>
      <c r="N108" s="15">
        <f>N99/N94</f>
        <v>18.32</v>
      </c>
    </row>
    <row r="109" spans="1:14" x14ac:dyDescent="0.4">
      <c r="B109" t="s">
        <v>63</v>
      </c>
      <c r="D109" s="15">
        <f>D100/D94</f>
        <v>31.94</v>
      </c>
      <c r="F109" s="15">
        <f>F100/F94</f>
        <v>19.54</v>
      </c>
      <c r="H109" s="15">
        <f>H100/H94</f>
        <v>32.630000000000003</v>
      </c>
      <c r="J109" s="15">
        <f>J100/J94</f>
        <v>23.75</v>
      </c>
      <c r="L109" s="15">
        <f>L100/L94</f>
        <v>12.185</v>
      </c>
      <c r="N109" s="15">
        <f>N100/N94</f>
        <v>8.92</v>
      </c>
    </row>
    <row r="110" spans="1:14" x14ac:dyDescent="0.4">
      <c r="B110" t="s">
        <v>64</v>
      </c>
      <c r="D110" s="15">
        <f>D101/D94</f>
        <v>43.080002</v>
      </c>
      <c r="F110" s="15">
        <f>F101/F94</f>
        <v>37.549999999999997</v>
      </c>
      <c r="H110" s="15">
        <f>H101/H94</f>
        <v>39.75</v>
      </c>
      <c r="J110" s="15">
        <f>J101/J94</f>
        <v>39.6</v>
      </c>
      <c r="L110" s="15">
        <f>L101/L94</f>
        <v>28.48</v>
      </c>
      <c r="N110" s="15">
        <f>N101/N94</f>
        <v>12.26</v>
      </c>
    </row>
    <row r="111" spans="1:14" x14ac:dyDescent="0.4">
      <c r="B111" t="s">
        <v>65</v>
      </c>
      <c r="D111" s="16">
        <f>D102*D94</f>
        <v>243.75389899999999</v>
      </c>
      <c r="E111" s="16"/>
      <c r="F111" s="16">
        <f>F102*F94</f>
        <v>244.23193299999997</v>
      </c>
      <c r="G111" s="16"/>
      <c r="H111" s="16">
        <f>H102*H94</f>
        <v>248.99618899999999</v>
      </c>
      <c r="I111" s="16"/>
      <c r="J111" s="16">
        <f>J102*J94</f>
        <v>283.64999999999998</v>
      </c>
      <c r="K111" s="16"/>
      <c r="L111" s="16">
        <f>L102*L94</f>
        <v>316.74299999999999</v>
      </c>
      <c r="M111" s="16"/>
      <c r="N111" s="16">
        <f>N102*N94</f>
        <v>315.44299999999998</v>
      </c>
    </row>
    <row r="112" spans="1:14" x14ac:dyDescent="0.4">
      <c r="B112" t="s">
        <v>66</v>
      </c>
      <c r="D112" s="15">
        <f>ROUND(D68/D111,2)</f>
        <v>14.77</v>
      </c>
      <c r="F112" s="15">
        <f>ROUND(F68/F111,2)</f>
        <v>6.88</v>
      </c>
      <c r="H112" s="15">
        <f>ROUND(H68/H111,2)</f>
        <v>6.66</v>
      </c>
      <c r="J112" s="15">
        <f>ROUND(J68/J111,2)</f>
        <v>-4.3499999999999996</v>
      </c>
      <c r="L112" s="15">
        <f>ROUND(L68/L111,2)</f>
        <v>-1.0900000000000001</v>
      </c>
      <c r="N112" s="15">
        <f>ROUND(N68/N111,2)</f>
        <v>6.47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PINNACLE WEST CAPITAL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13140.056</v>
      </c>
      <c r="F8" s="34">
        <f>F78+F79+F81-F103</f>
        <v>12129.855</v>
      </c>
      <c r="H8" s="34">
        <f>H78+H79+H81-H103</f>
        <v>11242.841999999999</v>
      </c>
      <c r="J8" s="34">
        <f>J78+J79+J81-J103</f>
        <v>10534.645</v>
      </c>
      <c r="L8" s="34">
        <f>L78+L79+L81-L103</f>
        <v>10052.445</v>
      </c>
    </row>
    <row r="9" spans="1:15" x14ac:dyDescent="0.4">
      <c r="B9" t="s">
        <v>5</v>
      </c>
      <c r="D9" s="9">
        <f>D80</f>
        <v>292</v>
      </c>
      <c r="F9" s="9">
        <f>F80</f>
        <v>169</v>
      </c>
      <c r="H9" s="9">
        <f>H80</f>
        <v>114.675</v>
      </c>
      <c r="J9" s="9">
        <f>J80</f>
        <v>76.400000000000006</v>
      </c>
      <c r="L9" s="9">
        <f>L80</f>
        <v>95.4</v>
      </c>
    </row>
    <row r="10" spans="1:15" ht="15.4" thickBot="1" x14ac:dyDescent="0.45">
      <c r="B10" t="s">
        <v>7</v>
      </c>
      <c r="D10" s="10">
        <f>D8+D9</f>
        <v>13432.056</v>
      </c>
      <c r="F10" s="10">
        <f>F8+F9</f>
        <v>12298.855</v>
      </c>
      <c r="H10" s="10">
        <f>H8+H9</f>
        <v>11357.516999999998</v>
      </c>
      <c r="J10" s="10">
        <f>J8+J9</f>
        <v>10611.045</v>
      </c>
      <c r="L10" s="10">
        <f>L8+L9</f>
        <v>10147.844999999999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14</v>
      </c>
      <c r="E13" s="7" t="s">
        <v>3</v>
      </c>
      <c r="F13" s="30">
        <f>ROUND(AVERAGE(F108:F109)/F105,0)</f>
        <v>17</v>
      </c>
      <c r="G13" s="7" t="s">
        <v>3</v>
      </c>
      <c r="H13" s="30">
        <f>ROUND(AVERAGE(H108:H109)/H105,0)</f>
        <v>19</v>
      </c>
      <c r="I13" s="7" t="s">
        <v>3</v>
      </c>
      <c r="J13" s="30">
        <f>ROUND(AVERAGE(J108:J109)/J105,0)</f>
        <v>18</v>
      </c>
      <c r="K13" s="7" t="s">
        <v>3</v>
      </c>
      <c r="L13" s="30">
        <f>ROUND(AVERAGE(L108:L109)/L105,0)</f>
        <v>19</v>
      </c>
      <c r="M13" s="7" t="s">
        <v>3</v>
      </c>
      <c r="N13" s="30">
        <f>AVERAGE(D13,F13,H13,J13,L13)</f>
        <v>17.399999999999999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1.4790000000000001</v>
      </c>
      <c r="E14" s="3"/>
      <c r="F14" s="3">
        <f>ROUND(AVERAGE(F108:F109)/AVERAGE(F112,H112),3)</f>
        <v>1.6839999999999999</v>
      </c>
      <c r="G14" s="3"/>
      <c r="H14" s="3">
        <f>ROUND(AVERAGE(H108:H109)/AVERAGE(H112,J112),3)</f>
        <v>1.9119999999999999</v>
      </c>
      <c r="I14" s="3"/>
      <c r="J14" s="3">
        <f>ROUND(AVERAGE(J108:J109)/AVERAGE(J112,L112),3)</f>
        <v>1.8169999999999999</v>
      </c>
      <c r="K14" s="3"/>
      <c r="L14" s="3">
        <f>ROUND(AVERAGE(L108:L109)/AVERAGE(L112,N112),3)</f>
        <v>1.913</v>
      </c>
      <c r="M14" s="3"/>
      <c r="N14" s="3">
        <f>AVERAGE(D14,F14,H14,J14,L14)</f>
        <v>1.7609999999999999</v>
      </c>
    </row>
    <row r="15" spans="1:15" x14ac:dyDescent="0.4">
      <c r="B15" t="s">
        <v>9</v>
      </c>
      <c r="D15" s="3">
        <f>ROUND(D106/AVERAGE(D108:D109),3)</f>
        <v>4.3999999999999997E-2</v>
      </c>
      <c r="E15" s="3"/>
      <c r="F15" s="3">
        <f>ROUND(F106/AVERAGE(F108:F109),3)</f>
        <v>3.9E-2</v>
      </c>
      <c r="G15" s="3"/>
      <c r="H15" s="3">
        <f>ROUND(H106/AVERAGE(H108:H109),3)</f>
        <v>3.4000000000000002E-2</v>
      </c>
      <c r="I15" s="3"/>
      <c r="J15" s="3">
        <f>ROUND(J106/AVERAGE(J108:J109),3)</f>
        <v>3.4000000000000002E-2</v>
      </c>
      <c r="K15" s="3"/>
      <c r="L15" s="3">
        <f>ROUND(L106/AVERAGE(L108:L109),3)</f>
        <v>3.2000000000000001E-2</v>
      </c>
      <c r="M15" s="3"/>
      <c r="N15" s="3">
        <f>AVERAGE(D15,F15,H15,J15,L15)</f>
        <v>3.6600000000000001E-2</v>
      </c>
    </row>
    <row r="16" spans="1:15" x14ac:dyDescent="0.4">
      <c r="B16" t="s">
        <v>10</v>
      </c>
      <c r="D16" s="3">
        <f>ROUND(D96/D66,3)</f>
        <v>0.61299999999999999</v>
      </c>
      <c r="E16" s="3"/>
      <c r="F16" s="3">
        <f>ROUND(F96/F66,3)</f>
        <v>0.65900000000000003</v>
      </c>
      <c r="G16" s="3"/>
      <c r="H16" s="3">
        <f>ROUND(H96/H66,3)</f>
        <v>0.63500000000000001</v>
      </c>
      <c r="I16" s="3"/>
      <c r="J16" s="3">
        <f>ROUND(J96/J66,3)</f>
        <v>0.628</v>
      </c>
      <c r="K16" s="3"/>
      <c r="L16" s="3">
        <f>ROUND(L96/L66,3)</f>
        <v>0.61699999999999999</v>
      </c>
      <c r="M16" s="3"/>
      <c r="N16" s="3">
        <f>AVERAGE(D16,F16,H16,J16,L16)</f>
        <v>0.63040000000000007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0.53800000000000003</v>
      </c>
      <c r="E20" s="3"/>
      <c r="F20" s="3">
        <f>ROUND((+F76+F79)/F8,3)</f>
        <v>0.52100000000000002</v>
      </c>
      <c r="G20" s="3"/>
      <c r="H20" s="3">
        <f>ROUND((+H76+H79)/H8,3)</f>
        <v>0.501</v>
      </c>
      <c r="I20" s="3"/>
      <c r="J20" s="3">
        <f>ROUND((+J76+J79)/J8,3)</f>
        <v>0.48799999999999999</v>
      </c>
      <c r="K20" s="3"/>
      <c r="L20" s="3">
        <f>ROUND((+L76+L79)/L8,3)</f>
        <v>0.48499999999999999</v>
      </c>
      <c r="M20" s="3"/>
      <c r="N20" s="3">
        <f>AVERAGE(D20,F20,H20,J20,L20)</f>
        <v>0.50659999999999994</v>
      </c>
    </row>
    <row r="21" spans="1:14" x14ac:dyDescent="0.4">
      <c r="B21" s="31" t="s">
        <v>93</v>
      </c>
      <c r="D21" s="3">
        <f>ROUND((SUM(D69:D75)+D81)/D8,3)</f>
        <v>8.9999999999999993E-3</v>
      </c>
      <c r="E21" s="3"/>
      <c r="F21" s="3">
        <f>ROUND((SUM(F69:F75)+F81)/F8,3)</f>
        <v>0.01</v>
      </c>
      <c r="G21" s="3"/>
      <c r="H21" s="3">
        <f>ROUND((SUM(H69:H75)+H81)/H8,3)</f>
        <v>1.0999999999999999E-2</v>
      </c>
      <c r="I21" s="3"/>
      <c r="J21" s="3">
        <f>ROUND((SUM(J69:J75)+J81)/J8,3)</f>
        <v>1.2E-2</v>
      </c>
      <c r="K21" s="3"/>
      <c r="L21" s="3">
        <f>ROUND((SUM(L69:L75)+L81)/L8,3)</f>
        <v>1.2999999999999999E-2</v>
      </c>
      <c r="M21" s="3"/>
      <c r="N21" s="3">
        <f>AVERAGE(D21,F21,H21,J21,L21)</f>
        <v>1.0999999999999999E-2</v>
      </c>
    </row>
    <row r="22" spans="1:14" ht="17.25" x14ac:dyDescent="0.4">
      <c r="B22" s="32" t="s">
        <v>94</v>
      </c>
      <c r="D22" s="4">
        <f>ROUND((D68-D103)/D8,3)</f>
        <v>0.45400000000000001</v>
      </c>
      <c r="E22" s="3"/>
      <c r="F22" s="4">
        <f>ROUND((F68-F103)/F8,3)</f>
        <v>0.47</v>
      </c>
      <c r="G22" s="3"/>
      <c r="H22" s="4">
        <f>ROUND((H68-H103)/H8,3)</f>
        <v>0.48799999999999999</v>
      </c>
      <c r="I22" s="3"/>
      <c r="J22" s="4">
        <f>ROUND((J68-J103)/J8,3)</f>
        <v>0.5</v>
      </c>
      <c r="K22" s="3"/>
      <c r="L22" s="4">
        <f>ROUND((L68-L103)/L8,3)</f>
        <v>0.503</v>
      </c>
      <c r="M22" s="3"/>
      <c r="N22" s="4">
        <f>AVERAGE(D22,F22,H22,J22,L22)</f>
        <v>0.48299999999999998</v>
      </c>
    </row>
    <row r="23" spans="1:14" ht="15.4" thickBot="1" x14ac:dyDescent="0.45">
      <c r="D23" s="5">
        <f>SUM(D20:D22)</f>
        <v>1.0010000000000001</v>
      </c>
      <c r="E23" s="3"/>
      <c r="F23" s="5">
        <f>SUM(F20:F22)</f>
        <v>1.0009999999999999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1.0009999999999999</v>
      </c>
      <c r="M23" s="3"/>
      <c r="N23" s="5">
        <f>AVERAGE(D23,F23,H23,J23,L23)</f>
        <v>1.0005999999999999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0.54800000000000004</v>
      </c>
      <c r="E25" s="3"/>
      <c r="F25" s="3">
        <f>ROUND((+F76+F79+F80)/F10,3)</f>
        <v>0.52700000000000002</v>
      </c>
      <c r="G25" s="3"/>
      <c r="H25" s="3">
        <f>ROUND((+H76+H79+H80)/H10,3)</f>
        <v>0.50600000000000001</v>
      </c>
      <c r="I25" s="3"/>
      <c r="J25" s="3">
        <f>ROUND((+J76+J79+J80)/J10,3)</f>
        <v>0.49099999999999999</v>
      </c>
      <c r="K25" s="3"/>
      <c r="L25" s="3">
        <f>ROUND((+L76+L79+L80)/L10,3)</f>
        <v>0.48899999999999999</v>
      </c>
      <c r="M25" s="3"/>
      <c r="N25" s="3">
        <f>AVERAGE(D25,F25,H25,J25,L25)</f>
        <v>0.51219999999999999</v>
      </c>
    </row>
    <row r="26" spans="1:14" x14ac:dyDescent="0.4">
      <c r="B26" s="31" t="s">
        <v>93</v>
      </c>
      <c r="D26" s="3">
        <f>ROUND((SUM(D69:D75)+D81)/D10,3)</f>
        <v>8.9999999999999993E-3</v>
      </c>
      <c r="E26" s="3"/>
      <c r="F26" s="3">
        <f>ROUND((SUM(F69:F75)+F81)/F10,3)</f>
        <v>0.01</v>
      </c>
      <c r="G26" s="3"/>
      <c r="H26" s="3">
        <f>ROUND((SUM(H69:H75)+H81)/H10,3)</f>
        <v>1.0999999999999999E-2</v>
      </c>
      <c r="I26" s="3"/>
      <c r="J26" s="3">
        <f>ROUND((SUM(J69:J75)+J81)/J10,3)</f>
        <v>1.2E-2</v>
      </c>
      <c r="K26" s="3"/>
      <c r="L26" s="3">
        <f>ROUND((SUM(L69:L75)+L81)/L10,3)</f>
        <v>1.2999999999999999E-2</v>
      </c>
      <c r="M26" s="3"/>
      <c r="N26" s="3">
        <f>AVERAGE(D26,F26,H26,J26,L26)</f>
        <v>1.0999999999999999E-2</v>
      </c>
    </row>
    <row r="27" spans="1:14" ht="17.25" x14ac:dyDescent="0.4">
      <c r="B27" s="32" t="s">
        <v>94</v>
      </c>
      <c r="D27" s="4">
        <f>ROUND((D68-D103)/D10,3)</f>
        <v>0.44400000000000001</v>
      </c>
      <c r="E27" s="3"/>
      <c r="F27" s="4">
        <f>ROUND((F68-F103)/F10,3)</f>
        <v>0.46300000000000002</v>
      </c>
      <c r="G27" s="3"/>
      <c r="H27" s="4">
        <f>ROUND((H68-H103)/H10,3)</f>
        <v>0.48299999999999998</v>
      </c>
      <c r="I27" s="3"/>
      <c r="J27" s="4">
        <f>ROUND((J68-J103)/J10,3)</f>
        <v>0.497</v>
      </c>
      <c r="K27" s="3"/>
      <c r="L27" s="4">
        <f>ROUND((L68-L103)/L10,3)</f>
        <v>0.498</v>
      </c>
      <c r="M27" s="3"/>
      <c r="N27" s="4">
        <f>AVERAGE(D27,F27,H27,J27,L27)</f>
        <v>0.47699999999999998</v>
      </c>
    </row>
    <row r="28" spans="1:14" ht="15.4" thickBot="1" x14ac:dyDescent="0.45">
      <c r="D28" s="5">
        <f>SUM(D25:D27)</f>
        <v>1.0010000000000001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0.106</v>
      </c>
      <c r="E30" s="3"/>
      <c r="F30" s="3">
        <f>ROUND(+F66/(((F68-F103)+(H68-H103))/2),3)</f>
        <v>9.8000000000000004E-2</v>
      </c>
      <c r="G30" s="3"/>
      <c r="H30" s="3">
        <f>ROUND(+H66/(((H68-H103)+(J68-J103))/2),3)</f>
        <v>0.1</v>
      </c>
      <c r="I30" s="3"/>
      <c r="J30" s="3">
        <f>ROUND(+J66/(((J68-J103)+(L68-L103))/2),3)</f>
        <v>9.9000000000000005E-2</v>
      </c>
      <c r="K30" s="3"/>
      <c r="L30" s="3">
        <f>ROUND(+L66/(((L68-L103)+(N68-N103))/2),3)</f>
        <v>9.9000000000000005E-2</v>
      </c>
      <c r="M30" s="3"/>
      <c r="N30" s="3">
        <f>AVERAGE(D30,F30,H30,J30,L30)</f>
        <v>0.1004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0.78800000000000003</v>
      </c>
      <c r="E32" s="3"/>
      <c r="F32" s="3">
        <f>ROUND((+F58-F57)/F56,3)</f>
        <v>0.78</v>
      </c>
      <c r="G32" s="3"/>
      <c r="H32" s="3">
        <f>ROUND((+H58-H57)/H56,3)</f>
        <v>0.80600000000000005</v>
      </c>
      <c r="I32" s="3"/>
      <c r="J32" s="3">
        <f>ROUND((+J58-J57)/J56,3)</f>
        <v>0.79</v>
      </c>
      <c r="K32" s="3"/>
      <c r="L32" s="3">
        <f>ROUND((+L58-L57)/L56,3)</f>
        <v>0.73799999999999999</v>
      </c>
      <c r="M32" s="3"/>
      <c r="N32" s="3">
        <f>AVERAGE(D32,F32,H32,J32,L32)</f>
        <v>0.78039999999999998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3.87</v>
      </c>
      <c r="E35" s="7" t="s">
        <v>3</v>
      </c>
      <c r="F35" s="7">
        <f>ROUND(((+F66+F65+F64+F63+F61+F59+F57)/F61),2)</f>
        <v>3.54</v>
      </c>
      <c r="G35" s="7" t="s">
        <v>3</v>
      </c>
      <c r="H35" s="7">
        <f>ROUND(((+H66+H65+H64+H63+H61+H59+H57)/H61),2)</f>
        <v>3.22</v>
      </c>
      <c r="I35" s="7" t="s">
        <v>3</v>
      </c>
      <c r="J35" s="7">
        <f>ROUND(((+J66+J65+J64+J63+J61+J59+J57)/J61),2)</f>
        <v>3.65</v>
      </c>
      <c r="K35" s="7" t="s">
        <v>3</v>
      </c>
      <c r="L35" s="7">
        <f>ROUND(((+L66+L65+L64+L63+L61+L59+L57)/L61),2)</f>
        <v>4.4000000000000004</v>
      </c>
      <c r="M35" s="7" t="s">
        <v>3</v>
      </c>
      <c r="N35" s="26">
        <f>AVERAGE(D35,F35,H35,J35,L35)</f>
        <v>3.7359999999999998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3.43</v>
      </c>
      <c r="E36" s="7" t="s">
        <v>3</v>
      </c>
      <c r="F36" s="7">
        <f>ROUND(((+F66+F65+F64+F63+F61)/(F61)),2)</f>
        <v>3.22</v>
      </c>
      <c r="G36" s="7" t="s">
        <v>3</v>
      </c>
      <c r="H36" s="7">
        <f>ROUND(((+H66+H65+H64+H63+H61)/(H61)),2)</f>
        <v>3.29</v>
      </c>
      <c r="I36" s="7" t="s">
        <v>3</v>
      </c>
      <c r="J36" s="7">
        <f>ROUND(((+J66+J65+J64+J63+J61)/(J61)),2)</f>
        <v>3.1</v>
      </c>
      <c r="K36" s="7" t="s">
        <v>3</v>
      </c>
      <c r="L36" s="7">
        <f>ROUND(((+L66+L65+L64+L63+L61)/(L61)),2)</f>
        <v>3.22</v>
      </c>
      <c r="M36" s="7" t="s">
        <v>3</v>
      </c>
      <c r="N36" s="26">
        <f>AVERAGE(D36,F36,H36,J36,L36)</f>
        <v>3.2520000000000002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3.43</v>
      </c>
      <c r="E37" s="7" t="s">
        <v>3</v>
      </c>
      <c r="F37" s="7">
        <f>ROUND(((+F66+F65+F64+F63+F61)/(F61+F63+F64+F65)),2)</f>
        <v>3.22</v>
      </c>
      <c r="G37" s="7" t="s">
        <v>3</v>
      </c>
      <c r="H37" s="7">
        <f>ROUND(((+H66+H65+H64+H63+H61)/(H61+H63+H64+H65)),2)</f>
        <v>3.29</v>
      </c>
      <c r="I37" s="7" t="s">
        <v>3</v>
      </c>
      <c r="J37" s="7">
        <f>ROUND(((+J66+J65+J64+J63+J61)/(J61+J63+J64+J65)),2)</f>
        <v>3.1</v>
      </c>
      <c r="K37" s="7" t="s">
        <v>3</v>
      </c>
      <c r="L37" s="7">
        <f>ROUND(((+L66+L65+L64+L63+L61)/(L61+L63+L64+L65)),2)</f>
        <v>3.22</v>
      </c>
      <c r="M37" s="7" t="s">
        <v>3</v>
      </c>
      <c r="N37" s="26">
        <f>AVERAGE(D37,F37,H37,J37,L37)</f>
        <v>3.2520000000000002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3.62</v>
      </c>
      <c r="E40" s="7" t="s">
        <v>3</v>
      </c>
      <c r="F40" s="7">
        <f>ROUND(((+F66+F65+F64+F63-F62+F61+F59+F57)/F61),2)</f>
        <v>3.33</v>
      </c>
      <c r="G40" s="7" t="s">
        <v>3</v>
      </c>
      <c r="H40" s="7">
        <f>ROUND(((+H66+H65+H64+H63-H62+H61+H59+H57)/H61),2)</f>
        <v>3.01</v>
      </c>
      <c r="I40" s="7" t="s">
        <v>3</v>
      </c>
      <c r="J40" s="7">
        <f>ROUND(((+J66+J65+J64+J63-J62+J61+J59+J57)/J61),2)</f>
        <v>3.33</v>
      </c>
      <c r="K40" s="7" t="s">
        <v>3</v>
      </c>
      <c r="L40" s="7">
        <f>ROUND(((+L66+L65+L64+L63-L62+L61+L59+L57)/L61),2)</f>
        <v>4.08</v>
      </c>
      <c r="M40" s="7" t="s">
        <v>3</v>
      </c>
      <c r="N40" s="26">
        <f>AVERAGE(D40,F40,H40,J40,L40)</f>
        <v>3.4740000000000002</v>
      </c>
      <c r="O40" t="s">
        <v>3</v>
      </c>
    </row>
    <row r="41" spans="1:15" x14ac:dyDescent="0.4">
      <c r="B41" t="s">
        <v>21</v>
      </c>
      <c r="D41" s="7">
        <f>ROUND(((+D66+D65+D64+D63-D62+D61)/D61),2)</f>
        <v>3.19</v>
      </c>
      <c r="E41" s="7" t="s">
        <v>3</v>
      </c>
      <c r="F41" s="7">
        <f>ROUND(((+F66+F65+F64+F63-F62+F61)/F61),2)</f>
        <v>3.01</v>
      </c>
      <c r="G41" s="7" t="s">
        <v>3</v>
      </c>
      <c r="H41" s="7">
        <f>ROUND(((+H66+H65+H64+H63-H62+H61)/H61),2)</f>
        <v>3.08</v>
      </c>
      <c r="I41" s="7" t="s">
        <v>3</v>
      </c>
      <c r="J41" s="7">
        <f>ROUND(((+J66+J65+J64+J63-J62+J61)/J61),2)</f>
        <v>2.78</v>
      </c>
      <c r="K41" s="7" t="s">
        <v>3</v>
      </c>
      <c r="L41" s="7">
        <f>ROUND(((+L66+L65+L64+L63-L62+L61)/L61),2)</f>
        <v>2.91</v>
      </c>
      <c r="M41" s="7" t="s">
        <v>3</v>
      </c>
      <c r="N41" s="26">
        <f>AVERAGE(D41,F41,H41,J41,L41)</f>
        <v>2.9939999999999998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3.19</v>
      </c>
      <c r="E42" s="7" t="s">
        <v>3</v>
      </c>
      <c r="F42" s="7">
        <f>ROUND(((+F66+F65+F64+F63-F62+F61)/(F61+F63+F64+F65)),2)</f>
        <v>3.01</v>
      </c>
      <c r="G42" s="7" t="s">
        <v>3</v>
      </c>
      <c r="H42" s="7">
        <f>ROUND(((+H66+H65+H64+H63-H62+H61)/(H61+H63+H64+H65)),2)</f>
        <v>3.08</v>
      </c>
      <c r="I42" s="7" t="s">
        <v>3</v>
      </c>
      <c r="J42" s="7">
        <f>ROUND(((+J66+J65+J64+J63-J62+J61)/(J61+J63+J64+J65)),2)</f>
        <v>2.78</v>
      </c>
      <c r="K42" s="7" t="s">
        <v>3</v>
      </c>
      <c r="L42" s="7">
        <f>ROUND(((+L66+L65+L64+L63-L62+L61)/(L61+L63+L64+L65)),2)</f>
        <v>2.91</v>
      </c>
      <c r="M42" s="7" t="s">
        <v>3</v>
      </c>
      <c r="N42" s="26">
        <f>AVERAGE(D42,F42,H42,J42,L42)</f>
        <v>2.9939999999999998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0.10100000000000001</v>
      </c>
      <c r="E45" s="11"/>
      <c r="F45" s="11">
        <f>ROUND(F62/F66,3)</f>
        <v>9.5000000000000001E-2</v>
      </c>
      <c r="G45" s="11"/>
      <c r="H45" s="11">
        <f>ROUND(H62/H66,3)</f>
        <v>9.2999999999999999E-2</v>
      </c>
      <c r="I45" s="11"/>
      <c r="J45" s="11">
        <f>ROUND(J62/J66,3)</f>
        <v>0.152</v>
      </c>
      <c r="K45" s="11"/>
      <c r="L45" s="11">
        <f>ROUND(L62/L66,3)</f>
        <v>0.14199999999999999</v>
      </c>
      <c r="M45" s="3"/>
      <c r="N45" s="3">
        <f t="shared" ref="N45:N50" si="0">AVERAGE(D45,F45,H45,J45,L45)</f>
        <v>0.11660000000000001</v>
      </c>
    </row>
    <row r="46" spans="1:15" x14ac:dyDescent="0.4">
      <c r="B46" t="s">
        <v>17</v>
      </c>
      <c r="D46" s="17">
        <f>ROUND((D57+D59)/(D57+D59+D66+D63+D64+D65),3)</f>
        <v>0.151</v>
      </c>
      <c r="E46" s="18"/>
      <c r="F46" s="17">
        <f>ROUND((F57+F59)/(F57+F59+F66+F63+F64+F65),3)</f>
        <v>0.124</v>
      </c>
      <c r="G46" s="18"/>
      <c r="H46" s="17">
        <f>ROUND((H57+H59)/(H57+H59+H66+H63+H64+H65),3)</f>
        <v>-0.03</v>
      </c>
      <c r="I46" s="18"/>
      <c r="J46" s="17">
        <f>ROUND((J57+J59)/(J57+J59+J66+J63+J64+J65),3)</f>
        <v>0.20799999999999999</v>
      </c>
      <c r="K46" s="18"/>
      <c r="L46" s="17">
        <f>ROUND((L57+L59)/(L57+L59+L66+L63+L64+L65),3)</f>
        <v>0.34599999999999997</v>
      </c>
      <c r="N46" s="3">
        <f t="shared" si="0"/>
        <v>0.1598</v>
      </c>
    </row>
    <row r="47" spans="1:15" ht="17.25" x14ac:dyDescent="0.4">
      <c r="B47" s="33" t="s">
        <v>100</v>
      </c>
      <c r="D47" s="11">
        <f>ROUND(((+D82+D83+D84+D85+D86-D87+D88-D90-D91)/(+D89-D87)),3)</f>
        <v>0.60299999999999998</v>
      </c>
      <c r="E47" s="12"/>
      <c r="F47" s="11">
        <f>ROUND(((+F82+F83+F84+F85+F86-F87+F88-F90-F91)/(+F89-F87)),3)</f>
        <v>0.65700000000000003</v>
      </c>
      <c r="G47" s="12"/>
      <c r="H47" s="11">
        <f>ROUND(((+H82+H83+H84+H85+H86-H87+H88-H90-H91)/(+H89-H87)),3)</f>
        <v>0.72499999999999998</v>
      </c>
      <c r="I47" s="12"/>
      <c r="J47" s="11">
        <f>ROUND(((+J82+J83+J84+J85+J86-J87+J88-J90-J91)/(+J89-J87)),3)</f>
        <v>0.82299999999999995</v>
      </c>
      <c r="K47" s="12"/>
      <c r="L47" s="11">
        <f>ROUND(((+L82+L83+L84+L85+L86-L87+L88-L90-L91)/(+L89-L87)),3)</f>
        <v>0.68700000000000006</v>
      </c>
      <c r="N47" s="3">
        <f t="shared" si="0"/>
        <v>0.69900000000000007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0.17799999999999999</v>
      </c>
      <c r="E48" s="12"/>
      <c r="F48" s="11">
        <f>ROUND(((+F82+F83+F84+F85+F86-F87+F88)/(AVERAGE(F76,H76)+AVERAGE(F79,H79)+AVERAGE(F80,H80))),3)</f>
        <v>0.19600000000000001</v>
      </c>
      <c r="G48" s="12"/>
      <c r="H48" s="11">
        <f>ROUND(((+H82+H83+H84+H85+H86-H87+H88)/(AVERAGE(H76,J76)+AVERAGE(H79,J79)+AVERAGE(H80,J80))),3)</f>
        <v>0.214</v>
      </c>
      <c r="I48" s="12"/>
      <c r="J48" s="11">
        <f>ROUND(((+J82+J83+J84+J85+J86-J87+J88)/(AVERAGE(J76,L76)+AVERAGE(J79,L79)+AVERAGE(J80,L80))),3)</f>
        <v>0.255</v>
      </c>
      <c r="K48" s="12"/>
      <c r="L48" s="11">
        <f>ROUND(((+L82+L83+L84+L85+L86-L87+L88)/(AVERAGE(L76,N76)+AVERAGE(L79,N79)+AVERAGE(L80,N80))),3)</f>
        <v>0.27400000000000002</v>
      </c>
      <c r="N48" s="3">
        <f t="shared" si="0"/>
        <v>0.22339999999999999</v>
      </c>
    </row>
    <row r="49" spans="1:15" ht="17.25" x14ac:dyDescent="0.4">
      <c r="B49" s="33" t="s">
        <v>102</v>
      </c>
      <c r="D49" s="27">
        <f>ROUND(((+D82+D83+D84+D85+D86-D87+D88+D92)/D61),2)</f>
        <v>5.74</v>
      </c>
      <c r="E49" t="s">
        <v>3</v>
      </c>
      <c r="F49" s="27">
        <f>ROUND(((+F82+F83+F84+F85+F86-F87+F88+F92)/F61),2)</f>
        <v>5.72</v>
      </c>
      <c r="G49" t="s">
        <v>3</v>
      </c>
      <c r="H49" s="27">
        <f>ROUND(((+H82+H83+H84+H85+H86-H87+H88+H92)/H61),2)</f>
        <v>5.91</v>
      </c>
      <c r="I49" t="s">
        <v>3</v>
      </c>
      <c r="J49" s="27">
        <f>ROUND(((+J82+J83+J84+J85+J86-J87+J88+J92)/J61),2)</f>
        <v>6.19</v>
      </c>
      <c r="K49" t="s">
        <v>3</v>
      </c>
      <c r="L49" s="27">
        <f>ROUND(((+L82+L83+L84+L85+L86-L87+L88+L92)/L61),2)</f>
        <v>6.65</v>
      </c>
      <c r="M49" t="s">
        <v>3</v>
      </c>
      <c r="N49" s="27">
        <f t="shared" si="0"/>
        <v>6.0419999999999998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3.33</v>
      </c>
      <c r="E50" t="s">
        <v>3</v>
      </c>
      <c r="F50" s="27">
        <f>ROUND(((+F82+F83+F84+F85+F86-F87+F88-F91)/+F90),2)</f>
        <v>3.42</v>
      </c>
      <c r="G50" t="s">
        <v>3</v>
      </c>
      <c r="H50" s="27">
        <f>ROUND(((+H82+H83+H84+H85+H86-H87+H88-H91)/+H90),2)</f>
        <v>3.55</v>
      </c>
      <c r="I50" t="s">
        <v>3</v>
      </c>
      <c r="J50" s="27">
        <f>ROUND(((+J82+J83+J84+J85+J86-J87+J88-J91)/+J90),2)</f>
        <v>4.21</v>
      </c>
      <c r="K50" t="s">
        <v>3</v>
      </c>
      <c r="L50" s="27">
        <f>ROUND(((+L82+L83+L84+L85+L86-L87+L88-L91)/+L90),2)</f>
        <v>4.3899999999999997</v>
      </c>
      <c r="M50" t="s">
        <v>3</v>
      </c>
      <c r="N50" s="27">
        <f t="shared" si="0"/>
        <v>3.7800000000000002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90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3803.835</v>
      </c>
      <c r="E56" s="22"/>
      <c r="F56" s="22">
        <v>3586.982</v>
      </c>
      <c r="G56" s="22"/>
      <c r="H56" s="22">
        <v>3471.2089999999998</v>
      </c>
      <c r="I56" s="22"/>
      <c r="J56" s="22">
        <v>3691.2469999999998</v>
      </c>
      <c r="K56" s="22"/>
      <c r="L56" s="22">
        <v>3565.2959999999998</v>
      </c>
      <c r="M56" s="22"/>
      <c r="N56" s="22">
        <v>3498.6819999999998</v>
      </c>
    </row>
    <row r="57" spans="1:15" x14ac:dyDescent="0.4">
      <c r="A57" s="20" t="s">
        <v>23</v>
      </c>
      <c r="B57" s="20"/>
      <c r="C57" s="20"/>
      <c r="D57" s="22">
        <v>110.086</v>
      </c>
      <c r="E57" s="22"/>
      <c r="F57" s="22">
        <v>78.173000000000002</v>
      </c>
      <c r="G57" s="22"/>
      <c r="H57" s="22">
        <v>-15.773</v>
      </c>
      <c r="I57" s="22"/>
      <c r="J57" s="22">
        <v>133.90199999999999</v>
      </c>
      <c r="K57" s="22"/>
      <c r="L57" s="22">
        <v>258.27199999999999</v>
      </c>
      <c r="M57" s="22"/>
      <c r="N57" s="22">
        <v>236.411</v>
      </c>
    </row>
    <row r="58" spans="1:15" x14ac:dyDescent="0.4">
      <c r="A58" s="20" t="s">
        <v>24</v>
      </c>
      <c r="B58" s="20"/>
      <c r="C58" s="20"/>
      <c r="D58" s="22">
        <f>2998.525+D57</f>
        <v>3108.6109999999999</v>
      </c>
      <c r="E58" s="22"/>
      <c r="F58" s="22">
        <f>2798.83+F57</f>
        <v>2877.0029999999997</v>
      </c>
      <c r="G58" s="22"/>
      <c r="H58" s="22">
        <f>2799.249+H57</f>
        <v>2783.4759999999997</v>
      </c>
      <c r="I58" s="22"/>
      <c r="J58" s="22">
        <v>3051.462</v>
      </c>
      <c r="K58" s="22"/>
      <c r="L58" s="22">
        <v>2889.1410000000001</v>
      </c>
      <c r="M58" s="22"/>
      <c r="N58" s="22">
        <v>2879.1089999999999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805.31-D57+173.982+21.052-17.224</f>
        <v>873.03399999999988</v>
      </c>
      <c r="E60" s="22"/>
      <c r="F60" s="22">
        <f>788.152-F57+89.044+18.53-19.493</f>
        <v>798.06</v>
      </c>
      <c r="G60" s="22"/>
      <c r="H60" s="22">
        <f>671.96-H57+86.803+18.528-19.493</f>
        <v>773.57100000000003</v>
      </c>
      <c r="I60" s="22"/>
      <c r="J60" s="22">
        <v>748.82500000000005</v>
      </c>
      <c r="K60" s="22"/>
      <c r="L60" s="22">
        <v>705.63300000000004</v>
      </c>
      <c r="M60" s="22"/>
      <c r="N60" s="22">
        <v>647.27700000000004</v>
      </c>
    </row>
    <row r="61" spans="1:15" x14ac:dyDescent="0.4">
      <c r="A61" s="20" t="s">
        <v>27</v>
      </c>
      <c r="B61" s="20"/>
      <c r="C61" s="20"/>
      <c r="D61" s="22">
        <v>254.31399999999999</v>
      </c>
      <c r="E61" s="22"/>
      <c r="F61" s="22">
        <v>247.501</v>
      </c>
      <c r="G61" s="22"/>
      <c r="H61" s="22">
        <v>235.251</v>
      </c>
      <c r="I61" s="22"/>
      <c r="J61" s="22">
        <v>243.465</v>
      </c>
      <c r="K61" s="22"/>
      <c r="L61" s="22">
        <v>219.79599999999999</v>
      </c>
      <c r="M61" s="22"/>
      <c r="N61" s="22">
        <v>205.72</v>
      </c>
    </row>
    <row r="62" spans="1:15" x14ac:dyDescent="0.4">
      <c r="A62" s="20" t="s">
        <v>28</v>
      </c>
      <c r="B62" s="20"/>
      <c r="C62" s="20"/>
      <c r="D62" s="22">
        <f>41.737+21.052</f>
        <v>62.789000000000001</v>
      </c>
      <c r="E62" s="22"/>
      <c r="F62" s="22">
        <f>33.776+18.53</f>
        <v>52.306000000000004</v>
      </c>
      <c r="G62" s="22"/>
      <c r="H62" s="22">
        <f>31.431+18.528</f>
        <v>49.959000000000003</v>
      </c>
      <c r="I62" s="22"/>
      <c r="J62" s="22">
        <v>77.498999999999995</v>
      </c>
      <c r="K62" s="22"/>
      <c r="L62" s="22">
        <v>69.123000000000005</v>
      </c>
      <c r="M62" s="22"/>
      <c r="N62" s="22">
        <v>62.11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618.72</v>
      </c>
      <c r="E66" s="22"/>
      <c r="F66" s="22">
        <v>550.55899999999997</v>
      </c>
      <c r="G66" s="22"/>
      <c r="H66" s="22">
        <v>538.32000000000005</v>
      </c>
      <c r="I66" s="22"/>
      <c r="J66" s="22">
        <v>511.04700000000003</v>
      </c>
      <c r="K66" s="22"/>
      <c r="L66" s="22">
        <v>488.45600000000002</v>
      </c>
      <c r="M66" s="22"/>
      <c r="N66" s="22">
        <v>442.03399999999999</v>
      </c>
    </row>
    <row r="67" spans="1:14" x14ac:dyDescent="0.4">
      <c r="A67" s="20" t="s">
        <v>33</v>
      </c>
      <c r="B67" s="20"/>
      <c r="C67" s="20"/>
      <c r="D67" s="22">
        <v>5.48</v>
      </c>
      <c r="E67" s="22"/>
      <c r="F67" s="22">
        <v>4.8899999999999997</v>
      </c>
      <c r="G67" s="22"/>
      <c r="H67" s="22">
        <v>4.79</v>
      </c>
      <c r="I67" s="22"/>
      <c r="J67" s="22">
        <v>4.5599999999999996</v>
      </c>
      <c r="K67" s="22"/>
      <c r="L67" s="22">
        <v>4.37</v>
      </c>
      <c r="M67" s="22"/>
      <c r="N67" s="22">
        <v>3.97</v>
      </c>
    </row>
    <row r="68" spans="1:14" x14ac:dyDescent="0.4">
      <c r="A68" s="20" t="s">
        <v>34</v>
      </c>
      <c r="B68" s="20"/>
      <c r="C68" s="20"/>
      <c r="D68" s="22">
        <v>5906.2</v>
      </c>
      <c r="E68" s="22"/>
      <c r="F68" s="22">
        <v>5633.5029999999997</v>
      </c>
      <c r="G68" s="22"/>
      <c r="H68" s="22">
        <v>5430.6480000000001</v>
      </c>
      <c r="I68" s="22"/>
      <c r="J68" s="22">
        <v>5222.915</v>
      </c>
      <c r="K68" s="22"/>
      <c r="L68" s="22">
        <v>5006.6899999999996</v>
      </c>
      <c r="M68" s="22"/>
      <c r="N68" s="22">
        <v>4803.6220000000003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115.26</v>
      </c>
      <c r="E75" s="22"/>
      <c r="F75" s="22">
        <v>119.29</v>
      </c>
      <c r="G75" s="22"/>
      <c r="H75" s="22">
        <v>122.54</v>
      </c>
      <c r="I75" s="22"/>
      <c r="J75" s="22">
        <v>125.79</v>
      </c>
      <c r="K75" s="22"/>
      <c r="L75" s="22">
        <v>129.04</v>
      </c>
      <c r="M75" s="22"/>
      <c r="N75" s="22">
        <v>132.29</v>
      </c>
    </row>
    <row r="76" spans="1:14" x14ac:dyDescent="0.4">
      <c r="A76" s="20" t="s">
        <v>42</v>
      </c>
      <c r="B76" s="20"/>
      <c r="C76" s="20"/>
      <c r="D76" s="22">
        <v>6913.7349999999997</v>
      </c>
      <c r="E76" s="22"/>
      <c r="F76" s="22">
        <v>6314.2659999999996</v>
      </c>
      <c r="G76" s="22"/>
      <c r="H76" s="22">
        <v>4832.558</v>
      </c>
      <c r="I76" s="22"/>
      <c r="J76" s="22">
        <v>4638.232</v>
      </c>
      <c r="K76" s="22"/>
      <c r="L76" s="22">
        <v>4789.7129999999997</v>
      </c>
      <c r="M76" s="22"/>
      <c r="N76" s="22">
        <v>4021.7849999999999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12935.195</v>
      </c>
      <c r="E78" s="22"/>
      <c r="F78" s="22">
        <f>SUM(F68:F77)</f>
        <v>12067.058999999999</v>
      </c>
      <c r="G78" s="22"/>
      <c r="H78" s="22">
        <f>SUM(H68:H77)</f>
        <v>10385.745999999999</v>
      </c>
      <c r="I78" s="22"/>
      <c r="J78" s="22">
        <v>9986.9369999999999</v>
      </c>
      <c r="K78" s="22"/>
      <c r="L78" s="22">
        <v>9925.4429999999993</v>
      </c>
      <c r="M78" s="22"/>
      <c r="N78" s="22">
        <v>8957.6970000000001</v>
      </c>
    </row>
    <row r="79" spans="1:14" x14ac:dyDescent="0.4">
      <c r="A79" s="20" t="s">
        <v>45</v>
      </c>
      <c r="B79" s="20"/>
      <c r="C79" s="20"/>
      <c r="D79" s="22">
        <v>150</v>
      </c>
      <c r="E79" s="22"/>
      <c r="F79" s="22">
        <v>0</v>
      </c>
      <c r="G79" s="22"/>
      <c r="H79" s="22">
        <v>800</v>
      </c>
      <c r="I79" s="22"/>
      <c r="J79" s="22">
        <v>500</v>
      </c>
      <c r="K79" s="22"/>
      <c r="L79" s="22">
        <v>82</v>
      </c>
      <c r="M79" s="22"/>
      <c r="N79" s="22">
        <v>125</v>
      </c>
    </row>
    <row r="80" spans="1:14" x14ac:dyDescent="0.4">
      <c r="A80" s="20" t="s">
        <v>46</v>
      </c>
      <c r="B80" s="20"/>
      <c r="C80" s="20"/>
      <c r="D80" s="22">
        <v>292</v>
      </c>
      <c r="E80" s="22"/>
      <c r="F80" s="22">
        <v>169</v>
      </c>
      <c r="G80" s="22"/>
      <c r="H80" s="22">
        <v>114.675</v>
      </c>
      <c r="I80" s="22"/>
      <c r="J80" s="22">
        <v>76.400000000000006</v>
      </c>
      <c r="K80" s="22"/>
      <c r="L80" s="22">
        <v>95.4</v>
      </c>
      <c r="M80" s="22"/>
      <c r="N80" s="22">
        <v>177.2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635.94399999999996</v>
      </c>
      <c r="E82" s="22"/>
      <c r="F82" s="22">
        <v>570.05200000000002</v>
      </c>
      <c r="G82" s="22"/>
      <c r="H82" s="22">
        <v>557.81299999999999</v>
      </c>
      <c r="I82" s="22"/>
      <c r="J82" s="22">
        <v>530.54</v>
      </c>
      <c r="K82" s="22"/>
      <c r="L82" s="22">
        <v>507.94900000000001</v>
      </c>
      <c r="M82" s="22"/>
      <c r="N82" s="22">
        <v>461.52699999999999</v>
      </c>
    </row>
    <row r="83" spans="1:14" x14ac:dyDescent="0.4">
      <c r="A83" s="20" t="s">
        <v>49</v>
      </c>
      <c r="B83" s="20"/>
      <c r="C83" s="20"/>
      <c r="D83" s="22">
        <v>719.14099999999996</v>
      </c>
      <c r="E83" s="22"/>
      <c r="F83" s="22">
        <v>686.25300000000004</v>
      </c>
      <c r="G83" s="22"/>
      <c r="H83" s="22">
        <v>664.14</v>
      </c>
      <c r="I83" s="22"/>
      <c r="J83" s="22">
        <v>650.95500000000004</v>
      </c>
      <c r="K83" s="22"/>
      <c r="L83" s="22">
        <v>610.62900000000002</v>
      </c>
      <c r="M83" s="22"/>
      <c r="N83" s="22">
        <v>565.01099999999997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117.471</v>
      </c>
      <c r="E85" s="22"/>
      <c r="F85" s="22">
        <v>69.468999999999994</v>
      </c>
      <c r="G85" s="22"/>
      <c r="H85" s="22">
        <v>-1.4790000000000001</v>
      </c>
      <c r="I85" s="22"/>
      <c r="J85" s="22">
        <v>117.355</v>
      </c>
      <c r="K85" s="22"/>
      <c r="L85" s="22">
        <v>248.16399999999999</v>
      </c>
      <c r="M85" s="22"/>
      <c r="N85" s="22">
        <v>206.87</v>
      </c>
    </row>
    <row r="86" spans="1:14" x14ac:dyDescent="0.4">
      <c r="A86" s="20" t="s">
        <v>52</v>
      </c>
      <c r="B86" s="20"/>
      <c r="C86" s="20"/>
      <c r="D86" s="22">
        <v>-4.8019999999999996</v>
      </c>
      <c r="E86" s="22"/>
      <c r="F86" s="22">
        <v>-5.0960000000000001</v>
      </c>
      <c r="G86" s="22"/>
      <c r="H86" s="22">
        <v>-3.9380000000000002</v>
      </c>
      <c r="I86" s="22"/>
      <c r="J86" s="22">
        <v>-5.17</v>
      </c>
      <c r="K86" s="22"/>
      <c r="L86" s="22">
        <v>-4.5869999999999997</v>
      </c>
      <c r="M86" s="22"/>
      <c r="N86" s="22">
        <v>23.082000000000001</v>
      </c>
    </row>
    <row r="87" spans="1:14" x14ac:dyDescent="0.4">
      <c r="A87" s="20" t="s">
        <v>53</v>
      </c>
      <c r="B87" s="20"/>
      <c r="C87" s="20"/>
      <c r="D87" s="22">
        <v>41.737000000000002</v>
      </c>
      <c r="E87" s="22"/>
      <c r="F87" s="22">
        <v>33.776000000000003</v>
      </c>
      <c r="G87" s="22"/>
      <c r="H87" s="22">
        <v>31.431000000000001</v>
      </c>
      <c r="I87" s="22"/>
      <c r="J87" s="22">
        <v>52.319000000000003</v>
      </c>
      <c r="K87" s="22"/>
      <c r="L87" s="22">
        <v>47.011000000000003</v>
      </c>
      <c r="M87" s="22"/>
      <c r="N87" s="22">
        <v>42.14</v>
      </c>
    </row>
    <row r="88" spans="1:14" x14ac:dyDescent="0.4">
      <c r="A88" s="20" t="s">
        <v>69</v>
      </c>
      <c r="B88" s="20"/>
      <c r="C88" s="20"/>
      <c r="D88" s="22">
        <f>-256.871+44.557+18.46</f>
        <v>-193.85399999999996</v>
      </c>
      <c r="E88" s="22"/>
      <c r="F88" s="22">
        <f>-93.651-12.047+18.292</f>
        <v>-87.405999999999992</v>
      </c>
      <c r="G88" s="22"/>
      <c r="H88" s="22">
        <f>-82.481+49.508+18.376</f>
        <v>-14.596999999999991</v>
      </c>
      <c r="I88" s="22"/>
      <c r="J88" s="22">
        <v>58.02</v>
      </c>
      <c r="K88" s="22"/>
      <c r="L88" s="22">
        <v>-43.042999999999999</v>
      </c>
      <c r="M88" s="22"/>
      <c r="N88" s="22">
        <v>-3.6709999999999998</v>
      </c>
    </row>
    <row r="89" spans="1:14" x14ac:dyDescent="0.4">
      <c r="A89" s="20" t="s">
        <v>54</v>
      </c>
      <c r="B89" s="20"/>
      <c r="C89" s="20"/>
      <c r="D89" s="22">
        <v>1473.4749999999999</v>
      </c>
      <c r="E89" s="22"/>
      <c r="F89" s="22">
        <v>1326.5840000000001</v>
      </c>
      <c r="G89" s="22"/>
      <c r="H89" s="22">
        <v>1191.4469999999999</v>
      </c>
      <c r="I89" s="22"/>
      <c r="J89" s="22">
        <v>1255.6679999999999</v>
      </c>
      <c r="K89" s="22"/>
      <c r="L89" s="22">
        <v>1477.8969999999999</v>
      </c>
      <c r="M89" s="22"/>
      <c r="N89" s="22">
        <v>1337.5820000000001</v>
      </c>
    </row>
    <row r="90" spans="1:14" x14ac:dyDescent="0.4">
      <c r="A90" s="20" t="s">
        <v>55</v>
      </c>
      <c r="B90" s="20"/>
      <c r="C90" s="20"/>
      <c r="D90" s="22">
        <v>369.47800000000001</v>
      </c>
      <c r="E90" s="22"/>
      <c r="F90" s="22">
        <v>350.577</v>
      </c>
      <c r="G90" s="22"/>
      <c r="H90" s="22">
        <v>329.64299999999997</v>
      </c>
      <c r="I90" s="22"/>
      <c r="J90" s="22">
        <v>308.892</v>
      </c>
      <c r="K90" s="22"/>
      <c r="L90" s="22">
        <v>289.79300000000001</v>
      </c>
      <c r="M90" s="22"/>
      <c r="N90" s="22">
        <v>274.22899999999998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227.584</v>
      </c>
      <c r="E92" s="22"/>
      <c r="F92" s="22">
        <v>216.95099999999999</v>
      </c>
      <c r="G92" s="22"/>
      <c r="H92" s="22">
        <v>218.66399999999999</v>
      </c>
      <c r="I92" s="22"/>
      <c r="J92" s="22">
        <v>208.47900000000001</v>
      </c>
      <c r="K92" s="22"/>
      <c r="L92" s="22">
        <v>189.28800000000001</v>
      </c>
      <c r="M92" s="22"/>
      <c r="N92" s="22">
        <v>184.46199999999999</v>
      </c>
    </row>
    <row r="93" spans="1:14" x14ac:dyDescent="0.4">
      <c r="A93" s="20" t="s">
        <v>58</v>
      </c>
      <c r="B93" s="20"/>
      <c r="C93" s="20"/>
      <c r="D93" s="22">
        <v>0.22900000000000001</v>
      </c>
      <c r="E93" s="22"/>
      <c r="F93" s="22">
        <v>-3.0190000000000001</v>
      </c>
      <c r="G93" s="22"/>
      <c r="H93" s="22">
        <v>12.535</v>
      </c>
      <c r="I93" s="22"/>
      <c r="J93" s="22">
        <v>21.172999999999998</v>
      </c>
      <c r="K93" s="22"/>
      <c r="L93" s="22">
        <v>2.1859999999999999</v>
      </c>
      <c r="M93" s="22"/>
      <c r="N93" s="22">
        <v>9.9559999999999995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379.108</v>
      </c>
      <c r="E96" s="22"/>
      <c r="F96" s="22">
        <v>363.06299999999999</v>
      </c>
      <c r="G96" s="22"/>
      <c r="H96" s="22">
        <v>341.89299999999997</v>
      </c>
      <c r="I96" s="22"/>
      <c r="J96" s="22">
        <v>320.92700000000002</v>
      </c>
      <c r="K96" s="22"/>
      <c r="L96" s="22">
        <v>301.49200000000002</v>
      </c>
      <c r="M96" s="22"/>
      <c r="N96" s="22">
        <v>284.76499999999999</v>
      </c>
    </row>
    <row r="97" spans="1:14" x14ac:dyDescent="0.4">
      <c r="A97" s="20" t="s">
        <v>60</v>
      </c>
      <c r="B97" s="20"/>
      <c r="C97" s="20"/>
      <c r="D97" s="22">
        <v>3.36</v>
      </c>
      <c r="E97" s="22"/>
      <c r="F97" s="22">
        <v>3.23</v>
      </c>
      <c r="G97" s="22"/>
      <c r="H97" s="22">
        <v>3.04</v>
      </c>
      <c r="I97" s="22"/>
      <c r="J97" s="22">
        <v>2.823</v>
      </c>
      <c r="K97" s="22"/>
      <c r="L97" s="22">
        <v>2.66</v>
      </c>
      <c r="M97" s="22"/>
      <c r="N97" s="22">
        <v>2.5299999999999998</v>
      </c>
    </row>
    <row r="98" spans="1:14" x14ac:dyDescent="0.4">
      <c r="A98" s="20" t="s">
        <v>61</v>
      </c>
      <c r="B98" s="20"/>
      <c r="C98" s="20"/>
      <c r="D98" s="22">
        <v>3.36</v>
      </c>
      <c r="E98" s="22"/>
      <c r="F98" s="22">
        <v>3.23</v>
      </c>
      <c r="G98" s="22"/>
      <c r="H98" s="22">
        <v>3.04</v>
      </c>
      <c r="I98" s="22"/>
      <c r="J98" s="22">
        <v>2.823</v>
      </c>
      <c r="K98" s="22"/>
      <c r="L98" s="22">
        <v>2.66</v>
      </c>
      <c r="M98" s="22"/>
      <c r="N98" s="22">
        <v>2.5299999999999998</v>
      </c>
    </row>
    <row r="99" spans="1:14" x14ac:dyDescent="0.4">
      <c r="A99" s="20" t="s">
        <v>62</v>
      </c>
      <c r="B99" s="20"/>
      <c r="C99" s="20"/>
      <c r="D99" s="22">
        <v>88.54</v>
      </c>
      <c r="E99" s="22"/>
      <c r="F99" s="22">
        <v>105.51</v>
      </c>
      <c r="G99" s="22"/>
      <c r="H99" s="22">
        <v>99.81</v>
      </c>
      <c r="I99" s="22"/>
      <c r="J99" s="22">
        <v>92.64</v>
      </c>
      <c r="K99" s="22"/>
      <c r="L99" s="22">
        <v>92.48</v>
      </c>
      <c r="M99" s="22"/>
      <c r="N99" s="22">
        <v>82.78</v>
      </c>
    </row>
    <row r="100" spans="1:14" x14ac:dyDescent="0.4">
      <c r="A100" s="20" t="s">
        <v>63</v>
      </c>
      <c r="B100" s="20"/>
      <c r="C100" s="20"/>
      <c r="D100" s="22">
        <v>62.78</v>
      </c>
      <c r="E100" s="22"/>
      <c r="F100" s="22">
        <v>60.05</v>
      </c>
      <c r="G100" s="22"/>
      <c r="H100" s="22">
        <v>81.63</v>
      </c>
      <c r="I100" s="22"/>
      <c r="J100" s="22">
        <v>73.414000000000001</v>
      </c>
      <c r="K100" s="22"/>
      <c r="L100" s="22">
        <v>75.790000000000006</v>
      </c>
      <c r="M100" s="22"/>
      <c r="N100" s="22">
        <v>62.51</v>
      </c>
    </row>
    <row r="101" spans="1:14" x14ac:dyDescent="0.4">
      <c r="A101" s="20" t="s">
        <v>64</v>
      </c>
      <c r="B101" s="20"/>
      <c r="C101" s="20"/>
      <c r="D101" s="22">
        <v>70.59</v>
      </c>
      <c r="E101" s="22"/>
      <c r="F101" s="22">
        <v>79.95</v>
      </c>
      <c r="G101" s="22"/>
      <c r="H101" s="22">
        <v>89.93</v>
      </c>
      <c r="I101" s="22"/>
      <c r="J101" s="22">
        <v>85.2</v>
      </c>
      <c r="K101" s="22"/>
      <c r="L101" s="22">
        <v>85.18</v>
      </c>
      <c r="M101" s="22"/>
      <c r="N101" s="22">
        <v>78.03</v>
      </c>
    </row>
    <row r="102" spans="1:14" x14ac:dyDescent="0.4">
      <c r="A102" s="20" t="s">
        <v>65</v>
      </c>
      <c r="B102" s="20"/>
      <c r="C102" s="20"/>
      <c r="D102" s="22">
        <f>113.014528-0.087608</f>
        <v>112.92692</v>
      </c>
      <c r="E102" s="22"/>
      <c r="F102" s="22">
        <f>112.760051-0.072006</f>
        <v>112.688045</v>
      </c>
      <c r="G102" s="22"/>
      <c r="H102" s="22">
        <f>112.540126-0.103546</f>
        <v>112.43658000000001</v>
      </c>
      <c r="I102" s="22"/>
      <c r="J102" s="22">
        <v>112.102</v>
      </c>
      <c r="K102" s="22"/>
      <c r="L102" s="22">
        <v>111.752</v>
      </c>
      <c r="M102" s="22"/>
      <c r="N102" s="22">
        <v>111.337</v>
      </c>
    </row>
    <row r="103" spans="1:14" x14ac:dyDescent="0.4">
      <c r="A103" s="20" t="s">
        <v>91</v>
      </c>
      <c r="B103" s="20"/>
      <c r="C103" s="20"/>
      <c r="D103" s="22">
        <v>-54.860999999999997</v>
      </c>
      <c r="E103" s="22"/>
      <c r="F103" s="22">
        <v>-62.795999999999999</v>
      </c>
      <c r="G103" s="22"/>
      <c r="H103" s="22">
        <v>-57.095999999999997</v>
      </c>
      <c r="I103" s="22"/>
      <c r="J103" s="22">
        <v>-47.707999999999998</v>
      </c>
      <c r="K103" s="22"/>
      <c r="L103" s="22">
        <v>-45.002000000000002</v>
      </c>
      <c r="M103" s="22"/>
      <c r="N103" s="22">
        <v>-43.822000000000003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5.48</v>
      </c>
      <c r="F105" s="15">
        <f>F67/F94</f>
        <v>4.8899999999999997</v>
      </c>
      <c r="H105" s="15">
        <f>H67/H94</f>
        <v>4.79</v>
      </c>
      <c r="J105" s="15">
        <f>J67/J94</f>
        <v>4.5599999999999996</v>
      </c>
      <c r="L105" s="15">
        <f>L67/L94</f>
        <v>4.37</v>
      </c>
      <c r="N105" s="15">
        <f>N67/N94</f>
        <v>3.97</v>
      </c>
    </row>
    <row r="106" spans="1:14" x14ac:dyDescent="0.4">
      <c r="B106" t="s">
        <v>60</v>
      </c>
      <c r="D106" s="15">
        <f>D97/D94</f>
        <v>3.36</v>
      </c>
      <c r="F106" s="15">
        <f>F97/F94</f>
        <v>3.23</v>
      </c>
      <c r="H106" s="15">
        <f>H97/H94</f>
        <v>3.04</v>
      </c>
      <c r="J106" s="15">
        <f>J97/J94</f>
        <v>2.823</v>
      </c>
      <c r="L106" s="15">
        <f>L97/L94</f>
        <v>2.66</v>
      </c>
      <c r="N106" s="15">
        <f>N97/N94</f>
        <v>2.5299999999999998</v>
      </c>
    </row>
    <row r="107" spans="1:14" x14ac:dyDescent="0.4">
      <c r="B107" t="s">
        <v>61</v>
      </c>
      <c r="D107" s="15">
        <f>D98/D94</f>
        <v>3.36</v>
      </c>
      <c r="F107" s="15">
        <f>F98/F94</f>
        <v>3.23</v>
      </c>
      <c r="H107" s="15">
        <f>H98/H94</f>
        <v>3.04</v>
      </c>
      <c r="J107" s="15">
        <f>J98/J94</f>
        <v>2.823</v>
      </c>
      <c r="L107" s="15">
        <f>L98/L94</f>
        <v>2.66</v>
      </c>
      <c r="N107" s="15">
        <f>N98/N94</f>
        <v>2.5299999999999998</v>
      </c>
    </row>
    <row r="108" spans="1:14" x14ac:dyDescent="0.4">
      <c r="B108" t="s">
        <v>62</v>
      </c>
      <c r="D108" s="15">
        <f>D99/D94</f>
        <v>88.54</v>
      </c>
      <c r="F108" s="15">
        <f>F99/F94</f>
        <v>105.51</v>
      </c>
      <c r="H108" s="15">
        <f>H99/H94</f>
        <v>99.81</v>
      </c>
      <c r="J108" s="15">
        <f>J99/J94</f>
        <v>92.64</v>
      </c>
      <c r="L108" s="15">
        <f>L99/L94</f>
        <v>92.48</v>
      </c>
      <c r="N108" s="15">
        <f>N99/N94</f>
        <v>82.78</v>
      </c>
    </row>
    <row r="109" spans="1:14" x14ac:dyDescent="0.4">
      <c r="B109" t="s">
        <v>63</v>
      </c>
      <c r="D109" s="15">
        <f>D100/D94</f>
        <v>62.78</v>
      </c>
      <c r="F109" s="15">
        <f>F100/F94</f>
        <v>60.05</v>
      </c>
      <c r="H109" s="15">
        <f>H100/H94</f>
        <v>81.63</v>
      </c>
      <c r="J109" s="15">
        <f>J100/J94</f>
        <v>73.414000000000001</v>
      </c>
      <c r="L109" s="15">
        <f>L100/L94</f>
        <v>75.790000000000006</v>
      </c>
      <c r="N109" s="15">
        <f>N100/N94</f>
        <v>62.51</v>
      </c>
    </row>
    <row r="110" spans="1:14" x14ac:dyDescent="0.4">
      <c r="B110" t="s">
        <v>64</v>
      </c>
      <c r="D110" s="15">
        <f>D101/D94</f>
        <v>70.59</v>
      </c>
      <c r="F110" s="15">
        <f>F101/F94</f>
        <v>79.95</v>
      </c>
      <c r="H110" s="15">
        <f>H101/H94</f>
        <v>89.93</v>
      </c>
      <c r="J110" s="15">
        <f>J101/J94</f>
        <v>85.2</v>
      </c>
      <c r="L110" s="15">
        <f>L101/L94</f>
        <v>85.18</v>
      </c>
      <c r="N110" s="15">
        <f>N101/N94</f>
        <v>78.03</v>
      </c>
    </row>
    <row r="111" spans="1:14" x14ac:dyDescent="0.4">
      <c r="B111" t="s">
        <v>65</v>
      </c>
      <c r="D111" s="16">
        <f>D102*D94</f>
        <v>112.92692</v>
      </c>
      <c r="E111" s="16"/>
      <c r="F111" s="16">
        <f>F102*F94</f>
        <v>112.688045</v>
      </c>
      <c r="G111" s="16"/>
      <c r="H111" s="16">
        <f>H102*H94</f>
        <v>112.43658000000001</v>
      </c>
      <c r="I111" s="16"/>
      <c r="J111" s="16">
        <f>J102*J94</f>
        <v>112.102</v>
      </c>
      <c r="K111" s="16"/>
      <c r="L111" s="16">
        <f>L102*L94</f>
        <v>111.752</v>
      </c>
      <c r="M111" s="16"/>
      <c r="N111" s="16">
        <f>N102*N94</f>
        <v>111.337</v>
      </c>
    </row>
    <row r="112" spans="1:14" x14ac:dyDescent="0.4">
      <c r="B112" t="s">
        <v>66</v>
      </c>
      <c r="D112" s="15">
        <f>ROUND(D68/D111,2)</f>
        <v>52.3</v>
      </c>
      <c r="F112" s="15">
        <f>ROUND(F68/F111,2)</f>
        <v>49.99</v>
      </c>
      <c r="H112" s="15">
        <f>ROUND(H68/H111,2)</f>
        <v>48.3</v>
      </c>
      <c r="J112" s="15">
        <f>ROUND(J68/J111,2)</f>
        <v>46.59</v>
      </c>
      <c r="L112" s="15">
        <f>ROUND(L68/L111,2)</f>
        <v>44.8</v>
      </c>
      <c r="N112" s="15">
        <f>ROUND(N68/N111,2)</f>
        <v>43.14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PPL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25020</v>
      </c>
      <c r="F8" s="34">
        <f>F78+F79+F81-F103</f>
        <v>40720</v>
      </c>
      <c r="H8" s="34">
        <f>H78+H79+H81-H103</f>
        <v>39242</v>
      </c>
      <c r="J8" s="34">
        <f>J78+J79+J81-J103</f>
        <v>36220</v>
      </c>
      <c r="L8" s="34">
        <f>L78+L79+L81-L103</f>
        <v>34378</v>
      </c>
    </row>
    <row r="9" spans="1:15" x14ac:dyDescent="0.4">
      <c r="B9" t="s">
        <v>5</v>
      </c>
      <c r="D9" s="9">
        <f>D80</f>
        <v>69</v>
      </c>
      <c r="F9" s="9">
        <f>F80</f>
        <v>1662</v>
      </c>
      <c r="H9" s="9">
        <f>H80</f>
        <v>1151</v>
      </c>
      <c r="J9" s="9">
        <f>J80</f>
        <v>1430</v>
      </c>
      <c r="L9" s="9">
        <f>L80</f>
        <v>1080</v>
      </c>
    </row>
    <row r="10" spans="1:15" ht="15.4" thickBot="1" x14ac:dyDescent="0.45">
      <c r="B10" t="s">
        <v>7</v>
      </c>
      <c r="D10" s="10">
        <f>D8+D9</f>
        <v>25089</v>
      </c>
      <c r="F10" s="10">
        <f>F8+F9</f>
        <v>42382</v>
      </c>
      <c r="H10" s="10">
        <f>H8+H9</f>
        <v>40393</v>
      </c>
      <c r="J10" s="10">
        <f>J8+J9</f>
        <v>37650</v>
      </c>
      <c r="L10" s="10">
        <f>L8+L9</f>
        <v>35458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/>
      <c r="E13" s="7" t="s">
        <v>3</v>
      </c>
      <c r="F13" s="30">
        <f>ROUND(AVERAGE(F108:F109)/F105,0)</f>
        <v>14</v>
      </c>
      <c r="G13" s="7" t="s">
        <v>3</v>
      </c>
      <c r="H13" s="30">
        <f>ROUND(AVERAGE(H108:H109)/H105,0)</f>
        <v>13</v>
      </c>
      <c r="I13" s="7" t="s">
        <v>3</v>
      </c>
      <c r="J13" s="30">
        <f>ROUND(AVERAGE(J108:J109)/J105,0)</f>
        <v>11</v>
      </c>
      <c r="K13" s="7" t="s">
        <v>3</v>
      </c>
      <c r="L13" s="30">
        <f>ROUND(AVERAGE(L108:L109)/L105,0)</f>
        <v>22</v>
      </c>
      <c r="M13" s="7" t="s">
        <v>3</v>
      </c>
      <c r="N13" s="30">
        <f>AVERAGE(D13,F13,H13,J13,L13)</f>
        <v>15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1.577</v>
      </c>
      <c r="E14" s="3"/>
      <c r="F14" s="3">
        <f>ROUND(AVERAGE(F108:F109)/AVERAGE(F112,H112),3)</f>
        <v>1.601</v>
      </c>
      <c r="G14" s="3"/>
      <c r="H14" s="3">
        <f>ROUND(AVERAGE(H108:H109)/AVERAGE(H112,J112),3)</f>
        <v>1.9350000000000001</v>
      </c>
      <c r="I14" s="3"/>
      <c r="J14" s="3">
        <f>ROUND(AVERAGE(J108:J109)/AVERAGE(J112,L112),3)</f>
        <v>1.8220000000000001</v>
      </c>
      <c r="K14" s="3"/>
      <c r="L14" s="3">
        <f>ROUND(AVERAGE(L108:L109)/AVERAGE(L112,N112),3)</f>
        <v>2.3580000000000001</v>
      </c>
      <c r="M14" s="3"/>
      <c r="N14" s="3">
        <f>AVERAGE(D14,F14,H14,J14,L14)</f>
        <v>1.8585999999999998</v>
      </c>
    </row>
    <row r="15" spans="1:15" x14ac:dyDescent="0.4">
      <c r="B15" t="s">
        <v>9</v>
      </c>
      <c r="D15" s="3">
        <f>ROUND(D106/AVERAGE(D108:D109),3)</f>
        <v>5.8000000000000003E-2</v>
      </c>
      <c r="E15" s="3"/>
      <c r="F15" s="3">
        <f>ROUND(F106/AVERAGE(F108:F109),3)</f>
        <v>0.06</v>
      </c>
      <c r="G15" s="3"/>
      <c r="H15" s="3">
        <f>ROUND(H106/AVERAGE(H108:H109),3)</f>
        <v>5.0999999999999997E-2</v>
      </c>
      <c r="I15" s="3"/>
      <c r="J15" s="3">
        <f>ROUND(J106/AVERAGE(J108:J109),3)</f>
        <v>5.7000000000000002E-2</v>
      </c>
      <c r="K15" s="3"/>
      <c r="L15" s="3">
        <f>ROUND(L106/AVERAGE(L108:L109),3)</f>
        <v>4.4999999999999998E-2</v>
      </c>
      <c r="M15" s="3"/>
      <c r="N15" s="3">
        <f>AVERAGE(D15,F15,H15,J15,L15)</f>
        <v>5.4199999999999991E-2</v>
      </c>
    </row>
    <row r="16" spans="1:15" x14ac:dyDescent="0.4">
      <c r="B16" t="s">
        <v>10</v>
      </c>
      <c r="D16" s="3"/>
      <c r="E16" s="3"/>
      <c r="F16" s="3">
        <f>ROUND(F96/F66,3)</f>
        <v>0.871</v>
      </c>
      <c r="G16" s="3"/>
      <c r="H16" s="3">
        <f>ROUND(H96/H66,3)</f>
        <v>0.69399999999999995</v>
      </c>
      <c r="I16" s="3"/>
      <c r="J16" s="3">
        <f>ROUND(J96/J66,3)</f>
        <v>0.63300000000000001</v>
      </c>
      <c r="K16" s="3"/>
      <c r="L16" s="3">
        <f>ROUND(L96/L66,3)</f>
        <v>0.96399999999999997</v>
      </c>
      <c r="M16" s="3"/>
      <c r="N16" s="3">
        <f>AVERAGE(D16,F16,H16,J16,L16)</f>
        <v>0.79049999999999998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0.44500000000000001</v>
      </c>
      <c r="E20" s="3"/>
      <c r="F20" s="3">
        <f>ROUND((+F76+F79)/F8,3)</f>
        <v>0.56799999999999995</v>
      </c>
      <c r="G20" s="3"/>
      <c r="H20" s="3">
        <f>ROUND((+H76+H79)/H8,3)</f>
        <v>0.55800000000000005</v>
      </c>
      <c r="I20" s="3"/>
      <c r="J20" s="3">
        <f>ROUND((+J76+J79)/J8,3)</f>
        <v>0.56899999999999995</v>
      </c>
      <c r="K20" s="3"/>
      <c r="L20" s="3">
        <f>ROUND((+L76+L79)/L8,3)</f>
        <v>0.58699999999999997</v>
      </c>
      <c r="M20" s="3"/>
      <c r="N20" s="3">
        <f>AVERAGE(D20,F20,H20,J20,L20)</f>
        <v>0.54539999999999988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3">
        <f>AVERAGE(D21,F21,H21,J21,L21)</f>
        <v>0</v>
      </c>
    </row>
    <row r="22" spans="1:14" ht="17.25" x14ac:dyDescent="0.4">
      <c r="B22" s="32" t="s">
        <v>94</v>
      </c>
      <c r="D22" s="4">
        <f>ROUND((D68-D103)/D8,3)</f>
        <v>0.55500000000000005</v>
      </c>
      <c r="E22" s="3"/>
      <c r="F22" s="4">
        <f>ROUND((F68-F103)/F8,3)</f>
        <v>0.432</v>
      </c>
      <c r="G22" s="3"/>
      <c r="H22" s="4">
        <f>ROUND((H68-H103)/H8,3)</f>
        <v>0.442</v>
      </c>
      <c r="I22" s="3"/>
      <c r="J22" s="4">
        <f>ROUND((J68-J103)/J8,3)</f>
        <v>0.43099999999999999</v>
      </c>
      <c r="K22" s="3"/>
      <c r="L22" s="4">
        <f>ROUND((L68-L103)/L8,3)</f>
        <v>0.41299999999999998</v>
      </c>
      <c r="M22" s="3"/>
      <c r="N22" s="4">
        <f>AVERAGE(D22,F22,H22,J22,L22)</f>
        <v>0.4546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0.44700000000000001</v>
      </c>
      <c r="E25" s="3"/>
      <c r="F25" s="3">
        <f>ROUND((+F76+F79+F80)/F10,3)</f>
        <v>0.58499999999999996</v>
      </c>
      <c r="G25" s="3"/>
      <c r="H25" s="3">
        <f>ROUND((+H76+H79+H80)/H10,3)</f>
        <v>0.56999999999999995</v>
      </c>
      <c r="I25" s="3"/>
      <c r="J25" s="3">
        <f>ROUND((+J76+J79+J80)/J10,3)</f>
        <v>0.58499999999999996</v>
      </c>
      <c r="K25" s="3"/>
      <c r="L25" s="3">
        <f>ROUND((+L76+L79+L80)/L10,3)</f>
        <v>0.6</v>
      </c>
      <c r="M25" s="3"/>
      <c r="N25" s="3">
        <f>AVERAGE(D25,F25,H25,J25,L25)</f>
        <v>0.55740000000000001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3">
        <f>AVERAGE(D26,F26,H26,J26,L26)</f>
        <v>0</v>
      </c>
    </row>
    <row r="27" spans="1:14" ht="17.25" x14ac:dyDescent="0.4">
      <c r="B27" s="32" t="s">
        <v>94</v>
      </c>
      <c r="D27" s="4">
        <f>ROUND((D68-D103)/D10,3)</f>
        <v>0.55300000000000005</v>
      </c>
      <c r="E27" s="3"/>
      <c r="F27" s="4">
        <f>ROUND((F68-F103)/F10,3)</f>
        <v>0.41499999999999998</v>
      </c>
      <c r="G27" s="3"/>
      <c r="H27" s="4">
        <f>ROUND((H68-H103)/H10,3)</f>
        <v>0.43</v>
      </c>
      <c r="I27" s="3"/>
      <c r="J27" s="4">
        <f>ROUND((J68-J103)/J10,3)</f>
        <v>0.41499999999999998</v>
      </c>
      <c r="K27" s="3"/>
      <c r="L27" s="4">
        <f>ROUND((L68-L103)/L10,3)</f>
        <v>0.4</v>
      </c>
      <c r="M27" s="3"/>
      <c r="N27" s="4">
        <f>AVERAGE(D27,F27,H27,J27,L27)</f>
        <v>0.44259999999999999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1E-3</v>
      </c>
      <c r="E30" s="3"/>
      <c r="F30" s="3">
        <f>ROUND(+F66/(((F68-F103)+(H68-H103))/2),3)</f>
        <v>8.4000000000000005E-2</v>
      </c>
      <c r="G30" s="3"/>
      <c r="H30" s="3">
        <f>ROUND(+H66/(((H68-H103)+(J68-J103))/2),3)</f>
        <v>0.106</v>
      </c>
      <c r="I30" s="3"/>
      <c r="J30" s="3">
        <f>ROUND(+J66/(((J68-J103)+(L68-L103))/2),3)</f>
        <v>0.122</v>
      </c>
      <c r="K30" s="3"/>
      <c r="L30" s="3">
        <f>ROUND(+L66/(((L68-L103)+(N68-N103))/2),3)</f>
        <v>8.1000000000000003E-2</v>
      </c>
      <c r="M30" s="3"/>
      <c r="N30" s="3">
        <f>AVERAGE(D30,F30,H30,J30,L30)</f>
        <v>7.8800000000000009E-2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0.754</v>
      </c>
      <c r="E32" s="3"/>
      <c r="F32" s="3">
        <f>ROUND((+F58-F57)/F56,3)</f>
        <v>0.63200000000000001</v>
      </c>
      <c r="G32" s="3"/>
      <c r="H32" s="3">
        <f>ROUND((+H58-H57)/H56,3)</f>
        <v>0.63400000000000001</v>
      </c>
      <c r="I32" s="3"/>
      <c r="J32" s="3">
        <f>ROUND((+J58-J57)/J56,3)</f>
        <v>0.63200000000000001</v>
      </c>
      <c r="K32" s="3"/>
      <c r="L32" s="3">
        <f>ROUND((+L58-L57)/L56,3)</f>
        <v>0.58799999999999997</v>
      </c>
      <c r="M32" s="3"/>
      <c r="N32" s="3">
        <f>AVERAGE(D32,F32,H32,J32,L32)</f>
        <v>0.64800000000000002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1.57</v>
      </c>
      <c r="E35" s="7" t="s">
        <v>3</v>
      </c>
      <c r="F35" s="7">
        <f>ROUND(((+F66+F65+F64+F63+F61+F59+F57)/F61),2)</f>
        <v>2.97</v>
      </c>
      <c r="G35" s="7" t="s">
        <v>3</v>
      </c>
      <c r="H35" s="7">
        <f>ROUND(((+H66+H65+H64+H63+H61+H59+H57)/H61),2)</f>
        <v>3.17</v>
      </c>
      <c r="I35" s="7" t="s">
        <v>3</v>
      </c>
      <c r="J35" s="7">
        <f>ROUND(((+J66+J65+J64+J63+J61+J59+J57)/J61),2)</f>
        <v>3.37</v>
      </c>
      <c r="K35" s="7" t="s">
        <v>3</v>
      </c>
      <c r="L35" s="7">
        <f>ROUND(((+L66+L65+L64+L63+L61+L59+L57)/L61),2)</f>
        <v>3.11</v>
      </c>
      <c r="M35" s="7" t="s">
        <v>3</v>
      </c>
      <c r="N35" s="26">
        <f>AVERAGE(D35,F35,H35,J35,L35)</f>
        <v>2.8380000000000001</v>
      </c>
      <c r="O35" t="s">
        <v>3</v>
      </c>
    </row>
    <row r="36" spans="1:15" x14ac:dyDescent="0.4">
      <c r="B36" t="s">
        <v>21</v>
      </c>
      <c r="D36" s="7">
        <f>ROUND(((+D66+D65+D64+D63+D61)/(D61)),2)</f>
        <v>1.02</v>
      </c>
      <c r="E36" s="7" t="s">
        <v>3</v>
      </c>
      <c r="F36" s="7">
        <f>ROUND(((+F66+F65+F64+F63+F61)/(F61)),2)</f>
        <v>2.4700000000000002</v>
      </c>
      <c r="G36" s="7" t="s">
        <v>3</v>
      </c>
      <c r="H36" s="7">
        <f>ROUND(((+H66+H65+H64+H63+H61)/(H61)),2)</f>
        <v>2.76</v>
      </c>
      <c r="I36" s="7" t="s">
        <v>3</v>
      </c>
      <c r="J36" s="7">
        <f>ROUND(((+J66+J65+J64+J63+J61)/(J61)),2)</f>
        <v>2.9</v>
      </c>
      <c r="K36" s="7" t="s">
        <v>3</v>
      </c>
      <c r="L36" s="7">
        <f>ROUND(((+L66+L65+L64+L63+L61)/(L61)),2)</f>
        <v>2.2400000000000002</v>
      </c>
      <c r="M36" s="7" t="s">
        <v>3</v>
      </c>
      <c r="N36" s="26">
        <f>AVERAGE(D36,F36,H36,J36,L36)</f>
        <v>2.278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1.02</v>
      </c>
      <c r="E37" s="7" t="s">
        <v>3</v>
      </c>
      <c r="F37" s="7">
        <f>ROUND(((+F66+F65+F64+F63+F61)/(F61+F63+F64+F65)),2)</f>
        <v>2.4700000000000002</v>
      </c>
      <c r="G37" s="7" t="s">
        <v>3</v>
      </c>
      <c r="H37" s="7">
        <f>ROUND(((+H66+H65+H64+H63+H61)/(H61+H63+H64+H65)),2)</f>
        <v>2.76</v>
      </c>
      <c r="I37" s="7" t="s">
        <v>3</v>
      </c>
      <c r="J37" s="7">
        <f>ROUND(((+J66+J65+J64+J63+J61)/(J61+J63+J64+J65)),2)</f>
        <v>2.9</v>
      </c>
      <c r="K37" s="7" t="s">
        <v>3</v>
      </c>
      <c r="L37" s="7">
        <f>ROUND(((+L66+L65+L64+L63+L61)/(L61+L63+L64+L65)),2)</f>
        <v>2.2400000000000002</v>
      </c>
      <c r="M37" s="7" t="s">
        <v>3</v>
      </c>
      <c r="N37" s="26">
        <f>AVERAGE(D37,F37,H37,J37,L37)</f>
        <v>2.278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1.56</v>
      </c>
      <c r="E40" s="7" t="s">
        <v>3</v>
      </c>
      <c r="F40" s="7">
        <f>ROUND(((+F66+F65+F64+F63-F62+F61+F59+F57)/F61),2)</f>
        <v>2.96</v>
      </c>
      <c r="G40" s="7" t="s">
        <v>3</v>
      </c>
      <c r="H40" s="7">
        <f>ROUND(((+H66+H65+H64+H63-H62+H61+H59+H57)/H61),2)</f>
        <v>3.16</v>
      </c>
      <c r="I40" s="7" t="s">
        <v>3</v>
      </c>
      <c r="J40" s="7">
        <f>ROUND(((+J66+J65+J64+J63-J62+J61+J59+J57)/J61),2)</f>
        <v>3.36</v>
      </c>
      <c r="K40" s="7" t="s">
        <v>3</v>
      </c>
      <c r="L40" s="7">
        <f>ROUND(((+L66+L65+L64+L63-L62+L61+L59+L57)/L61),2)</f>
        <v>3.09</v>
      </c>
      <c r="M40" s="7" t="s">
        <v>3</v>
      </c>
      <c r="N40" s="26">
        <f>AVERAGE(D40,F40,H40,J40,L40)</f>
        <v>2.8259999999999996</v>
      </c>
      <c r="O40" t="s">
        <v>3</v>
      </c>
    </row>
    <row r="41" spans="1:15" x14ac:dyDescent="0.4">
      <c r="B41" t="s">
        <v>21</v>
      </c>
      <c r="D41" s="7">
        <f>ROUND(((+D66+D65+D64+D63-D62+D61)/D61),2)</f>
        <v>1.01</v>
      </c>
      <c r="E41" s="7" t="s">
        <v>3</v>
      </c>
      <c r="F41" s="7">
        <f>ROUND(((+F66+F65+F64+F63-F62+F61)/F61),2)</f>
        <v>2.46</v>
      </c>
      <c r="G41" s="7" t="s">
        <v>3</v>
      </c>
      <c r="H41" s="7">
        <f>ROUND(((+H66+H65+H64+H63-H62+H61)/H61),2)</f>
        <v>2.75</v>
      </c>
      <c r="I41" s="7" t="s">
        <v>3</v>
      </c>
      <c r="J41" s="7">
        <f>ROUND(((+J66+J65+J64+J63-J62+J61)/J61),2)</f>
        <v>2.88</v>
      </c>
      <c r="K41" s="7" t="s">
        <v>3</v>
      </c>
      <c r="L41" s="7">
        <f>ROUND(((+L66+L65+L64+L63-L62+L61)/L61),2)</f>
        <v>2.2200000000000002</v>
      </c>
      <c r="M41" s="7" t="s">
        <v>3</v>
      </c>
      <c r="N41" s="26">
        <f>AVERAGE(D41,F41,H41,J41,L41)</f>
        <v>2.2640000000000002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1.01</v>
      </c>
      <c r="E42" s="7" t="s">
        <v>3</v>
      </c>
      <c r="F42" s="7">
        <f>ROUND(((+F66+F65+F64+F63-F62+F61)/(F61+F63+F64+F65)),2)</f>
        <v>2.46</v>
      </c>
      <c r="G42" s="7" t="s">
        <v>3</v>
      </c>
      <c r="H42" s="7">
        <f>ROUND(((+H66+H65+H64+H63-H62+H61)/(H61+H63+H64+H65)),2)</f>
        <v>2.75</v>
      </c>
      <c r="I42" s="7" t="s">
        <v>3</v>
      </c>
      <c r="J42" s="7">
        <f>ROUND(((+J66+J65+J64+J63-J62+J61)/(J61+J63+J64+J65)),2)</f>
        <v>2.88</v>
      </c>
      <c r="K42" s="7" t="s">
        <v>3</v>
      </c>
      <c r="L42" s="7">
        <f>ROUND(((+L66+L65+L64+L63-L62+L61)/(L61+L63+L64+L65)),2)</f>
        <v>2.2200000000000002</v>
      </c>
      <c r="M42" s="7" t="s">
        <v>3</v>
      </c>
      <c r="N42" s="26">
        <f>AVERAGE(D42,F42,H42,J42,L42)</f>
        <v>2.2640000000000002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0.33300000000000002</v>
      </c>
      <c r="E45" s="11"/>
      <c r="F45" s="11">
        <f>ROUND(F62/F66,3)</f>
        <v>6.0000000000000001E-3</v>
      </c>
      <c r="G45" s="11"/>
      <c r="H45" s="11">
        <f>ROUND(H62/H66,3)</f>
        <v>6.0000000000000001E-3</v>
      </c>
      <c r="I45" s="11"/>
      <c r="J45" s="11">
        <f>ROUND(J62/J66,3)</f>
        <v>8.0000000000000002E-3</v>
      </c>
      <c r="K45" s="11"/>
      <c r="L45" s="11">
        <f>ROUND(L62/L66,3)</f>
        <v>1.7999999999999999E-2</v>
      </c>
      <c r="M45" s="3"/>
      <c r="N45" s="3">
        <f t="shared" ref="N45:N50" si="0">AVERAGE(D45,F45,H45,J45,L45)</f>
        <v>7.4200000000000016E-2</v>
      </c>
    </row>
    <row r="46" spans="1:15" x14ac:dyDescent="0.4">
      <c r="B46" t="s">
        <v>17</v>
      </c>
      <c r="D46" s="17"/>
      <c r="E46" s="18"/>
      <c r="F46" s="17">
        <f>ROUND((F57+F59)/(F57+F59+F66+F63+F64+F65),3)</f>
        <v>0.255</v>
      </c>
      <c r="G46" s="18"/>
      <c r="H46" s="17">
        <f>ROUND((H57+H59)/(H57+H59+H66+H63+H64+H65),3)</f>
        <v>0.19</v>
      </c>
      <c r="I46" s="18"/>
      <c r="J46" s="17">
        <f>ROUND((J57+J59)/(J57+J59+J66+J63+J64+J65),3)</f>
        <v>0.20100000000000001</v>
      </c>
      <c r="K46" s="18"/>
      <c r="L46" s="17">
        <f>ROUND((L57+L59)/(L57+L59+L66+L63+L64+L65),3)</f>
        <v>0.41</v>
      </c>
      <c r="N46" s="3">
        <f t="shared" si="0"/>
        <v>0.26400000000000001</v>
      </c>
    </row>
    <row r="47" spans="1:15" ht="17.25" x14ac:dyDescent="0.4">
      <c r="B47" s="33" t="s">
        <v>100</v>
      </c>
      <c r="D47" s="11">
        <f>ROUND(((+D82+D83+D84+D85+D86-D87+D88-D90-D91)/(+D89-D87)),3)</f>
        <v>0.20200000000000001</v>
      </c>
      <c r="E47" s="12"/>
      <c r="F47" s="11">
        <f>ROUND(((+F82+F83+F84+F85+F86-F87+F88-F90-F91)/(+F89-F87)),3)</f>
        <v>0.63100000000000001</v>
      </c>
      <c r="G47" s="12"/>
      <c r="H47" s="11">
        <f>ROUND(((+H82+H83+H84+H85+H86-H87+H88-H90-H91)/(+H89-H87)),3)</f>
        <v>0.63800000000000001</v>
      </c>
      <c r="I47" s="12"/>
      <c r="J47" s="11">
        <f>ROUND(((+J82+J83+J84+J85+J86-J87+J88-J90-J91)/(+J89-J87)),3)</f>
        <v>0.48499999999999999</v>
      </c>
      <c r="K47" s="12"/>
      <c r="L47" s="11">
        <f>ROUND(((+L82+L83+L84+L85+L86-L87+L88-L90-L91)/(+L89-L87)),3)</f>
        <v>0.45200000000000001</v>
      </c>
      <c r="N47" s="3">
        <f t="shared" si="0"/>
        <v>0.48159999999999997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9.2999999999999999E-2</v>
      </c>
      <c r="E48" s="12"/>
      <c r="F48" s="11">
        <f>ROUND(((+F82+F83+F84+F85+F86-F87+F88)/(AVERAGE(F76,H76)+AVERAGE(F79,H79)+AVERAGE(F80,H80))),3)</f>
        <v>0.13900000000000001</v>
      </c>
      <c r="G48" s="12"/>
      <c r="H48" s="11">
        <f>ROUND(((+H82+H83+H84+H85+H86-H87+H88)/(AVERAGE(H76,J76)+AVERAGE(H79,J79)+AVERAGE(H80,J80))),3)</f>
        <v>0.14000000000000001</v>
      </c>
      <c r="I48" s="12"/>
      <c r="J48" s="11">
        <f>ROUND(((+J82+J83+J84+J85+J86-J87+J88)/(AVERAGE(J76,L76)+AVERAGE(J79,L79)+AVERAGE(J80,L80))),3)</f>
        <v>0.125</v>
      </c>
      <c r="K48" s="12"/>
      <c r="L48" s="11">
        <f>ROUND(((+L82+L83+L84+L85+L86-L87+L88)/(AVERAGE(L76,N76)+AVERAGE(L79,N79)+AVERAGE(L80,N80))),3)</f>
        <v>0.123</v>
      </c>
      <c r="N48" s="3">
        <f t="shared" si="0"/>
        <v>0.124</v>
      </c>
    </row>
    <row r="49" spans="1:15" ht="17.25" x14ac:dyDescent="0.4">
      <c r="B49" s="33" t="s">
        <v>102</v>
      </c>
      <c r="D49" s="27">
        <f>ROUND(((+D82+D83+D84+D85+D86-D87+D88+D92)/D61),2)</f>
        <v>2.04</v>
      </c>
      <c r="E49" t="s">
        <v>3</v>
      </c>
      <c r="F49" s="27">
        <f>ROUND(((+F82+F83+F84+F85+F86-F87+F88+F92)/F61),2)</f>
        <v>4.26</v>
      </c>
      <c r="G49" t="s">
        <v>3</v>
      </c>
      <c r="H49" s="27">
        <f>ROUND(((+H82+H83+H84+H85+H86-H87+H88+H92)/H61),2)</f>
        <v>4.09</v>
      </c>
      <c r="I49" t="s">
        <v>3</v>
      </c>
      <c r="J49" s="27">
        <f>ROUND(((+J82+J83+J84+J85+J86-J87+J88+J92)/J61),2)</f>
        <v>3.75</v>
      </c>
      <c r="K49" t="s">
        <v>3</v>
      </c>
      <c r="L49" s="27">
        <f>ROUND(((+L82+L83+L84+L85+L86-L87+L88+L92)/L61),2)</f>
        <v>3.68</v>
      </c>
      <c r="M49" t="s">
        <v>3</v>
      </c>
      <c r="N49" s="27">
        <f t="shared" si="0"/>
        <v>3.5640000000000001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1.31</v>
      </c>
      <c r="E50" t="s">
        <v>3</v>
      </c>
      <c r="F50" s="27">
        <f>ROUND(((+F82+F83+F84+F85+F86-F87+F88-F91)/+F90),2)</f>
        <v>2.61</v>
      </c>
      <c r="G50" t="s">
        <v>3</v>
      </c>
      <c r="H50" s="27">
        <f>ROUND(((+H82+H83+H84+H85+H86-H87+H88-H91)/+H90),2)</f>
        <v>2.65</v>
      </c>
      <c r="I50" t="s">
        <v>3</v>
      </c>
      <c r="J50" s="27">
        <f>ROUND(((+J82+J83+J84+J85+J86-J87+J88-J91)/+J90),2)</f>
        <v>2.39</v>
      </c>
      <c r="K50" t="s">
        <v>3</v>
      </c>
      <c r="L50" s="27">
        <f>ROUND(((+L82+L83+L84+L85+L86-L87+L88-L91)/+L90),2)</f>
        <v>2.3199999999999998</v>
      </c>
      <c r="M50" t="s">
        <v>3</v>
      </c>
      <c r="N50" s="27">
        <f t="shared" si="0"/>
        <v>2.2560000000000002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83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5783</v>
      </c>
      <c r="E56" s="22"/>
      <c r="F56" s="22">
        <v>7607</v>
      </c>
      <c r="G56" s="22"/>
      <c r="H56" s="22">
        <v>7769</v>
      </c>
      <c r="I56" s="22"/>
      <c r="J56" s="22">
        <v>7785</v>
      </c>
      <c r="K56" s="22"/>
      <c r="L56" s="22">
        <v>7447</v>
      </c>
      <c r="M56" s="22"/>
      <c r="N56" s="22">
        <v>7517</v>
      </c>
    </row>
    <row r="57" spans="1:15" x14ac:dyDescent="0.4">
      <c r="A57" s="20" t="s">
        <v>23</v>
      </c>
      <c r="B57" s="20"/>
      <c r="C57" s="20"/>
      <c r="D57" s="22">
        <v>503</v>
      </c>
      <c r="E57" s="22"/>
      <c r="F57" s="22">
        <v>502</v>
      </c>
      <c r="G57" s="22"/>
      <c r="H57" s="22">
        <v>409</v>
      </c>
      <c r="I57" s="22"/>
      <c r="J57" s="22">
        <v>458</v>
      </c>
      <c r="K57" s="22"/>
      <c r="L57" s="22">
        <v>784</v>
      </c>
      <c r="M57" s="22"/>
      <c r="N57" s="22">
        <v>648</v>
      </c>
    </row>
    <row r="58" spans="1:15" x14ac:dyDescent="0.4">
      <c r="A58" s="20" t="s">
        <v>24</v>
      </c>
      <c r="B58" s="20"/>
      <c r="C58" s="20"/>
      <c r="D58" s="22">
        <f>4359+D57</f>
        <v>4862</v>
      </c>
      <c r="E58" s="22"/>
      <c r="F58" s="22">
        <f>4804+F57</f>
        <v>5306</v>
      </c>
      <c r="G58" s="22"/>
      <c r="H58" s="22">
        <f>4929+H57</f>
        <v>5338</v>
      </c>
      <c r="I58" s="22"/>
      <c r="J58" s="22">
        <v>5378</v>
      </c>
      <c r="K58" s="22"/>
      <c r="L58" s="22">
        <v>5163</v>
      </c>
      <c r="M58" s="22"/>
      <c r="N58" s="22">
        <v>5112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1424-D57+15</f>
        <v>936</v>
      </c>
      <c r="E60" s="22"/>
      <c r="F60" s="22">
        <f>2803-F57+169</f>
        <v>2470</v>
      </c>
      <c r="G60" s="22"/>
      <c r="H60" s="22">
        <f>2840-H57+309</f>
        <v>2740</v>
      </c>
      <c r="I60" s="22"/>
      <c r="J60" s="22">
        <v>2790</v>
      </c>
      <c r="K60" s="22"/>
      <c r="L60" s="22">
        <v>2029</v>
      </c>
      <c r="M60" s="22"/>
      <c r="N60" s="22">
        <v>2790</v>
      </c>
    </row>
    <row r="61" spans="1:15" x14ac:dyDescent="0.4">
      <c r="A61" s="20" t="s">
        <v>27</v>
      </c>
      <c r="B61" s="20"/>
      <c r="C61" s="20"/>
      <c r="D61" s="22">
        <v>918</v>
      </c>
      <c r="E61" s="22"/>
      <c r="F61" s="22">
        <v>1001</v>
      </c>
      <c r="G61" s="22"/>
      <c r="H61" s="22">
        <v>994</v>
      </c>
      <c r="I61" s="22"/>
      <c r="J61" s="22">
        <v>963</v>
      </c>
      <c r="K61" s="22"/>
      <c r="L61" s="22">
        <v>905</v>
      </c>
      <c r="M61" s="22"/>
      <c r="N61" s="22">
        <v>892</v>
      </c>
    </row>
    <row r="62" spans="1:15" x14ac:dyDescent="0.4">
      <c r="A62" s="20" t="s">
        <v>28</v>
      </c>
      <c r="B62" s="20"/>
      <c r="C62" s="20"/>
      <c r="D62" s="22">
        <v>6</v>
      </c>
      <c r="E62" s="22"/>
      <c r="F62" s="22">
        <v>9</v>
      </c>
      <c r="G62" s="22"/>
      <c r="H62" s="22">
        <v>10</v>
      </c>
      <c r="I62" s="22"/>
      <c r="J62" s="22">
        <v>15</v>
      </c>
      <c r="K62" s="22"/>
      <c r="L62" s="22">
        <v>20</v>
      </c>
      <c r="M62" s="22"/>
      <c r="N62" s="22">
        <v>23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18</v>
      </c>
      <c r="E66" s="22"/>
      <c r="F66" s="22">
        <v>1469</v>
      </c>
      <c r="G66" s="22"/>
      <c r="H66" s="22">
        <v>1746</v>
      </c>
      <c r="I66" s="22"/>
      <c r="J66" s="22">
        <v>1825</v>
      </c>
      <c r="K66" s="22"/>
      <c r="L66" s="22">
        <v>1126</v>
      </c>
      <c r="M66" s="22"/>
      <c r="N66" s="22">
        <v>1896</v>
      </c>
    </row>
    <row r="67" spans="1:14" x14ac:dyDescent="0.4">
      <c r="A67" s="20" t="s">
        <v>33</v>
      </c>
      <c r="B67" s="20"/>
      <c r="C67" s="20"/>
      <c r="D67" s="22">
        <v>0.03</v>
      </c>
      <c r="E67" s="22"/>
      <c r="F67" s="22">
        <v>1.91</v>
      </c>
      <c r="G67" s="22"/>
      <c r="H67" s="22">
        <v>2.39</v>
      </c>
      <c r="I67" s="22"/>
      <c r="J67" s="22">
        <v>2.59</v>
      </c>
      <c r="K67" s="22"/>
      <c r="L67" s="22">
        <v>1.64</v>
      </c>
      <c r="M67" s="22"/>
      <c r="N67" s="22">
        <v>2.8</v>
      </c>
    </row>
    <row r="68" spans="1:14" x14ac:dyDescent="0.4">
      <c r="A68" s="20" t="s">
        <v>34</v>
      </c>
      <c r="B68" s="20"/>
      <c r="C68" s="20"/>
      <c r="D68" s="22">
        <v>13723</v>
      </c>
      <c r="E68" s="22"/>
      <c r="F68" s="22">
        <v>13373</v>
      </c>
      <c r="G68" s="22"/>
      <c r="H68" s="22">
        <v>12991</v>
      </c>
      <c r="I68" s="22"/>
      <c r="J68" s="22">
        <v>11657</v>
      </c>
      <c r="K68" s="22"/>
      <c r="L68" s="22">
        <v>10761</v>
      </c>
      <c r="M68" s="22"/>
      <c r="N68" s="22">
        <v>9899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10666</v>
      </c>
      <c r="E76" s="22"/>
      <c r="F76" s="22">
        <v>21553</v>
      </c>
      <c r="G76" s="22"/>
      <c r="H76" s="22">
        <v>20721</v>
      </c>
      <c r="I76" s="22"/>
      <c r="J76" s="22">
        <v>20069</v>
      </c>
      <c r="K76" s="22"/>
      <c r="L76" s="22">
        <v>19847</v>
      </c>
      <c r="M76" s="22"/>
      <c r="N76" s="22">
        <v>17808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24389</v>
      </c>
      <c r="E78" s="22"/>
      <c r="F78" s="22">
        <f>SUM(F68:F77)</f>
        <v>34926</v>
      </c>
      <c r="G78" s="22"/>
      <c r="H78" s="22">
        <f>SUM(H68:H77)</f>
        <v>33712</v>
      </c>
      <c r="I78" s="22"/>
      <c r="J78" s="22">
        <v>31726</v>
      </c>
      <c r="K78" s="22"/>
      <c r="L78" s="22">
        <v>30608</v>
      </c>
      <c r="M78" s="22"/>
      <c r="N78" s="22">
        <v>27707</v>
      </c>
    </row>
    <row r="79" spans="1:14" x14ac:dyDescent="0.4">
      <c r="A79" s="20" t="s">
        <v>45</v>
      </c>
      <c r="B79" s="20"/>
      <c r="C79" s="20"/>
      <c r="D79" s="22">
        <v>474</v>
      </c>
      <c r="E79" s="22"/>
      <c r="F79" s="22">
        <v>1574</v>
      </c>
      <c r="G79" s="22"/>
      <c r="H79" s="22">
        <v>1172</v>
      </c>
      <c r="I79" s="22"/>
      <c r="J79" s="22">
        <v>530</v>
      </c>
      <c r="K79" s="22"/>
      <c r="L79" s="22">
        <v>348</v>
      </c>
      <c r="M79" s="22"/>
      <c r="N79" s="22">
        <v>518</v>
      </c>
    </row>
    <row r="80" spans="1:14" x14ac:dyDescent="0.4">
      <c r="A80" s="20" t="s">
        <v>46</v>
      </c>
      <c r="B80" s="20"/>
      <c r="C80" s="20"/>
      <c r="D80" s="22">
        <v>69</v>
      </c>
      <c r="E80" s="22"/>
      <c r="F80" s="22">
        <v>1662</v>
      </c>
      <c r="G80" s="22"/>
      <c r="H80" s="22">
        <v>1151</v>
      </c>
      <c r="I80" s="22"/>
      <c r="J80" s="22">
        <v>1430</v>
      </c>
      <c r="K80" s="22"/>
      <c r="L80" s="22">
        <v>1080</v>
      </c>
      <c r="M80" s="22"/>
      <c r="N80" s="22">
        <v>923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18</v>
      </c>
      <c r="E82" s="22"/>
      <c r="F82" s="22">
        <v>1469</v>
      </c>
      <c r="G82" s="22"/>
      <c r="H82" s="22">
        <v>1746</v>
      </c>
      <c r="I82" s="22"/>
      <c r="J82" s="22">
        <v>1827</v>
      </c>
      <c r="K82" s="22"/>
      <c r="L82" s="22">
        <v>1128</v>
      </c>
      <c r="M82" s="22"/>
      <c r="N82" s="22">
        <v>1902</v>
      </c>
    </row>
    <row r="83" spans="1:14" x14ac:dyDescent="0.4">
      <c r="A83" s="20" t="s">
        <v>49</v>
      </c>
      <c r="B83" s="20"/>
      <c r="C83" s="20"/>
      <c r="D83" s="22">
        <v>1082</v>
      </c>
      <c r="E83" s="22"/>
      <c r="F83" s="22">
        <v>1287</v>
      </c>
      <c r="G83" s="22"/>
      <c r="H83" s="22">
        <v>1199</v>
      </c>
      <c r="I83" s="22"/>
      <c r="J83" s="22">
        <v>1094</v>
      </c>
      <c r="K83" s="22"/>
      <c r="L83" s="22">
        <v>1008</v>
      </c>
      <c r="M83" s="22"/>
      <c r="N83" s="22">
        <v>926</v>
      </c>
    </row>
    <row r="84" spans="1:14" x14ac:dyDescent="0.4">
      <c r="A84" s="20" t="s">
        <v>50</v>
      </c>
      <c r="B84" s="20"/>
      <c r="C84" s="20"/>
      <c r="D84" s="22">
        <v>39</v>
      </c>
      <c r="E84" s="22"/>
      <c r="F84" s="22">
        <v>72</v>
      </c>
      <c r="G84" s="22"/>
      <c r="H84" s="22">
        <v>81</v>
      </c>
      <c r="I84" s="22"/>
      <c r="J84" s="22">
        <v>78</v>
      </c>
      <c r="K84" s="22"/>
      <c r="L84" s="22">
        <v>97</v>
      </c>
      <c r="M84" s="22"/>
      <c r="N84" s="22">
        <v>80</v>
      </c>
    </row>
    <row r="85" spans="1:14" x14ac:dyDescent="0.4">
      <c r="A85" s="20" t="s">
        <v>51</v>
      </c>
      <c r="B85" s="20"/>
      <c r="C85" s="20"/>
      <c r="D85" s="22">
        <v>87</v>
      </c>
      <c r="E85" s="22"/>
      <c r="F85" s="22">
        <v>402</v>
      </c>
      <c r="G85" s="22"/>
      <c r="H85" s="22">
        <v>309</v>
      </c>
      <c r="I85" s="22"/>
      <c r="J85" s="22">
        <v>355</v>
      </c>
      <c r="K85" s="22"/>
      <c r="L85" s="22">
        <v>707</v>
      </c>
      <c r="M85" s="22"/>
      <c r="N85" s="22">
        <v>560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37+395+20</f>
        <v>452</v>
      </c>
      <c r="E88" s="22"/>
      <c r="F88" s="22">
        <f>-201+280+29-12</f>
        <v>96</v>
      </c>
      <c r="G88" s="22"/>
      <c r="H88" s="22">
        <f>-263+73+36-22</f>
        <v>-176</v>
      </c>
      <c r="I88" s="22"/>
      <c r="J88" s="22">
        <v>-651</v>
      </c>
      <c r="K88" s="22"/>
      <c r="L88" s="22">
        <v>-451</v>
      </c>
      <c r="M88" s="22"/>
      <c r="N88" s="22">
        <v>-441</v>
      </c>
    </row>
    <row r="89" spans="1:14" x14ac:dyDescent="0.4">
      <c r="A89" s="20" t="s">
        <v>54</v>
      </c>
      <c r="B89" s="20"/>
      <c r="C89" s="20"/>
      <c r="D89" s="22">
        <v>1973</v>
      </c>
      <c r="E89" s="22"/>
      <c r="F89" s="22">
        <v>3249</v>
      </c>
      <c r="G89" s="22"/>
      <c r="H89" s="22">
        <v>3083</v>
      </c>
      <c r="I89" s="22"/>
      <c r="J89" s="22">
        <v>3238</v>
      </c>
      <c r="K89" s="22"/>
      <c r="L89" s="22">
        <v>3133</v>
      </c>
      <c r="M89" s="22"/>
      <c r="N89" s="22">
        <v>2920</v>
      </c>
    </row>
    <row r="90" spans="1:14" x14ac:dyDescent="0.4">
      <c r="A90" s="20" t="s">
        <v>55</v>
      </c>
      <c r="B90" s="20"/>
      <c r="C90" s="20"/>
      <c r="D90" s="22">
        <v>1279</v>
      </c>
      <c r="E90" s="22"/>
      <c r="F90" s="22">
        <v>1275</v>
      </c>
      <c r="G90" s="22"/>
      <c r="H90" s="22">
        <v>1192</v>
      </c>
      <c r="I90" s="22"/>
      <c r="J90" s="22">
        <v>1133</v>
      </c>
      <c r="K90" s="22"/>
      <c r="L90" s="22">
        <v>1072</v>
      </c>
      <c r="M90" s="22"/>
      <c r="N90" s="22">
        <v>1030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191</v>
      </c>
      <c r="E92" s="22"/>
      <c r="F92" s="22">
        <v>939</v>
      </c>
      <c r="G92" s="22"/>
      <c r="H92" s="22">
        <v>905</v>
      </c>
      <c r="I92" s="22"/>
      <c r="J92" s="22">
        <v>910</v>
      </c>
      <c r="K92" s="22"/>
      <c r="L92" s="22">
        <v>845</v>
      </c>
      <c r="M92" s="22"/>
      <c r="N92" s="22">
        <v>854</v>
      </c>
    </row>
    <row r="93" spans="1:14" x14ac:dyDescent="0.4">
      <c r="A93" s="20" t="s">
        <v>58</v>
      </c>
      <c r="B93" s="20"/>
      <c r="C93" s="20"/>
      <c r="D93" s="22">
        <v>284</v>
      </c>
      <c r="E93" s="22"/>
      <c r="F93" s="22">
        <v>95</v>
      </c>
      <c r="G93" s="22"/>
      <c r="H93" s="22">
        <v>93</v>
      </c>
      <c r="I93" s="22"/>
      <c r="J93" s="22">
        <v>127</v>
      </c>
      <c r="K93" s="22"/>
      <c r="L93" s="22">
        <v>65</v>
      </c>
      <c r="M93" s="22"/>
      <c r="N93" s="22">
        <v>70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1263</v>
      </c>
      <c r="E96" s="22"/>
      <c r="F96" s="22">
        <v>1279</v>
      </c>
      <c r="G96" s="22"/>
      <c r="H96" s="22">
        <v>1212</v>
      </c>
      <c r="I96" s="22"/>
      <c r="J96" s="22">
        <v>1156</v>
      </c>
      <c r="K96" s="22"/>
      <c r="L96" s="22">
        <v>1086</v>
      </c>
      <c r="M96" s="22"/>
      <c r="N96" s="22">
        <v>1033</v>
      </c>
    </row>
    <row r="97" spans="1:14" x14ac:dyDescent="0.4">
      <c r="A97" s="20" t="s">
        <v>60</v>
      </c>
      <c r="B97" s="20"/>
      <c r="C97" s="20"/>
      <c r="D97" s="22">
        <v>1.66</v>
      </c>
      <c r="E97" s="22"/>
      <c r="F97" s="22">
        <v>1.66</v>
      </c>
      <c r="G97" s="22"/>
      <c r="H97" s="22">
        <v>1.65</v>
      </c>
      <c r="I97" s="22"/>
      <c r="J97" s="22">
        <v>1.64</v>
      </c>
      <c r="K97" s="22"/>
      <c r="L97" s="22">
        <v>1.58</v>
      </c>
      <c r="M97" s="22"/>
      <c r="N97" s="22">
        <v>1.52</v>
      </c>
    </row>
    <row r="98" spans="1:14" x14ac:dyDescent="0.4">
      <c r="A98" s="20" t="s">
        <v>61</v>
      </c>
      <c r="B98" s="20"/>
      <c r="C98" s="20"/>
      <c r="D98" s="22">
        <v>1.66</v>
      </c>
      <c r="E98" s="22"/>
      <c r="F98" s="22">
        <v>1.66</v>
      </c>
      <c r="G98" s="22"/>
      <c r="H98" s="22">
        <v>1.65</v>
      </c>
      <c r="I98" s="22"/>
      <c r="J98" s="22">
        <v>1.625</v>
      </c>
      <c r="K98" s="22"/>
      <c r="L98" s="22">
        <v>1.5649999999999999</v>
      </c>
      <c r="M98" s="22"/>
      <c r="N98" s="22">
        <v>1.518</v>
      </c>
    </row>
    <row r="99" spans="1:14" x14ac:dyDescent="0.4">
      <c r="A99" s="20" t="s">
        <v>62</v>
      </c>
      <c r="B99" s="20"/>
      <c r="C99" s="20"/>
      <c r="D99" s="22">
        <v>30.72</v>
      </c>
      <c r="E99" s="22"/>
      <c r="F99" s="22">
        <v>36.83</v>
      </c>
      <c r="G99" s="22"/>
      <c r="H99" s="22">
        <v>36.28</v>
      </c>
      <c r="I99" s="22"/>
      <c r="J99" s="22">
        <v>32.46</v>
      </c>
      <c r="K99" s="22"/>
      <c r="L99" s="22">
        <v>40.200000000000003</v>
      </c>
      <c r="M99" s="22"/>
      <c r="N99" s="22">
        <v>39.92</v>
      </c>
    </row>
    <row r="100" spans="1:14" x14ac:dyDescent="0.4">
      <c r="A100" s="20" t="s">
        <v>63</v>
      </c>
      <c r="B100" s="20"/>
      <c r="C100" s="20"/>
      <c r="D100" s="22">
        <v>26.15</v>
      </c>
      <c r="E100" s="22"/>
      <c r="F100" s="22">
        <v>18.12</v>
      </c>
      <c r="G100" s="22"/>
      <c r="H100" s="22">
        <v>27.8</v>
      </c>
      <c r="I100" s="22"/>
      <c r="J100" s="22">
        <v>25.3</v>
      </c>
      <c r="K100" s="22"/>
      <c r="L100" s="22">
        <v>30.74</v>
      </c>
      <c r="M100" s="22"/>
      <c r="N100" s="22">
        <v>32.08</v>
      </c>
    </row>
    <row r="101" spans="1:14" x14ac:dyDescent="0.4">
      <c r="A101" s="20" t="s">
        <v>64</v>
      </c>
      <c r="B101" s="20"/>
      <c r="C101" s="20"/>
      <c r="D101" s="22">
        <v>30.06</v>
      </c>
      <c r="E101" s="22"/>
      <c r="F101" s="22">
        <v>28.2</v>
      </c>
      <c r="G101" s="22"/>
      <c r="H101" s="22">
        <v>35.880001</v>
      </c>
      <c r="I101" s="22"/>
      <c r="J101" s="22">
        <v>28.33</v>
      </c>
      <c r="K101" s="22"/>
      <c r="L101" s="22">
        <v>30.95</v>
      </c>
      <c r="M101" s="22"/>
      <c r="N101" s="22">
        <v>34.049999999999997</v>
      </c>
    </row>
    <row r="102" spans="1:14" x14ac:dyDescent="0.4">
      <c r="A102" s="20" t="s">
        <v>65</v>
      </c>
      <c r="B102" s="20"/>
      <c r="C102" s="20"/>
      <c r="D102" s="22">
        <v>735.11199999999997</v>
      </c>
      <c r="E102" s="22"/>
      <c r="F102" s="22">
        <v>768.90700000000004</v>
      </c>
      <c r="G102" s="22"/>
      <c r="H102" s="22">
        <v>767.23299999999995</v>
      </c>
      <c r="I102" s="22"/>
      <c r="J102" s="22">
        <v>720.32299999999998</v>
      </c>
      <c r="K102" s="22"/>
      <c r="L102" s="22">
        <v>693.39800000000002</v>
      </c>
      <c r="M102" s="22"/>
      <c r="N102" s="22">
        <v>679.73099999999999</v>
      </c>
    </row>
    <row r="103" spans="1:14" x14ac:dyDescent="0.4">
      <c r="A103" s="20" t="s">
        <v>91</v>
      </c>
      <c r="B103" s="20"/>
      <c r="C103" s="20"/>
      <c r="D103" s="22">
        <v>-157</v>
      </c>
      <c r="E103" s="22"/>
      <c r="F103" s="22">
        <v>-4220</v>
      </c>
      <c r="G103" s="22"/>
      <c r="H103" s="22">
        <v>-4358</v>
      </c>
      <c r="I103" s="22"/>
      <c r="J103" s="22">
        <v>-3964</v>
      </c>
      <c r="K103" s="22"/>
      <c r="L103" s="22">
        <v>-3422</v>
      </c>
      <c r="M103" s="22"/>
      <c r="N103" s="22">
        <v>-3778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0.03</v>
      </c>
      <c r="F105" s="15">
        <f>F67/F94</f>
        <v>1.91</v>
      </c>
      <c r="H105" s="15">
        <f>H67/H94</f>
        <v>2.39</v>
      </c>
      <c r="J105" s="15">
        <f>J67/J94</f>
        <v>2.59</v>
      </c>
      <c r="L105" s="15">
        <f>L67/L94</f>
        <v>1.64</v>
      </c>
      <c r="N105" s="15">
        <f>N67/N94</f>
        <v>2.8</v>
      </c>
    </row>
    <row r="106" spans="1:14" x14ac:dyDescent="0.4">
      <c r="B106" t="s">
        <v>60</v>
      </c>
      <c r="D106" s="15">
        <f>D97/D94</f>
        <v>1.66</v>
      </c>
      <c r="F106" s="15">
        <f>F97/F94</f>
        <v>1.66</v>
      </c>
      <c r="H106" s="15">
        <f>H97/H94</f>
        <v>1.65</v>
      </c>
      <c r="J106" s="15">
        <f>J97/J94</f>
        <v>1.64</v>
      </c>
      <c r="L106" s="15">
        <f>L97/L94</f>
        <v>1.58</v>
      </c>
      <c r="N106" s="15">
        <f>N97/N94</f>
        <v>1.52</v>
      </c>
    </row>
    <row r="107" spans="1:14" x14ac:dyDescent="0.4">
      <c r="B107" t="s">
        <v>61</v>
      </c>
      <c r="D107" s="15">
        <f>D98/D94</f>
        <v>1.66</v>
      </c>
      <c r="F107" s="15">
        <f>F98/F94</f>
        <v>1.66</v>
      </c>
      <c r="H107" s="15">
        <f>H98/H94</f>
        <v>1.65</v>
      </c>
      <c r="J107" s="15">
        <f>J98/J94</f>
        <v>1.625</v>
      </c>
      <c r="L107" s="15">
        <f>L98/L94</f>
        <v>1.5649999999999999</v>
      </c>
      <c r="N107" s="15">
        <f>N98/N94</f>
        <v>1.518</v>
      </c>
    </row>
    <row r="108" spans="1:14" x14ac:dyDescent="0.4">
      <c r="B108" t="s">
        <v>62</v>
      </c>
      <c r="D108" s="15">
        <f>D99/D94</f>
        <v>30.72</v>
      </c>
      <c r="F108" s="15">
        <f>F99/F94</f>
        <v>36.83</v>
      </c>
      <c r="H108" s="15">
        <f>H99/H94</f>
        <v>36.28</v>
      </c>
      <c r="J108" s="15">
        <f>J99/J94</f>
        <v>32.46</v>
      </c>
      <c r="L108" s="15">
        <f>L99/L94</f>
        <v>40.200000000000003</v>
      </c>
      <c r="N108" s="15">
        <f>N99/N94</f>
        <v>39.92</v>
      </c>
    </row>
    <row r="109" spans="1:14" x14ac:dyDescent="0.4">
      <c r="B109" t="s">
        <v>63</v>
      </c>
      <c r="D109" s="15">
        <f>D100/D94</f>
        <v>26.15</v>
      </c>
      <c r="F109" s="15">
        <f>F100/F94</f>
        <v>18.12</v>
      </c>
      <c r="H109" s="15">
        <f>H100/H94</f>
        <v>27.8</v>
      </c>
      <c r="J109" s="15">
        <f>J100/J94</f>
        <v>25.3</v>
      </c>
      <c r="L109" s="15">
        <f>L100/L94</f>
        <v>30.74</v>
      </c>
      <c r="N109" s="15">
        <f>N100/N94</f>
        <v>32.08</v>
      </c>
    </row>
    <row r="110" spans="1:14" x14ac:dyDescent="0.4">
      <c r="B110" t="s">
        <v>64</v>
      </c>
      <c r="D110" s="15">
        <f>D101/D94</f>
        <v>30.06</v>
      </c>
      <c r="F110" s="15">
        <f>F101/F94</f>
        <v>28.2</v>
      </c>
      <c r="H110" s="15">
        <f>H101/H94</f>
        <v>35.880001</v>
      </c>
      <c r="J110" s="15">
        <f>J101/J94</f>
        <v>28.33</v>
      </c>
      <c r="L110" s="15">
        <f>L101/L94</f>
        <v>30.95</v>
      </c>
      <c r="N110" s="15">
        <f>N101/N94</f>
        <v>34.049999999999997</v>
      </c>
    </row>
    <row r="111" spans="1:14" x14ac:dyDescent="0.4">
      <c r="B111" t="s">
        <v>65</v>
      </c>
      <c r="D111" s="16">
        <f>D102*D94</f>
        <v>735.11199999999997</v>
      </c>
      <c r="E111" s="16"/>
      <c r="F111" s="16">
        <f>F102*F94</f>
        <v>768.90700000000004</v>
      </c>
      <c r="G111" s="16"/>
      <c r="H111" s="16">
        <f>H102*H94</f>
        <v>767.23299999999995</v>
      </c>
      <c r="I111" s="16"/>
      <c r="J111" s="16">
        <f>J102*J94</f>
        <v>720.32299999999998</v>
      </c>
      <c r="K111" s="16"/>
      <c r="L111" s="16">
        <f>L102*L94</f>
        <v>693.39800000000002</v>
      </c>
      <c r="M111" s="16"/>
      <c r="N111" s="16">
        <f>N102*N94</f>
        <v>679.73099999999999</v>
      </c>
    </row>
    <row r="112" spans="1:14" x14ac:dyDescent="0.4">
      <c r="B112" t="s">
        <v>66</v>
      </c>
      <c r="D112" s="15">
        <f>ROUND(D68/D111,2)</f>
        <v>18.670000000000002</v>
      </c>
      <c r="F112" s="15">
        <f>ROUND(F68/F111,2)</f>
        <v>17.39</v>
      </c>
      <c r="H112" s="15">
        <f>ROUND(H68/H111,2)</f>
        <v>16.93</v>
      </c>
      <c r="J112" s="15">
        <f>ROUND(J68/J111,2)</f>
        <v>16.18</v>
      </c>
      <c r="L112" s="15">
        <f>ROUND(L68/L111,2)</f>
        <v>15.52</v>
      </c>
      <c r="N112" s="15">
        <f>ROUND(N68/N111,2)</f>
        <v>14.56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9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PUBLIC SERVICE ENTRP GRP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30707</v>
      </c>
      <c r="F8" s="34">
        <f>F78+F79+F81-F103</f>
        <v>32668</v>
      </c>
      <c r="H8" s="34">
        <f>H78+H79+H81-H103</f>
        <v>30686</v>
      </c>
      <c r="J8" s="34">
        <f>J78+J79+J81-J103</f>
        <v>29216</v>
      </c>
      <c r="L8" s="34">
        <f>L78+L79+L81-L103</f>
        <v>27144</v>
      </c>
    </row>
    <row r="9" spans="1:15" x14ac:dyDescent="0.4">
      <c r="B9" t="s">
        <v>5</v>
      </c>
      <c r="D9" s="9">
        <f>D80</f>
        <v>3519</v>
      </c>
      <c r="F9" s="9">
        <f>F80</f>
        <v>1063</v>
      </c>
      <c r="H9" s="9">
        <f>H80</f>
        <v>1115</v>
      </c>
      <c r="J9" s="9">
        <f>J80</f>
        <v>1016</v>
      </c>
      <c r="L9" s="9">
        <f>L80</f>
        <v>542</v>
      </c>
    </row>
    <row r="10" spans="1:15" ht="15.4" thickBot="1" x14ac:dyDescent="0.45">
      <c r="B10" t="s">
        <v>7</v>
      </c>
      <c r="D10" s="10">
        <f>D8+D9</f>
        <v>34226</v>
      </c>
      <c r="F10" s="10">
        <f>F8+F9</f>
        <v>33731</v>
      </c>
      <c r="H10" s="10">
        <f>H8+H9</f>
        <v>31801</v>
      </c>
      <c r="J10" s="10">
        <f>J8+J9</f>
        <v>30232</v>
      </c>
      <c r="L10" s="10">
        <f>L8+L9</f>
        <v>27686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/>
      <c r="E13" s="7" t="s">
        <v>3</v>
      </c>
      <c r="F13" s="30">
        <f>ROUND(AVERAGE(F108:F109)/F105,0)</f>
        <v>13</v>
      </c>
      <c r="G13" s="7" t="s">
        <v>3</v>
      </c>
      <c r="H13" s="30">
        <f>ROUND(AVERAGE(H108:H109)/H105,0)</f>
        <v>17</v>
      </c>
      <c r="I13" s="7" t="s">
        <v>3</v>
      </c>
      <c r="J13" s="30">
        <f>ROUND(AVERAGE(J108:J109)/J105,0)</f>
        <v>18</v>
      </c>
      <c r="K13" s="7" t="s">
        <v>3</v>
      </c>
      <c r="L13" s="30">
        <f>ROUND(AVERAGE(L108:L109)/L105,0)</f>
        <v>15</v>
      </c>
      <c r="M13" s="7" t="s">
        <v>3</v>
      </c>
      <c r="N13" s="30">
        <f>AVERAGE(D13,F13,H13,J13,L13)</f>
        <v>15.75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2.0019999999999998</v>
      </c>
      <c r="E14" s="3"/>
      <c r="F14" s="3">
        <f>ROUND(AVERAGE(F108:F109)/AVERAGE(F112,H112),3)</f>
        <v>1.5720000000000001</v>
      </c>
      <c r="G14" s="3"/>
      <c r="H14" s="3">
        <f>ROUND(AVERAGE(H108:H109)/AVERAGE(H112,J112),3)</f>
        <v>1.9470000000000001</v>
      </c>
      <c r="I14" s="3"/>
      <c r="J14" s="3">
        <f>ROUND(AVERAGE(J108:J109)/AVERAGE(J112,L112),3)</f>
        <v>1.839</v>
      </c>
      <c r="K14" s="3"/>
      <c r="L14" s="3">
        <f>ROUND(AVERAGE(L108:L109)/AVERAGE(L112,N112),3)</f>
        <v>1.7769999999999999</v>
      </c>
      <c r="M14" s="3"/>
      <c r="N14" s="3">
        <f>AVERAGE(D14,F14,H14,J14,L14)</f>
        <v>1.8273999999999997</v>
      </c>
    </row>
    <row r="15" spans="1:15" x14ac:dyDescent="0.4">
      <c r="B15" t="s">
        <v>9</v>
      </c>
      <c r="D15" s="3">
        <f>ROUND(D106/AVERAGE(D108:D109),3)</f>
        <v>3.4000000000000002E-2</v>
      </c>
      <c r="E15" s="3"/>
      <c r="F15" s="3">
        <f>ROUND(F106/AVERAGE(F108:F109),3)</f>
        <v>0.04</v>
      </c>
      <c r="G15" s="3"/>
      <c r="H15" s="3">
        <f>ROUND(H106/AVERAGE(H108:H109),3)</f>
        <v>3.3000000000000002E-2</v>
      </c>
      <c r="I15" s="3"/>
      <c r="J15" s="3">
        <f>ROUND(J106/AVERAGE(J108:J109),3)</f>
        <v>3.5000000000000003E-2</v>
      </c>
      <c r="K15" s="3"/>
      <c r="L15" s="3">
        <f>ROUND(L106/AVERAGE(L108:L109),3)</f>
        <v>3.5999999999999997E-2</v>
      </c>
      <c r="M15" s="3"/>
      <c r="N15" s="3">
        <f>AVERAGE(D15,F15,H15,J15,L15)</f>
        <v>3.5600000000000007E-2</v>
      </c>
    </row>
    <row r="16" spans="1:15" x14ac:dyDescent="0.4">
      <c r="B16" t="s">
        <v>10</v>
      </c>
      <c r="D16" s="3"/>
      <c r="E16" s="3"/>
      <c r="F16" s="3">
        <f>ROUND(F96/F66,3)</f>
        <v>0.52</v>
      </c>
      <c r="G16" s="3"/>
      <c r="H16" s="3">
        <f>ROUND(H96/H66,3)</f>
        <v>0.56100000000000005</v>
      </c>
      <c r="I16" s="3"/>
      <c r="J16" s="3">
        <f>ROUND(J96/J66,3)</f>
        <v>0.63300000000000001</v>
      </c>
      <c r="K16" s="3"/>
      <c r="L16" s="3">
        <f>ROUND(L96/L66,3)</f>
        <v>0.55300000000000005</v>
      </c>
      <c r="M16" s="3"/>
      <c r="N16" s="3">
        <f>AVERAGE(D16,F16,H16,J16,L16)</f>
        <v>0.56674999999999998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0.51800000000000002</v>
      </c>
      <c r="E20" s="3"/>
      <c r="F20" s="3">
        <f>ROUND((+F76+F79)/F8,3)</f>
        <v>0.495</v>
      </c>
      <c r="G20" s="3"/>
      <c r="H20" s="3">
        <f>ROUND((+H76+H79)/H8,3)</f>
        <v>0.49199999999999999</v>
      </c>
      <c r="I20" s="3"/>
      <c r="J20" s="3">
        <f>ROUND((+J76+J79)/J8,3)</f>
        <v>0.495</v>
      </c>
      <c r="K20" s="3"/>
      <c r="L20" s="3">
        <f>ROUND((+L76+L79)/L8,3)</f>
        <v>0.48099999999999998</v>
      </c>
      <c r="M20" s="3"/>
      <c r="N20" s="3">
        <f>AVERAGE(D20,F20,H20,J20,L20)</f>
        <v>0.49619999999999997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3">
        <f>AVERAGE(D21,F21,H21,J21,L21)</f>
        <v>0</v>
      </c>
    </row>
    <row r="22" spans="1:14" ht="17.25" x14ac:dyDescent="0.4">
      <c r="B22" s="32" t="s">
        <v>94</v>
      </c>
      <c r="D22" s="4">
        <f>ROUND((D68-D103)/D8,3)</f>
        <v>0.48199999999999998</v>
      </c>
      <c r="E22" s="3"/>
      <c r="F22" s="4">
        <f>ROUND((F68-F103)/F8,3)</f>
        <v>0.505</v>
      </c>
      <c r="G22" s="3"/>
      <c r="H22" s="4">
        <f>ROUND((H68-H103)/H8,3)</f>
        <v>0.50800000000000001</v>
      </c>
      <c r="I22" s="3"/>
      <c r="J22" s="4">
        <f>ROUND((J68-J103)/J8,3)</f>
        <v>0.505</v>
      </c>
      <c r="K22" s="3"/>
      <c r="L22" s="4">
        <f>ROUND((L68-L103)/L8,3)</f>
        <v>0.51900000000000002</v>
      </c>
      <c r="M22" s="3"/>
      <c r="N22" s="4">
        <f>AVERAGE(D22,F22,H22,J22,L22)</f>
        <v>0.50380000000000003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0.56799999999999995</v>
      </c>
      <c r="E25" s="3"/>
      <c r="F25" s="3">
        <f>ROUND((+F76+F79+F80)/F10,3)</f>
        <v>0.51100000000000001</v>
      </c>
      <c r="G25" s="3"/>
      <c r="H25" s="3">
        <f>ROUND((+H76+H79+H80)/H10,3)</f>
        <v>0.51</v>
      </c>
      <c r="I25" s="3"/>
      <c r="J25" s="3">
        <f>ROUND((+J76+J79+J80)/J10,3)</f>
        <v>0.51200000000000001</v>
      </c>
      <c r="K25" s="3"/>
      <c r="L25" s="3">
        <f>ROUND((+L76+L79+L80)/L10,3)</f>
        <v>0.49199999999999999</v>
      </c>
      <c r="M25" s="3"/>
      <c r="N25" s="3">
        <f>AVERAGE(D25,F25,H25,J25,L25)</f>
        <v>0.51859999999999995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3">
        <f>AVERAGE(D26,F26,H26,J26,L26)</f>
        <v>0</v>
      </c>
    </row>
    <row r="27" spans="1:14" ht="17.25" x14ac:dyDescent="0.4">
      <c r="B27" s="32" t="s">
        <v>94</v>
      </c>
      <c r="D27" s="4">
        <f>ROUND((D68-D103)/D10,3)</f>
        <v>0.432</v>
      </c>
      <c r="E27" s="3"/>
      <c r="F27" s="4">
        <f>ROUND((F68-F103)/F10,3)</f>
        <v>0.48899999999999999</v>
      </c>
      <c r="G27" s="3"/>
      <c r="H27" s="4">
        <f>ROUND((H68-H103)/H10,3)</f>
        <v>0.49</v>
      </c>
      <c r="I27" s="3"/>
      <c r="J27" s="4">
        <f>ROUND((J68-J103)/J10,3)</f>
        <v>0.48799999999999999</v>
      </c>
      <c r="K27" s="3"/>
      <c r="L27" s="4">
        <f>ROUND((L68-L103)/L10,3)</f>
        <v>0.50800000000000001</v>
      </c>
      <c r="M27" s="3"/>
      <c r="N27" s="4">
        <f>AVERAGE(D27,F27,H27,J27,L27)</f>
        <v>0.48139999999999999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/>
      <c r="E30" s="3"/>
      <c r="F30" s="3">
        <f>ROUND(+F66/(((F68-F103)+(H68-H103))/2),3)</f>
        <v>0.11899999999999999</v>
      </c>
      <c r="G30" s="3"/>
      <c r="H30" s="3">
        <f>ROUND(+H66/(((H68-H103)+(J68-J103))/2),3)</f>
        <v>0.112</v>
      </c>
      <c r="I30" s="3"/>
      <c r="J30" s="3">
        <f>ROUND(+J66/(((J68-J103)+(L68-L103))/2),3)</f>
        <v>0.1</v>
      </c>
      <c r="K30" s="3"/>
      <c r="L30" s="3">
        <f>ROUND(+L66/(((L68-L103)+(N68-N103))/2),3)</f>
        <v>0.115</v>
      </c>
      <c r="M30" s="3"/>
      <c r="N30" s="3">
        <f>AVERAGE(D30,F30,H30,J30,L30)</f>
        <v>0.11149999999999999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1.0880000000000001</v>
      </c>
      <c r="E32" s="3"/>
      <c r="F32" s="3">
        <f>ROUND((+F58-F57)/F56,3)</f>
        <v>0.76400000000000001</v>
      </c>
      <c r="G32" s="3"/>
      <c r="H32" s="3">
        <f>ROUND((+H58-H57)/H56,3)</f>
        <v>0.80700000000000005</v>
      </c>
      <c r="I32" s="3"/>
      <c r="J32" s="3">
        <f>ROUND((+J58-J57)/J56,3)</f>
        <v>0.76800000000000002</v>
      </c>
      <c r="K32" s="3"/>
      <c r="L32" s="3">
        <f>ROUND((+L58-L57)/L56,3)</f>
        <v>0.72899999999999998</v>
      </c>
      <c r="M32" s="3"/>
      <c r="N32" s="3">
        <f>AVERAGE(D32,F32,H32,J32,L32)</f>
        <v>0.83120000000000016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/>
      <c r="E35" s="7" t="s">
        <v>3</v>
      </c>
      <c r="F35" s="7">
        <f>ROUND(((+F66+F65+F64+F63+F61+F59+F57)/F61),2)</f>
        <v>4.84</v>
      </c>
      <c r="G35" s="7" t="s">
        <v>3</v>
      </c>
      <c r="H35" s="7">
        <f>ROUND(((+H66+H65+H64+H63+H61+H59+H57)/H61),2)</f>
        <v>4.43</v>
      </c>
      <c r="I35" s="7" t="s">
        <v>3</v>
      </c>
      <c r="J35" s="7">
        <f>ROUND(((+J66+J65+J64+J63+J61+J59+J57)/J61),2)</f>
        <v>4.9000000000000004</v>
      </c>
      <c r="K35" s="7" t="s">
        <v>3</v>
      </c>
      <c r="L35" s="7">
        <f>ROUND(((+L66+L65+L64+L63+L61+L59+L57)/L61),2)</f>
        <v>4.24</v>
      </c>
      <c r="M35" s="7" t="s">
        <v>3</v>
      </c>
      <c r="N35" s="26">
        <f>AVERAGE(D35,F35,H35,J35,L35)</f>
        <v>4.6025</v>
      </c>
      <c r="O35" t="s">
        <v>3</v>
      </c>
    </row>
    <row r="36" spans="1:15" x14ac:dyDescent="0.4">
      <c r="B36" t="s">
        <v>21</v>
      </c>
      <c r="D36" s="7"/>
      <c r="E36" s="7" t="s">
        <v>3</v>
      </c>
      <c r="F36" s="7">
        <f>ROUND(((+F66+F65+F64+F63+F61)/(F61)),2)</f>
        <v>4.18</v>
      </c>
      <c r="G36" s="7" t="s">
        <v>3</v>
      </c>
      <c r="H36" s="7">
        <f>ROUND(((+H66+H65+H64+H63+H61)/(H61)),2)</f>
        <v>3.98</v>
      </c>
      <c r="I36" s="7" t="s">
        <v>3</v>
      </c>
      <c r="J36" s="7">
        <f>ROUND(((+J66+J65+J64+J63+J61)/(J61)),2)</f>
        <v>4.0199999999999996</v>
      </c>
      <c r="K36" s="7" t="s">
        <v>3</v>
      </c>
      <c r="L36" s="7">
        <f>ROUND(((+L66+L65+L64+L63+L61)/(L61)),2)</f>
        <v>5.03</v>
      </c>
      <c r="M36" s="7" t="s">
        <v>3</v>
      </c>
      <c r="N36" s="26">
        <f>AVERAGE(D36,F36,H36,J36,L36)</f>
        <v>4.3025000000000002</v>
      </c>
      <c r="O36" t="s">
        <v>3</v>
      </c>
    </row>
    <row r="37" spans="1:15" x14ac:dyDescent="0.4">
      <c r="B37" t="s">
        <v>14</v>
      </c>
      <c r="D37" s="7"/>
      <c r="E37" s="7" t="s">
        <v>3</v>
      </c>
      <c r="F37" s="7">
        <f>ROUND(((+F66+F65+F64+F63+F61)/(F61+F63+F64+F65)),2)</f>
        <v>4.18</v>
      </c>
      <c r="G37" s="7" t="s">
        <v>3</v>
      </c>
      <c r="H37" s="7">
        <f>ROUND(((+H66+H65+H64+H63+H61)/(H61+H63+H64+H65)),2)</f>
        <v>3.98</v>
      </c>
      <c r="I37" s="7" t="s">
        <v>3</v>
      </c>
      <c r="J37" s="7">
        <f>ROUND(((+J66+J65+J64+J63+J61)/(J61+J63+J64+J65)),2)</f>
        <v>4.0199999999999996</v>
      </c>
      <c r="K37" s="7" t="s">
        <v>3</v>
      </c>
      <c r="L37" s="7">
        <f>ROUND(((+L66+L65+L64+L63+L61)/(L61+L63+L64+L65)),2)</f>
        <v>5.03</v>
      </c>
      <c r="M37" s="7" t="s">
        <v>3</v>
      </c>
      <c r="N37" s="26">
        <f>AVERAGE(D37,F37,H37,J37,L37)</f>
        <v>4.3025000000000002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/>
      <c r="E40" s="7" t="s">
        <v>3</v>
      </c>
      <c r="F40" s="7">
        <f>ROUND(((+F66+F65+F64+F63-F62+F61+F59+F57)/F61),2)</f>
        <v>4.63</v>
      </c>
      <c r="G40" s="7" t="s">
        <v>3</v>
      </c>
      <c r="H40" s="7">
        <f>ROUND(((+H66+H65+H64+H63-H62+H61+H59+H57)/H61),2)</f>
        <v>4.24</v>
      </c>
      <c r="I40" s="7" t="s">
        <v>3</v>
      </c>
      <c r="J40" s="7">
        <f>ROUND(((+J66+J65+J64+J63-J62+J61+J59+J57)/J61),2)</f>
        <v>4.78</v>
      </c>
      <c r="K40" s="7" t="s">
        <v>3</v>
      </c>
      <c r="L40" s="7">
        <f>ROUND(((+L66+L65+L64+L63-L62+L61+L59+L57)/L61),2)</f>
        <v>4.0999999999999996</v>
      </c>
      <c r="M40" s="7" t="s">
        <v>3</v>
      </c>
      <c r="N40" s="26">
        <f>AVERAGE(D40,F40,H40,J40,L40)</f>
        <v>4.4375</v>
      </c>
      <c r="O40" t="s">
        <v>3</v>
      </c>
    </row>
    <row r="41" spans="1:15" x14ac:dyDescent="0.4">
      <c r="B41" t="s">
        <v>21</v>
      </c>
      <c r="D41" s="7"/>
      <c r="E41" s="7" t="s">
        <v>3</v>
      </c>
      <c r="F41" s="7">
        <f>ROUND(((+F66+F65+F64+F63-F62+F61)/F61),2)</f>
        <v>3.97</v>
      </c>
      <c r="G41" s="7" t="s">
        <v>3</v>
      </c>
      <c r="H41" s="7">
        <f>ROUND(((+H66+H65+H64+H63-H62+H61)/H61),2)</f>
        <v>3.79</v>
      </c>
      <c r="I41" s="7" t="s">
        <v>3</v>
      </c>
      <c r="J41" s="7">
        <f>ROUND(((+J66+J65+J64+J63-J62+J61)/J61),2)</f>
        <v>3.91</v>
      </c>
      <c r="K41" s="7" t="s">
        <v>3</v>
      </c>
      <c r="L41" s="7">
        <f>ROUND(((+L66+L65+L64+L63-L62+L61)/L61),2)</f>
        <v>4.88</v>
      </c>
      <c r="M41" s="7" t="s">
        <v>3</v>
      </c>
      <c r="N41" s="26">
        <f>AVERAGE(D41,F41,H41,J41,L41)</f>
        <v>4.1375000000000002</v>
      </c>
      <c r="O41" t="s">
        <v>3</v>
      </c>
    </row>
    <row r="42" spans="1:15" x14ac:dyDescent="0.4">
      <c r="B42" t="s">
        <v>14</v>
      </c>
      <c r="D42" s="7"/>
      <c r="E42" s="7" t="s">
        <v>3</v>
      </c>
      <c r="F42" s="7">
        <f>ROUND(((+F66+F65+F64+F63-F62+F61)/(F61+F63+F64+F65)),2)</f>
        <v>3.97</v>
      </c>
      <c r="G42" s="7" t="s">
        <v>3</v>
      </c>
      <c r="H42" s="7">
        <f>ROUND(((+H66+H65+H64+H63-H62+H61)/(H61+H63+H64+H65)),2)</f>
        <v>3.79</v>
      </c>
      <c r="I42" s="7" t="s">
        <v>3</v>
      </c>
      <c r="J42" s="7">
        <f>ROUND(((+J66+J65+J64+J63-J62+J61)/(J61+J63+J64+J65)),2)</f>
        <v>3.91</v>
      </c>
      <c r="K42" s="7" t="s">
        <v>3</v>
      </c>
      <c r="L42" s="7">
        <f>ROUND(((+L66+L65+L64+L63-L62+L61)/(L61+L63+L64+L65)),2)</f>
        <v>4.88</v>
      </c>
      <c r="M42" s="7" t="s">
        <v>3</v>
      </c>
      <c r="N42" s="26">
        <f>AVERAGE(D42,F42,H42,J42,L42)</f>
        <v>4.1375000000000002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/>
      <c r="E45" s="11"/>
      <c r="F45" s="11">
        <f>ROUND(F62/F66,3)</f>
        <v>6.4000000000000001E-2</v>
      </c>
      <c r="G45" s="11"/>
      <c r="H45" s="11">
        <f>ROUND(H62/H66,3)</f>
        <v>6.4000000000000001E-2</v>
      </c>
      <c r="I45" s="11"/>
      <c r="J45" s="11">
        <f>ROUND(J62/J66,3)</f>
        <v>3.7999999999999999E-2</v>
      </c>
      <c r="K45" s="11"/>
      <c r="L45" s="11">
        <f>ROUND(L62/L66,3)</f>
        <v>3.5999999999999997E-2</v>
      </c>
      <c r="M45" s="3"/>
      <c r="N45" s="3">
        <f t="shared" ref="N45:N50" si="0">AVERAGE(D45,F45,H45,J45,L45)</f>
        <v>5.0500000000000003E-2</v>
      </c>
    </row>
    <row r="46" spans="1:15" x14ac:dyDescent="0.4">
      <c r="B46" t="s">
        <v>17</v>
      </c>
      <c r="D46" s="17">
        <f>ROUND((D57+D59)/(D57+D59+D66+D63+D64+D65),3)</f>
        <v>0.40500000000000003</v>
      </c>
      <c r="E46" s="18"/>
      <c r="F46" s="17">
        <f>ROUND((F57+F59)/(F57+F59+F66+F63+F64+F65),3)</f>
        <v>0.17199999999999999</v>
      </c>
      <c r="G46" s="18"/>
      <c r="H46" s="17">
        <f>ROUND((H57+H59)/(H57+H59+H66+H63+H64+H65),3)</f>
        <v>0.13200000000000001</v>
      </c>
      <c r="I46" s="18"/>
      <c r="J46" s="17">
        <f>ROUND((J57+J59)/(J57+J59+J66+J63+J64+J65),3)</f>
        <v>0.22500000000000001</v>
      </c>
      <c r="K46" s="18"/>
      <c r="L46" s="17">
        <f>ROUND((L57+L59)/(L57+L59+L66+L63+L64+L65),3)</f>
        <v>-0.24099999999999999</v>
      </c>
      <c r="N46" s="3">
        <f t="shared" si="0"/>
        <v>0.1386</v>
      </c>
    </row>
    <row r="47" spans="1:15" ht="17.25" x14ac:dyDescent="0.4">
      <c r="B47" s="33" t="s">
        <v>100</v>
      </c>
      <c r="D47" s="11">
        <f>ROUND(((+D82+D83+D84+D85+D86-D87+D88-D90-D91)/(+D89-D87)),3)</f>
        <v>0.66300000000000003</v>
      </c>
      <c r="E47" s="12"/>
      <c r="F47" s="11">
        <f>ROUND(((+F82+F83+F84+F85+F86-F87+F88-F90-F91)/(+F89-F87)),3)</f>
        <v>0.622</v>
      </c>
      <c r="G47" s="12"/>
      <c r="H47" s="11">
        <f>ROUND(((+H82+H83+H84+H85+H86-H87+H88-H90-H91)/(+H89-H87)),3)</f>
        <v>0.68100000000000005</v>
      </c>
      <c r="I47" s="12"/>
      <c r="J47" s="11">
        <f>ROUND(((+J82+J83+J84+J85+J86-J87+J88-J90-J91)/(+J89-J87)),3)</f>
        <v>0.622</v>
      </c>
      <c r="K47" s="12"/>
      <c r="L47" s="11">
        <f>ROUND(((+L82+L83+L84+L85+L86-L87+L88-L90-L91)/(+L89-L87)),3)</f>
        <v>0.66</v>
      </c>
      <c r="N47" s="3">
        <f t="shared" si="0"/>
        <v>0.64960000000000007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0.155</v>
      </c>
      <c r="E48" s="12"/>
      <c r="F48" s="11">
        <f>ROUND(((+F82+F83+F84+F85+F86-F87+F88)/(AVERAGE(F76,H76)+AVERAGE(F79,H79)+AVERAGE(F80,H80))),3)</f>
        <v>0.16800000000000001</v>
      </c>
      <c r="G48" s="12"/>
      <c r="H48" s="11">
        <f>ROUND(((+H82+H83+H84+H85+H86-H87+H88)/(AVERAGE(H76,J76)+AVERAGE(H79,J79)+AVERAGE(H80,J80))),3)</f>
        <v>0.19600000000000001</v>
      </c>
      <c r="I48" s="12"/>
      <c r="J48" s="11">
        <f>ROUND(((+J82+J83+J84+J85+J86-J87+J88)/(AVERAGE(J76,L76)+AVERAGE(J79,L79)+AVERAGE(J80,L80))),3)</f>
        <v>0.23</v>
      </c>
      <c r="K48" s="12"/>
      <c r="L48" s="11">
        <f>ROUND(((+L82+L83+L84+L85+L86-L87+L88)/(AVERAGE(L76,N76)+AVERAGE(L79,N79)+AVERAGE(L80,N80))),3)</f>
        <v>0.28599999999999998</v>
      </c>
      <c r="N48" s="3">
        <f t="shared" si="0"/>
        <v>0.20699999999999999</v>
      </c>
    </row>
    <row r="49" spans="1:15" ht="17.25" x14ac:dyDescent="0.4">
      <c r="B49" s="33" t="s">
        <v>102</v>
      </c>
      <c r="D49" s="27">
        <f>ROUND(((+D82+D83+D84+D85+D86-D87+D88+D92)/D61),2)</f>
        <v>5.92</v>
      </c>
      <c r="E49" t="s">
        <v>3</v>
      </c>
      <c r="F49" s="27">
        <f>ROUND(((+F82+F83+F84+F85+F86-F87+F88+F92)/F61),2)</f>
        <v>5.63</v>
      </c>
      <c r="G49" t="s">
        <v>3</v>
      </c>
      <c r="H49" s="27">
        <f>ROUND(((+H82+H83+H84+H85+H86-H87+H88+H92)/H61),2)</f>
        <v>6.41</v>
      </c>
      <c r="I49" t="s">
        <v>3</v>
      </c>
      <c r="J49" s="27">
        <f>ROUND(((+J82+J83+J84+J85+J86-J87+J88+J92)/J61),2)</f>
        <v>7.98</v>
      </c>
      <c r="K49" t="s">
        <v>3</v>
      </c>
      <c r="L49" s="27">
        <f>ROUND(((+L82+L83+L84+L85+L86-L87+L88+L92)/L61),2)</f>
        <v>10.26</v>
      </c>
      <c r="M49" t="s">
        <v>3</v>
      </c>
      <c r="N49" s="27">
        <f t="shared" si="0"/>
        <v>7.24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2.75</v>
      </c>
      <c r="E50" t="s">
        <v>3</v>
      </c>
      <c r="F50" s="27">
        <f>ROUND(((+F82+F83+F84+F85+F86-F87+F88-F91)/+F90),2)</f>
        <v>2.83</v>
      </c>
      <c r="G50" t="s">
        <v>3</v>
      </c>
      <c r="H50" s="27">
        <f>ROUND(((+H82+H83+H84+H85+H86-H87+H88-H91)/+H90),2)</f>
        <v>3.27</v>
      </c>
      <c r="I50" t="s">
        <v>3</v>
      </c>
      <c r="J50" s="27">
        <f>ROUND(((+J82+J83+J84+J85+J86-J87+J88-J91)/+J90),2)</f>
        <v>3.67</v>
      </c>
      <c r="K50" t="s">
        <v>3</v>
      </c>
      <c r="L50" s="27">
        <f>ROUND(((+L82+L83+L84+L85+L86-L87+L88-L91)/+L90),2)</f>
        <v>4.18</v>
      </c>
      <c r="M50" t="s">
        <v>3</v>
      </c>
      <c r="N50" s="27">
        <f t="shared" si="0"/>
        <v>3.34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88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9722</v>
      </c>
      <c r="E56" s="22"/>
      <c r="F56" s="22">
        <v>9603</v>
      </c>
      <c r="G56" s="22"/>
      <c r="H56" s="22">
        <v>10076</v>
      </c>
      <c r="I56" s="22"/>
      <c r="J56" s="22">
        <v>9704</v>
      </c>
      <c r="K56" s="22"/>
      <c r="L56" s="22">
        <v>9161</v>
      </c>
      <c r="M56" s="22"/>
      <c r="N56" s="22">
        <v>9208</v>
      </c>
    </row>
    <row r="57" spans="1:15" x14ac:dyDescent="0.4">
      <c r="A57" s="20" t="s">
        <v>23</v>
      </c>
      <c r="B57" s="20"/>
      <c r="C57" s="20"/>
      <c r="D57" s="22">
        <v>-441</v>
      </c>
      <c r="E57" s="22"/>
      <c r="F57" s="22">
        <v>396</v>
      </c>
      <c r="G57" s="22"/>
      <c r="H57" s="22">
        <v>257</v>
      </c>
      <c r="I57" s="22"/>
      <c r="J57" s="22">
        <v>417</v>
      </c>
      <c r="K57" s="22"/>
      <c r="L57" s="22">
        <v>-306</v>
      </c>
      <c r="M57" s="22"/>
      <c r="N57" s="22">
        <v>411</v>
      </c>
    </row>
    <row r="58" spans="1:15" x14ac:dyDescent="0.4">
      <c r="A58" s="20" t="s">
        <v>24</v>
      </c>
      <c r="B58" s="20"/>
      <c r="C58" s="20"/>
      <c r="D58" s="22">
        <f>10578+D57</f>
        <v>10137</v>
      </c>
      <c r="E58" s="22"/>
      <c r="F58" s="22">
        <f>7333+F57</f>
        <v>7729</v>
      </c>
      <c r="G58" s="22"/>
      <c r="H58" s="22">
        <f>8133+H57</f>
        <v>8390</v>
      </c>
      <c r="I58" s="22"/>
      <c r="J58" s="22">
        <v>7866</v>
      </c>
      <c r="K58" s="22"/>
      <c r="L58" s="22">
        <v>6374</v>
      </c>
      <c r="M58" s="22"/>
      <c r="N58" s="22">
        <v>7210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-856-D57+16+194+98+328-298</f>
        <v>-77</v>
      </c>
      <c r="E60" s="22"/>
      <c r="F60" s="22">
        <f>2270-F57+14+253+115+249</f>
        <v>2505</v>
      </c>
      <c r="G60" s="22"/>
      <c r="H60" s="22">
        <f>1943-H57+14+260+125+177</f>
        <v>2262</v>
      </c>
      <c r="I60" s="22"/>
      <c r="J60" s="22">
        <v>1914</v>
      </c>
      <c r="K60" s="22"/>
      <c r="L60" s="22">
        <v>1965</v>
      </c>
      <c r="M60" s="22"/>
      <c r="N60" s="22">
        <v>1272</v>
      </c>
    </row>
    <row r="61" spans="1:15" x14ac:dyDescent="0.4">
      <c r="A61" s="20" t="s">
        <v>27</v>
      </c>
      <c r="B61" s="20"/>
      <c r="C61" s="20"/>
      <c r="D61" s="22">
        <v>571</v>
      </c>
      <c r="E61" s="22"/>
      <c r="F61" s="22">
        <v>600</v>
      </c>
      <c r="G61" s="22"/>
      <c r="H61" s="22">
        <v>569</v>
      </c>
      <c r="I61" s="22"/>
      <c r="J61" s="22">
        <v>476</v>
      </c>
      <c r="K61" s="22"/>
      <c r="L61" s="22">
        <v>391</v>
      </c>
      <c r="M61" s="22"/>
      <c r="N61" s="22">
        <v>385</v>
      </c>
    </row>
    <row r="62" spans="1:15" x14ac:dyDescent="0.4">
      <c r="A62" s="20" t="s">
        <v>28</v>
      </c>
      <c r="B62" s="20"/>
      <c r="C62" s="20"/>
      <c r="D62" s="22">
        <f>93+9</f>
        <v>102</v>
      </c>
      <c r="E62" s="22"/>
      <c r="F62" s="22">
        <f>112+10</f>
        <v>122</v>
      </c>
      <c r="G62" s="22"/>
      <c r="H62" s="22">
        <f>81+27</f>
        <v>108</v>
      </c>
      <c r="I62" s="22"/>
      <c r="J62" s="22">
        <v>54</v>
      </c>
      <c r="K62" s="22"/>
      <c r="L62" s="22">
        <v>56</v>
      </c>
      <c r="M62" s="22"/>
      <c r="N62" s="22">
        <v>49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-648</v>
      </c>
      <c r="E66" s="22"/>
      <c r="F66" s="22">
        <v>1905</v>
      </c>
      <c r="G66" s="22"/>
      <c r="H66" s="22">
        <v>1693</v>
      </c>
      <c r="I66" s="22"/>
      <c r="J66" s="22">
        <v>1438</v>
      </c>
      <c r="K66" s="22"/>
      <c r="L66" s="22">
        <v>1574</v>
      </c>
      <c r="M66" s="22"/>
      <c r="N66" s="22">
        <v>887</v>
      </c>
    </row>
    <row r="67" spans="1:14" x14ac:dyDescent="0.4">
      <c r="A67" s="20" t="s">
        <v>33</v>
      </c>
      <c r="B67" s="20"/>
      <c r="C67" s="20"/>
      <c r="D67" s="22">
        <v>-1.29</v>
      </c>
      <c r="E67" s="22"/>
      <c r="F67" s="22">
        <v>3.78</v>
      </c>
      <c r="G67" s="22"/>
      <c r="H67" s="22">
        <v>3.35</v>
      </c>
      <c r="I67" s="22"/>
      <c r="J67" s="22">
        <v>2.85</v>
      </c>
      <c r="K67" s="22"/>
      <c r="L67" s="22">
        <v>3.12</v>
      </c>
      <c r="M67" s="22"/>
      <c r="N67" s="22">
        <v>1.76</v>
      </c>
    </row>
    <row r="68" spans="1:14" x14ac:dyDescent="0.4">
      <c r="A68" s="20" t="s">
        <v>34</v>
      </c>
      <c r="B68" s="20"/>
      <c r="C68" s="20"/>
      <c r="D68" s="22">
        <v>14438</v>
      </c>
      <c r="E68" s="22"/>
      <c r="F68" s="22">
        <v>15984</v>
      </c>
      <c r="G68" s="22"/>
      <c r="H68" s="22">
        <v>15089</v>
      </c>
      <c r="I68" s="22"/>
      <c r="J68" s="22">
        <v>14377</v>
      </c>
      <c r="K68" s="22"/>
      <c r="L68" s="22">
        <v>13847</v>
      </c>
      <c r="M68" s="22"/>
      <c r="N68" s="22">
        <v>13130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15219</v>
      </c>
      <c r="E76" s="22"/>
      <c r="F76" s="22">
        <v>14496</v>
      </c>
      <c r="G76" s="22"/>
      <c r="H76" s="22">
        <v>13743</v>
      </c>
      <c r="I76" s="22"/>
      <c r="J76" s="22">
        <v>13168</v>
      </c>
      <c r="K76" s="22"/>
      <c r="L76" s="22">
        <v>12068</v>
      </c>
      <c r="M76" s="22"/>
      <c r="N76" s="22">
        <v>10895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29657</v>
      </c>
      <c r="E78" s="22"/>
      <c r="F78" s="22">
        <f>SUM(F68:F77)</f>
        <v>30480</v>
      </c>
      <c r="G78" s="22"/>
      <c r="H78" s="22">
        <f>SUM(H68:H77)</f>
        <v>28832</v>
      </c>
      <c r="I78" s="22"/>
      <c r="J78" s="22">
        <v>27545</v>
      </c>
      <c r="K78" s="22"/>
      <c r="L78" s="22">
        <v>25915</v>
      </c>
      <c r="M78" s="22"/>
      <c r="N78" s="22">
        <v>24025</v>
      </c>
    </row>
    <row r="79" spans="1:14" x14ac:dyDescent="0.4">
      <c r="A79" s="20" t="s">
        <v>45</v>
      </c>
      <c r="B79" s="20"/>
      <c r="C79" s="20"/>
      <c r="D79" s="22">
        <v>700</v>
      </c>
      <c r="E79" s="22"/>
      <c r="F79" s="22">
        <v>1684</v>
      </c>
      <c r="G79" s="22"/>
      <c r="H79" s="22">
        <v>1365</v>
      </c>
      <c r="I79" s="22"/>
      <c r="J79" s="22">
        <v>1294</v>
      </c>
      <c r="K79" s="22"/>
      <c r="L79" s="22">
        <v>1000</v>
      </c>
      <c r="M79" s="22"/>
      <c r="N79" s="22">
        <v>500</v>
      </c>
    </row>
    <row r="80" spans="1:14" x14ac:dyDescent="0.4">
      <c r="A80" s="20" t="s">
        <v>46</v>
      </c>
      <c r="B80" s="20"/>
      <c r="C80" s="20"/>
      <c r="D80" s="22">
        <v>3519</v>
      </c>
      <c r="E80" s="22"/>
      <c r="F80" s="22">
        <v>1063</v>
      </c>
      <c r="G80" s="22"/>
      <c r="H80" s="22">
        <v>1115</v>
      </c>
      <c r="I80" s="22"/>
      <c r="J80" s="22">
        <v>1016</v>
      </c>
      <c r="K80" s="22"/>
      <c r="L80" s="22">
        <v>542</v>
      </c>
      <c r="M80" s="22"/>
      <c r="N80" s="22">
        <v>388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-648</v>
      </c>
      <c r="E82" s="22"/>
      <c r="F82" s="22">
        <v>1905</v>
      </c>
      <c r="G82" s="22"/>
      <c r="H82" s="22">
        <v>1693</v>
      </c>
      <c r="I82" s="22"/>
      <c r="J82" s="22">
        <v>1438</v>
      </c>
      <c r="K82" s="22"/>
      <c r="L82" s="22">
        <v>1574</v>
      </c>
      <c r="M82" s="22"/>
      <c r="N82" s="22">
        <v>887</v>
      </c>
    </row>
    <row r="83" spans="1:14" x14ac:dyDescent="0.4">
      <c r="A83" s="20" t="s">
        <v>49</v>
      </c>
      <c r="B83" s="20"/>
      <c r="C83" s="20"/>
      <c r="D83" s="22">
        <v>1216</v>
      </c>
      <c r="E83" s="22"/>
      <c r="F83" s="22">
        <v>1285</v>
      </c>
      <c r="G83" s="22"/>
      <c r="H83" s="22">
        <v>1248</v>
      </c>
      <c r="I83" s="22"/>
      <c r="J83" s="22">
        <v>1345</v>
      </c>
      <c r="K83" s="22"/>
      <c r="L83" s="22">
        <v>2185</v>
      </c>
      <c r="M83" s="22"/>
      <c r="N83" s="22">
        <v>1679</v>
      </c>
    </row>
    <row r="84" spans="1:14" x14ac:dyDescent="0.4">
      <c r="A84" s="20" t="s">
        <v>50</v>
      </c>
      <c r="B84" s="20"/>
      <c r="C84" s="20"/>
      <c r="D84" s="22">
        <v>187</v>
      </c>
      <c r="E84" s="22"/>
      <c r="F84" s="22">
        <v>184</v>
      </c>
      <c r="G84" s="22"/>
      <c r="H84" s="22">
        <v>178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-817</v>
      </c>
      <c r="E85" s="22"/>
      <c r="F85" s="22">
        <v>139</v>
      </c>
      <c r="G85" s="22"/>
      <c r="H85" s="22">
        <v>180</v>
      </c>
      <c r="I85" s="22"/>
      <c r="J85" s="22">
        <v>568</v>
      </c>
      <c r="K85" s="22"/>
      <c r="L85" s="22">
        <v>-167</v>
      </c>
      <c r="M85" s="22"/>
      <c r="N85" s="22">
        <v>474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2637+298+138-178-11+614-121-271-229-25+45</f>
        <v>2897</v>
      </c>
      <c r="E88" s="22"/>
      <c r="F88" s="22">
        <f>-123+151-105-135+80-106-101-278-18-70</f>
        <v>-705</v>
      </c>
      <c r="G88" s="22"/>
      <c r="H88" s="22">
        <f>402+108-48-14+32-290-108+25-296-39+36</f>
        <v>-192</v>
      </c>
      <c r="I88" s="22"/>
      <c r="J88" s="22">
        <v>-7</v>
      </c>
      <c r="K88" s="22"/>
      <c r="L88" s="22">
        <v>44</v>
      </c>
      <c r="M88" s="22"/>
      <c r="N88" s="22">
        <v>293</v>
      </c>
    </row>
    <row r="89" spans="1:14" x14ac:dyDescent="0.4">
      <c r="A89" s="20" t="s">
        <v>54</v>
      </c>
      <c r="B89" s="20"/>
      <c r="C89" s="20"/>
      <c r="D89" s="22">
        <v>2719</v>
      </c>
      <c r="E89" s="22"/>
      <c r="F89" s="22">
        <v>2923</v>
      </c>
      <c r="G89" s="22"/>
      <c r="H89" s="22">
        <v>3166</v>
      </c>
      <c r="I89" s="22"/>
      <c r="J89" s="22">
        <v>3912</v>
      </c>
      <c r="K89" s="22"/>
      <c r="L89" s="22">
        <v>4190</v>
      </c>
      <c r="M89" s="22"/>
      <c r="N89" s="22">
        <v>4199</v>
      </c>
    </row>
    <row r="90" spans="1:14" x14ac:dyDescent="0.4">
      <c r="A90" s="20" t="s">
        <v>55</v>
      </c>
      <c r="B90" s="20"/>
      <c r="C90" s="20"/>
      <c r="D90" s="22">
        <v>1031</v>
      </c>
      <c r="E90" s="22"/>
      <c r="F90" s="22">
        <v>991</v>
      </c>
      <c r="G90" s="22"/>
      <c r="H90" s="22">
        <v>950</v>
      </c>
      <c r="I90" s="22"/>
      <c r="J90" s="22">
        <v>910</v>
      </c>
      <c r="K90" s="22"/>
      <c r="L90" s="22">
        <v>870</v>
      </c>
      <c r="M90" s="22"/>
      <c r="N90" s="22">
        <v>830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547</v>
      </c>
      <c r="E92" s="22"/>
      <c r="F92" s="22">
        <v>568</v>
      </c>
      <c r="G92" s="22"/>
      <c r="H92" s="22">
        <v>539</v>
      </c>
      <c r="I92" s="22"/>
      <c r="J92" s="22">
        <v>454</v>
      </c>
      <c r="K92" s="22"/>
      <c r="L92" s="22">
        <v>377</v>
      </c>
      <c r="M92" s="22"/>
      <c r="N92" s="22">
        <v>365</v>
      </c>
    </row>
    <row r="93" spans="1:14" x14ac:dyDescent="0.4">
      <c r="A93" s="20" t="s">
        <v>58</v>
      </c>
      <c r="B93" s="20"/>
      <c r="C93" s="20"/>
      <c r="D93" s="22">
        <v>425</v>
      </c>
      <c r="E93" s="22"/>
      <c r="F93" s="22">
        <v>297</v>
      </c>
      <c r="G93" s="22"/>
      <c r="H93" s="22">
        <v>41</v>
      </c>
      <c r="I93" s="22"/>
      <c r="J93" s="22">
        <v>99</v>
      </c>
      <c r="K93" s="22"/>
      <c r="L93" s="22">
        <v>-8</v>
      </c>
      <c r="M93" s="22"/>
      <c r="N93" s="22">
        <v>-245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1031</v>
      </c>
      <c r="E96" s="22"/>
      <c r="F96" s="22">
        <v>991</v>
      </c>
      <c r="G96" s="22"/>
      <c r="H96" s="22">
        <v>950</v>
      </c>
      <c r="I96" s="22"/>
      <c r="J96" s="22">
        <v>910</v>
      </c>
      <c r="K96" s="22"/>
      <c r="L96" s="22">
        <v>870</v>
      </c>
      <c r="M96" s="22"/>
      <c r="N96" s="22">
        <v>830</v>
      </c>
    </row>
    <row r="97" spans="1:14" x14ac:dyDescent="0.4">
      <c r="A97" s="20" t="s">
        <v>60</v>
      </c>
      <c r="B97" s="20"/>
      <c r="C97" s="20"/>
      <c r="D97" s="22">
        <v>2.04</v>
      </c>
      <c r="E97" s="22"/>
      <c r="F97" s="22">
        <v>1.96</v>
      </c>
      <c r="G97" s="22"/>
      <c r="H97" s="22">
        <v>1.88</v>
      </c>
      <c r="I97" s="22"/>
      <c r="J97" s="22">
        <v>1.8</v>
      </c>
      <c r="K97" s="22"/>
      <c r="L97" s="22">
        <v>1.72</v>
      </c>
      <c r="M97" s="22"/>
      <c r="N97" s="22">
        <v>1.64</v>
      </c>
    </row>
    <row r="98" spans="1:14" x14ac:dyDescent="0.4">
      <c r="A98" s="20" t="s">
        <v>61</v>
      </c>
      <c r="B98" s="20"/>
      <c r="C98" s="20"/>
      <c r="D98" s="22">
        <v>2.04</v>
      </c>
      <c r="E98" s="22"/>
      <c r="F98" s="22">
        <v>1.96</v>
      </c>
      <c r="G98" s="22"/>
      <c r="H98" s="22">
        <v>1.88</v>
      </c>
      <c r="I98" s="22"/>
      <c r="J98" s="22">
        <v>1.8</v>
      </c>
      <c r="K98" s="22"/>
      <c r="L98" s="22">
        <v>1.72</v>
      </c>
      <c r="M98" s="22"/>
      <c r="N98" s="22">
        <v>1.64</v>
      </c>
    </row>
    <row r="99" spans="1:14" x14ac:dyDescent="0.4">
      <c r="A99" s="20" t="s">
        <v>62</v>
      </c>
      <c r="B99" s="20"/>
      <c r="C99" s="20"/>
      <c r="D99" s="22">
        <v>67.05</v>
      </c>
      <c r="E99" s="22"/>
      <c r="F99" s="22">
        <v>62.15</v>
      </c>
      <c r="G99" s="22"/>
      <c r="H99" s="22">
        <v>63.88</v>
      </c>
      <c r="I99" s="22"/>
      <c r="J99" s="22">
        <v>56.68</v>
      </c>
      <c r="K99" s="22"/>
      <c r="L99" s="22">
        <v>53.28</v>
      </c>
      <c r="M99" s="22"/>
      <c r="N99" s="22">
        <v>47.41</v>
      </c>
    </row>
    <row r="100" spans="1:14" x14ac:dyDescent="0.4">
      <c r="A100" s="20" t="s">
        <v>63</v>
      </c>
      <c r="B100" s="20"/>
      <c r="C100" s="20"/>
      <c r="D100" s="22">
        <v>53.77</v>
      </c>
      <c r="E100" s="22"/>
      <c r="F100" s="22">
        <v>34.75</v>
      </c>
      <c r="G100" s="22"/>
      <c r="H100" s="22">
        <v>49.97</v>
      </c>
      <c r="I100" s="22"/>
      <c r="J100" s="22">
        <v>46.19</v>
      </c>
      <c r="K100" s="22"/>
      <c r="L100" s="22">
        <v>41.67</v>
      </c>
      <c r="M100" s="22"/>
      <c r="N100" s="22">
        <v>37.85</v>
      </c>
    </row>
    <row r="101" spans="1:14" x14ac:dyDescent="0.4">
      <c r="A101" s="20" t="s">
        <v>64</v>
      </c>
      <c r="B101" s="20"/>
      <c r="C101" s="20"/>
      <c r="D101" s="22">
        <v>66.730002999999996</v>
      </c>
      <c r="E101" s="22"/>
      <c r="F101" s="22">
        <v>58.3</v>
      </c>
      <c r="G101" s="22"/>
      <c r="H101" s="22">
        <v>59.049999</v>
      </c>
      <c r="I101" s="22"/>
      <c r="J101" s="22">
        <v>52.05</v>
      </c>
      <c r="K101" s="22"/>
      <c r="L101" s="22">
        <v>51.5</v>
      </c>
      <c r="M101" s="22"/>
      <c r="N101" s="22">
        <v>43.88</v>
      </c>
    </row>
    <row r="102" spans="1:14" x14ac:dyDescent="0.4">
      <c r="A102" s="20" t="s">
        <v>65</v>
      </c>
      <c r="B102" s="20"/>
      <c r="C102" s="20"/>
      <c r="D102" s="22">
        <f>534-30</f>
        <v>504</v>
      </c>
      <c r="E102" s="22"/>
      <c r="F102" s="22">
        <f>534-30</f>
        <v>504</v>
      </c>
      <c r="G102" s="22"/>
      <c r="H102" s="22">
        <f>534-30</f>
        <v>504</v>
      </c>
      <c r="I102" s="22"/>
      <c r="J102" s="22">
        <v>504</v>
      </c>
      <c r="K102" s="22"/>
      <c r="L102" s="22">
        <v>505</v>
      </c>
      <c r="M102" s="22"/>
      <c r="N102" s="22">
        <v>504.86599999999999</v>
      </c>
    </row>
    <row r="103" spans="1:14" x14ac:dyDescent="0.4">
      <c r="A103" s="20" t="s">
        <v>91</v>
      </c>
      <c r="B103" s="20"/>
      <c r="C103" s="20"/>
      <c r="D103" s="22">
        <v>-350</v>
      </c>
      <c r="E103" s="22"/>
      <c r="F103" s="22">
        <v>-504</v>
      </c>
      <c r="G103" s="22"/>
      <c r="H103" s="22">
        <v>-489</v>
      </c>
      <c r="I103" s="22"/>
      <c r="J103" s="22">
        <v>-377</v>
      </c>
      <c r="K103" s="22"/>
      <c r="L103" s="22">
        <v>-229</v>
      </c>
      <c r="M103" s="22"/>
      <c r="N103" s="22">
        <v>-263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-1.29</v>
      </c>
      <c r="F105" s="15">
        <f>F67/F94</f>
        <v>3.78</v>
      </c>
      <c r="H105" s="15">
        <f>H67/H94</f>
        <v>3.35</v>
      </c>
      <c r="J105" s="15">
        <f>J67/J94</f>
        <v>2.85</v>
      </c>
      <c r="L105" s="15">
        <f>L67/L94</f>
        <v>3.12</v>
      </c>
      <c r="N105" s="15">
        <f>N67/N94</f>
        <v>1.76</v>
      </c>
    </row>
    <row r="106" spans="1:14" x14ac:dyDescent="0.4">
      <c r="B106" t="s">
        <v>60</v>
      </c>
      <c r="D106" s="15">
        <f>D97/D94</f>
        <v>2.04</v>
      </c>
      <c r="F106" s="15">
        <f>F97/F94</f>
        <v>1.96</v>
      </c>
      <c r="H106" s="15">
        <f>H97/H94</f>
        <v>1.88</v>
      </c>
      <c r="J106" s="15">
        <f>J97/J94</f>
        <v>1.8</v>
      </c>
      <c r="L106" s="15">
        <f>L97/L94</f>
        <v>1.72</v>
      </c>
      <c r="N106" s="15">
        <f>N97/N94</f>
        <v>1.64</v>
      </c>
    </row>
    <row r="107" spans="1:14" x14ac:dyDescent="0.4">
      <c r="B107" t="s">
        <v>61</v>
      </c>
      <c r="D107" s="15">
        <f>D98/D94</f>
        <v>2.04</v>
      </c>
      <c r="F107" s="15">
        <f>F98/F94</f>
        <v>1.96</v>
      </c>
      <c r="H107" s="15">
        <f>H98/H94</f>
        <v>1.88</v>
      </c>
      <c r="J107" s="15">
        <f>J98/J94</f>
        <v>1.8</v>
      </c>
      <c r="L107" s="15">
        <f>L98/L94</f>
        <v>1.72</v>
      </c>
      <c r="N107" s="15">
        <f>N98/N94</f>
        <v>1.64</v>
      </c>
    </row>
    <row r="108" spans="1:14" x14ac:dyDescent="0.4">
      <c r="B108" t="s">
        <v>62</v>
      </c>
      <c r="D108" s="15">
        <f>D99/D94</f>
        <v>67.05</v>
      </c>
      <c r="F108" s="15">
        <f>F99/F94</f>
        <v>62.15</v>
      </c>
      <c r="H108" s="15">
        <f>H99/H94</f>
        <v>63.88</v>
      </c>
      <c r="J108" s="15">
        <f>J99/J94</f>
        <v>56.68</v>
      </c>
      <c r="L108" s="15">
        <f>L99/L94</f>
        <v>53.28</v>
      </c>
      <c r="N108" s="15">
        <f>N99/N94</f>
        <v>47.41</v>
      </c>
    </row>
    <row r="109" spans="1:14" x14ac:dyDescent="0.4">
      <c r="B109" t="s">
        <v>63</v>
      </c>
      <c r="D109" s="15">
        <f>D100/D94</f>
        <v>53.77</v>
      </c>
      <c r="F109" s="15">
        <f>F100/F94</f>
        <v>34.75</v>
      </c>
      <c r="H109" s="15">
        <f>H100/H94</f>
        <v>49.97</v>
      </c>
      <c r="J109" s="15">
        <f>J100/J94</f>
        <v>46.19</v>
      </c>
      <c r="L109" s="15">
        <f>L100/L94</f>
        <v>41.67</v>
      </c>
      <c r="N109" s="15">
        <f>N100/N94</f>
        <v>37.85</v>
      </c>
    </row>
    <row r="110" spans="1:14" x14ac:dyDescent="0.4">
      <c r="B110" t="s">
        <v>64</v>
      </c>
      <c r="D110" s="15">
        <f>D101/D94</f>
        <v>66.730002999999996</v>
      </c>
      <c r="F110" s="15">
        <f>F101/F94</f>
        <v>58.3</v>
      </c>
      <c r="H110" s="15">
        <f>H101/H94</f>
        <v>59.049999</v>
      </c>
      <c r="J110" s="15">
        <f>J101/J94</f>
        <v>52.05</v>
      </c>
      <c r="L110" s="15">
        <f>L101/L94</f>
        <v>51.5</v>
      </c>
      <c r="N110" s="15">
        <f>N101/N94</f>
        <v>43.88</v>
      </c>
    </row>
    <row r="111" spans="1:14" x14ac:dyDescent="0.4">
      <c r="B111" t="s">
        <v>65</v>
      </c>
      <c r="D111" s="16">
        <f>D102*D94</f>
        <v>504</v>
      </c>
      <c r="E111" s="16"/>
      <c r="F111" s="16">
        <f>F102*F94</f>
        <v>504</v>
      </c>
      <c r="G111" s="16"/>
      <c r="H111" s="16">
        <f>H102*H94</f>
        <v>504</v>
      </c>
      <c r="I111" s="16"/>
      <c r="J111" s="16">
        <f>J102*J94</f>
        <v>504</v>
      </c>
      <c r="K111" s="16"/>
      <c r="L111" s="16">
        <f>L102*L94</f>
        <v>505</v>
      </c>
      <c r="M111" s="16"/>
      <c r="N111" s="16">
        <f>N102*N94</f>
        <v>504.86599999999999</v>
      </c>
    </row>
    <row r="112" spans="1:14" x14ac:dyDescent="0.4">
      <c r="B112" t="s">
        <v>66</v>
      </c>
      <c r="D112" s="15">
        <f>ROUND(D68/D111,2)</f>
        <v>28.65</v>
      </c>
      <c r="F112" s="15">
        <f>ROUND(F68/F111,2)</f>
        <v>31.71</v>
      </c>
      <c r="H112" s="15">
        <f>ROUND(H68/H111,2)</f>
        <v>29.94</v>
      </c>
      <c r="J112" s="15">
        <f>ROUND(J68/J111,2)</f>
        <v>28.53</v>
      </c>
      <c r="L112" s="15">
        <f>ROUND(L68/L111,2)</f>
        <v>27.42</v>
      </c>
      <c r="N112" s="15">
        <f>ROUND(N68/N111,2)</f>
        <v>26.01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8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SEMPRA ENERGY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48911</v>
      </c>
      <c r="F8" s="34">
        <f>F78+F79+F81-F103</f>
        <v>48755</v>
      </c>
      <c r="H8" s="34">
        <f>H78+H79+H81-H103</f>
        <v>45055</v>
      </c>
      <c r="J8" s="34">
        <f>J78+J79+J81-J103</f>
        <v>43296</v>
      </c>
      <c r="L8" s="34">
        <f>L78+L79+L81-L103</f>
        <v>33638</v>
      </c>
    </row>
    <row r="9" spans="1:15" x14ac:dyDescent="0.4">
      <c r="B9" t="s">
        <v>5</v>
      </c>
      <c r="D9" s="9">
        <f>D80</f>
        <v>3471</v>
      </c>
      <c r="F9" s="9">
        <f>F80</f>
        <v>885</v>
      </c>
      <c r="H9" s="9">
        <f>H80</f>
        <v>3505</v>
      </c>
      <c r="J9" s="9">
        <f>J80</f>
        <v>2079</v>
      </c>
      <c r="L9" s="9">
        <f>L80</f>
        <v>1540</v>
      </c>
    </row>
    <row r="10" spans="1:15" ht="15.4" thickBot="1" x14ac:dyDescent="0.45">
      <c r="B10" t="s">
        <v>7</v>
      </c>
      <c r="D10" s="10">
        <f>D8+D9</f>
        <v>52382</v>
      </c>
      <c r="F10" s="10">
        <f>F8+F9</f>
        <v>49640</v>
      </c>
      <c r="H10" s="10">
        <f>H8+H9</f>
        <v>48560</v>
      </c>
      <c r="J10" s="10">
        <f>J8+J9</f>
        <v>45375</v>
      </c>
      <c r="L10" s="10">
        <f>L8+L9</f>
        <v>35178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32</v>
      </c>
      <c r="E13" s="7" t="s">
        <v>3</v>
      </c>
      <c r="F13" s="30">
        <f>ROUND(AVERAGE(F108:F109)/F105,0)</f>
        <v>19</v>
      </c>
      <c r="G13" s="7" t="s">
        <v>3</v>
      </c>
      <c r="H13" s="30">
        <f>ROUND(AVERAGE(H108:H109)/H105,0)</f>
        <v>21</v>
      </c>
      <c r="I13" s="7" t="s">
        <v>3</v>
      </c>
      <c r="J13" s="30">
        <f>ROUND(AVERAGE(J108:J109)/J105,0)</f>
        <v>33</v>
      </c>
      <c r="K13" s="7" t="s">
        <v>3</v>
      </c>
      <c r="L13" s="30"/>
      <c r="M13" s="7" t="s">
        <v>3</v>
      </c>
      <c r="N13" s="30">
        <f>AVERAGE(D13,F13,H13,J13,L13)</f>
        <v>26.25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1.7390000000000001</v>
      </c>
      <c r="E14" s="3"/>
      <c r="F14" s="3">
        <f>ROUND(AVERAGE(F108:F109)/AVERAGE(F112,H112),3)</f>
        <v>1.9119999999999999</v>
      </c>
      <c r="G14" s="3"/>
      <c r="H14" s="3">
        <f>ROUND(AVERAGE(H108:H109)/AVERAGE(H112,J112),3)</f>
        <v>2.2669999999999999</v>
      </c>
      <c r="I14" s="3"/>
      <c r="J14" s="3">
        <f>ROUND(AVERAGE(J108:J109)/AVERAGE(J112,L112),3)</f>
        <v>2.1739999999999999</v>
      </c>
      <c r="K14" s="3"/>
      <c r="L14" s="3">
        <f>ROUND(AVERAGE(L108:L109)/AVERAGE(L112,N112),3)</f>
        <v>2.1789999999999998</v>
      </c>
      <c r="M14" s="3"/>
      <c r="N14" s="3">
        <f>AVERAGE(D14,F14,H14,J14,L14)</f>
        <v>2.0541999999999998</v>
      </c>
    </row>
    <row r="15" spans="1:15" x14ac:dyDescent="0.4">
      <c r="B15" t="s">
        <v>9</v>
      </c>
      <c r="D15" s="3">
        <f>ROUND(D106/AVERAGE(D108:D109),3)</f>
        <v>3.4000000000000002E-2</v>
      </c>
      <c r="E15" s="3"/>
      <c r="F15" s="3">
        <f>ROUND(F106/AVERAGE(F108:F109),3)</f>
        <v>3.3000000000000002E-2</v>
      </c>
      <c r="G15" s="3"/>
      <c r="H15" s="3">
        <f>ROUND(H106/AVERAGE(H108:H109),3)</f>
        <v>0.03</v>
      </c>
      <c r="I15" s="3"/>
      <c r="J15" s="3">
        <f>ROUND(J106/AVERAGE(J108:J109),3)</f>
        <v>3.1E-2</v>
      </c>
      <c r="K15" s="3"/>
      <c r="L15" s="3">
        <f>ROUND(L106/AVERAGE(L108:L109),3)</f>
        <v>0.03</v>
      </c>
      <c r="M15" s="3"/>
      <c r="N15" s="3">
        <f>AVERAGE(D15,F15,H15,J15,L15)</f>
        <v>3.1600000000000003E-2</v>
      </c>
    </row>
    <row r="16" spans="1:15" x14ac:dyDescent="0.4">
      <c r="B16" t="s">
        <v>10</v>
      </c>
      <c r="D16" s="3">
        <f>ROUND(D96/D66,3)</f>
        <v>1.1000000000000001</v>
      </c>
      <c r="E16" s="3"/>
      <c r="F16" s="3">
        <f>ROUND(F96/F66,3)</f>
        <v>0.63100000000000001</v>
      </c>
      <c r="G16" s="3"/>
      <c r="H16" s="3">
        <f>ROUND(H96/H66,3)</f>
        <v>0.52800000000000002</v>
      </c>
      <c r="I16" s="3"/>
      <c r="J16" s="3"/>
      <c r="K16" s="3"/>
      <c r="L16" s="3"/>
      <c r="M16" s="3"/>
      <c r="N16" s="3">
        <f>AVERAGE(D16,F16,H16,J16,L16)</f>
        <v>0.75300000000000011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0.433</v>
      </c>
      <c r="E20" s="3"/>
      <c r="F20" s="3">
        <f>ROUND((+F76+F79)/F8,3)</f>
        <v>0.47799999999999998</v>
      </c>
      <c r="G20" s="3"/>
      <c r="H20" s="3">
        <f>ROUND((+H76+H79)/H8,3)</f>
        <v>0.495</v>
      </c>
      <c r="I20" s="3"/>
      <c r="J20" s="3">
        <f>ROUND((+J76+J79)/J8,3)</f>
        <v>0.53800000000000003</v>
      </c>
      <c r="K20" s="3"/>
      <c r="L20" s="3">
        <f>ROUND((+L76+L79)/L8,3)</f>
        <v>0.53100000000000003</v>
      </c>
      <c r="M20" s="3"/>
      <c r="N20" s="3">
        <f>AVERAGE(D20,F20,H20,J20,L20)</f>
        <v>0.495</v>
      </c>
    </row>
    <row r="21" spans="1:14" x14ac:dyDescent="0.4">
      <c r="B21" s="31" t="s">
        <v>93</v>
      </c>
      <c r="D21" s="3">
        <f>ROUND((SUM(D69:D75)+D81)/D8,3)</f>
        <v>4.8000000000000001E-2</v>
      </c>
      <c r="E21" s="3"/>
      <c r="F21" s="3">
        <f>ROUND((SUM(F69:F75)+F81)/F8,3)</f>
        <v>9.7000000000000003E-2</v>
      </c>
      <c r="G21" s="3"/>
      <c r="H21" s="3">
        <f>ROUND((SUM(H69:H75)+H81)/H8,3)</f>
        <v>9.1999999999999998E-2</v>
      </c>
      <c r="I21" s="3"/>
      <c r="J21" s="3">
        <f>ROUND((SUM(J69:J75)+J81)/J8,3)</f>
        <v>0.10100000000000001</v>
      </c>
      <c r="K21" s="3"/>
      <c r="L21" s="3">
        <f>ROUND((SUM(L69:L75)+L81)/L8,3)</f>
        <v>7.2999999999999995E-2</v>
      </c>
      <c r="M21" s="3"/>
      <c r="N21" s="3">
        <f>AVERAGE(D21,F21,H21,J21,L21)</f>
        <v>8.2200000000000009E-2</v>
      </c>
    </row>
    <row r="22" spans="1:14" ht="17.25" x14ac:dyDescent="0.4">
      <c r="B22" s="32" t="s">
        <v>94</v>
      </c>
      <c r="D22" s="4">
        <f>ROUND((D68-D103)/D8,3)</f>
        <v>0.52</v>
      </c>
      <c r="E22" s="3"/>
      <c r="F22" s="4">
        <f>ROUND((F68-F103)/F8,3)</f>
        <v>0.42499999999999999</v>
      </c>
      <c r="G22" s="3"/>
      <c r="H22" s="4">
        <f>ROUND((H68-H103)/H8,3)</f>
        <v>0.41299999999999998</v>
      </c>
      <c r="I22" s="3"/>
      <c r="J22" s="4">
        <f>ROUND((J68-J103)/J8,3)</f>
        <v>0.36099999999999999</v>
      </c>
      <c r="K22" s="3"/>
      <c r="L22" s="4">
        <f>ROUND((L68-L103)/L8,3)</f>
        <v>0.39500000000000002</v>
      </c>
      <c r="M22" s="3"/>
      <c r="N22" s="4">
        <f>AVERAGE(D22,F22,H22,J22,L22)</f>
        <v>0.42279999999999995</v>
      </c>
    </row>
    <row r="23" spans="1:14" ht="15.4" thickBot="1" x14ac:dyDescent="0.45">
      <c r="D23" s="5">
        <f>SUM(D20:D22)</f>
        <v>1.0009999999999999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0.999</v>
      </c>
      <c r="M23" s="3"/>
      <c r="N23" s="5">
        <f>AVERAGE(D23,F23,H23,J23,L23)</f>
        <v>0.99999999999999978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0.47</v>
      </c>
      <c r="E25" s="3"/>
      <c r="F25" s="3">
        <f>ROUND((+F76+F79+F80)/F10,3)</f>
        <v>0.48799999999999999</v>
      </c>
      <c r="G25" s="3"/>
      <c r="H25" s="3">
        <f>ROUND((+H76+H79+H80)/H10,3)</f>
        <v>0.53200000000000003</v>
      </c>
      <c r="I25" s="3"/>
      <c r="J25" s="3">
        <f>ROUND((+J76+J79+J80)/J10,3)</f>
        <v>0.55900000000000005</v>
      </c>
      <c r="K25" s="3"/>
      <c r="L25" s="3">
        <f>ROUND((+L76+L79+L80)/L10,3)</f>
        <v>0.55200000000000005</v>
      </c>
      <c r="M25" s="3"/>
      <c r="N25" s="3">
        <f>AVERAGE(D25,F25,H25,J25,L25)</f>
        <v>0.5202</v>
      </c>
    </row>
    <row r="26" spans="1:14" x14ac:dyDescent="0.4">
      <c r="B26" s="31" t="s">
        <v>93</v>
      </c>
      <c r="D26" s="3">
        <f>ROUND((SUM(D69:D75)+D81)/D10,3)</f>
        <v>4.3999999999999997E-2</v>
      </c>
      <c r="E26" s="3"/>
      <c r="F26" s="3">
        <f>ROUND((SUM(F69:F75)+F81)/F10,3)</f>
        <v>9.5000000000000001E-2</v>
      </c>
      <c r="G26" s="3"/>
      <c r="H26" s="3">
        <f>ROUND((SUM(H69:H75)+H81)/H10,3)</f>
        <v>8.5000000000000006E-2</v>
      </c>
      <c r="I26" s="3"/>
      <c r="J26" s="3">
        <f>ROUND((SUM(J69:J75)+J81)/J10,3)</f>
        <v>9.6000000000000002E-2</v>
      </c>
      <c r="K26" s="3"/>
      <c r="L26" s="3">
        <f>ROUND((SUM(L69:L75)+L81)/L10,3)</f>
        <v>7.0000000000000007E-2</v>
      </c>
      <c r="M26" s="3"/>
      <c r="N26" s="3">
        <f>AVERAGE(D26,F26,H26,J26,L26)</f>
        <v>7.8000000000000014E-2</v>
      </c>
    </row>
    <row r="27" spans="1:14" ht="17.25" x14ac:dyDescent="0.4">
      <c r="B27" s="32" t="s">
        <v>94</v>
      </c>
      <c r="D27" s="4">
        <f>ROUND((D68-D103)/D10,3)</f>
        <v>0.48499999999999999</v>
      </c>
      <c r="E27" s="3"/>
      <c r="F27" s="4">
        <f>ROUND((F68-F103)/F10,3)</f>
        <v>0.41799999999999998</v>
      </c>
      <c r="G27" s="3"/>
      <c r="H27" s="4">
        <f>ROUND((H68-H103)/H10,3)</f>
        <v>0.38300000000000001</v>
      </c>
      <c r="I27" s="3"/>
      <c r="J27" s="4">
        <f>ROUND((J68-J103)/J10,3)</f>
        <v>0.34499999999999997</v>
      </c>
      <c r="K27" s="3"/>
      <c r="L27" s="4">
        <f>ROUND((L68-L103)/L10,3)</f>
        <v>0.378</v>
      </c>
      <c r="M27" s="3"/>
      <c r="N27" s="4">
        <f>AVERAGE(D27,F27,H27,J27,L27)</f>
        <v>0.40179999999999999</v>
      </c>
    </row>
    <row r="28" spans="1:14" ht="15.4" thickBot="1" x14ac:dyDescent="0.45">
      <c r="D28" s="5">
        <f>SUM(D25:D27)</f>
        <v>0.999</v>
      </c>
      <c r="E28" s="3"/>
      <c r="F28" s="5">
        <f>SUM(F25:F27)</f>
        <v>1.0009999999999999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5.3999999999999999E-2</v>
      </c>
      <c r="E30" s="3"/>
      <c r="F30" s="3">
        <f>ROUND(+F66/(((F68-F103)+(H68-H103))/2),3)</f>
        <v>9.8000000000000004E-2</v>
      </c>
      <c r="G30" s="3"/>
      <c r="H30" s="3">
        <f>ROUND(+H66/(((H68-H103)+(J68-J103))/2),3)</f>
        <v>0.12</v>
      </c>
      <c r="I30" s="3"/>
      <c r="J30" s="3">
        <f>ROUND(+J66/(((J68-J103)+(L68-L103))/2),3)</f>
        <v>6.4000000000000001E-2</v>
      </c>
      <c r="K30" s="3"/>
      <c r="L30" s="3">
        <f>ROUND(+L66/(((L68-L103)+(N68-N103))/2),3)</f>
        <v>1.9E-2</v>
      </c>
      <c r="M30" s="3"/>
      <c r="N30" s="3">
        <f>AVERAGE(D30,F30,H30,J30,L30)</f>
        <v>7.1000000000000008E-2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0.9</v>
      </c>
      <c r="E32" s="3"/>
      <c r="F32" s="3">
        <f>ROUND((+F58-F57)/F56,3)</f>
        <v>0.77800000000000002</v>
      </c>
      <c r="G32" s="3"/>
      <c r="H32" s="3">
        <f>ROUND((+H58-H57)/H56,3)</f>
        <v>0.66800000000000004</v>
      </c>
      <c r="I32" s="3"/>
      <c r="J32" s="3">
        <f>ROUND((+J58-J57)/J56,3)</f>
        <v>0.77800000000000002</v>
      </c>
      <c r="K32" s="3"/>
      <c r="L32" s="3">
        <f>ROUND((+L58-L57)/L56,3)</f>
        <v>0.79</v>
      </c>
      <c r="M32" s="3"/>
      <c r="N32" s="3">
        <f>AVERAGE(D32,F32,H32,J32,L32)</f>
        <v>0.78280000000000005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2.1800000000000002</v>
      </c>
      <c r="E35" s="7" t="s">
        <v>3</v>
      </c>
      <c r="F35" s="7">
        <f>ROUND(((+F66+F65+F64+F63+F61+F59+F57)/F61),2)</f>
        <v>3.17</v>
      </c>
      <c r="G35" s="7" t="s">
        <v>3</v>
      </c>
      <c r="H35" s="7">
        <f>ROUND(((+H66+H65+H64+H63+H61+H59+H57)/H61),2)</f>
        <v>3.33</v>
      </c>
      <c r="I35" s="7" t="s">
        <v>3</v>
      </c>
      <c r="J35" s="7">
        <f>ROUND(((+J66+J65+J64+J63+J61+J59+J57)/J61),2)</f>
        <v>2.11</v>
      </c>
      <c r="K35" s="7" t="s">
        <v>3</v>
      </c>
      <c r="L35" s="7">
        <f>ROUND(((+L66+L65+L64+L63+L61+L59+L57)/L61),2)</f>
        <v>3.05</v>
      </c>
      <c r="M35" s="7" t="s">
        <v>3</v>
      </c>
      <c r="N35" s="26">
        <f>AVERAGE(D35,F35,H35,J35,L35)</f>
        <v>2.7679999999999998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2.1</v>
      </c>
      <c r="E36" s="7" t="s">
        <v>3</v>
      </c>
      <c r="F36" s="7">
        <f>ROUND(((+F66+F65+F64+F63+F61)/(F61)),2)</f>
        <v>2.94</v>
      </c>
      <c r="G36" s="7" t="s">
        <v>3</v>
      </c>
      <c r="H36" s="7">
        <f>ROUND(((+H66+H65+H64+H63+H61)/(H61)),2)</f>
        <v>3.04</v>
      </c>
      <c r="I36" s="7" t="s">
        <v>3</v>
      </c>
      <c r="J36" s="7">
        <f>ROUND(((+J66+J65+J64+J63+J61)/(J61)),2)</f>
        <v>2.02</v>
      </c>
      <c r="K36" s="7" t="s">
        <v>3</v>
      </c>
      <c r="L36" s="7">
        <f>ROUND(((+L66+L65+L64+L63+L61)/(L61)),2)</f>
        <v>1.34</v>
      </c>
      <c r="M36" s="7" t="s">
        <v>3</v>
      </c>
      <c r="N36" s="26">
        <f>AVERAGE(D36,F36,H36,J36,L36)</f>
        <v>2.2879999999999998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1.99</v>
      </c>
      <c r="E37" s="7" t="s">
        <v>3</v>
      </c>
      <c r="F37" s="7">
        <f>ROUND(((+F66+F65+F64+F63+F61)/(F61+F63+F64+F65)),2)</f>
        <v>2.54</v>
      </c>
      <c r="G37" s="7" t="s">
        <v>3</v>
      </c>
      <c r="H37" s="7">
        <f>ROUND(((+H66+H65+H64+H63+H61)/(H61+H63+H64+H65)),2)</f>
        <v>2.68</v>
      </c>
      <c r="I37" s="7" t="s">
        <v>3</v>
      </c>
      <c r="J37" s="7">
        <f>ROUND(((+J66+J65+J64+J63+J61)/(J61+J63+J64+J65)),2)</f>
        <v>1.8</v>
      </c>
      <c r="K37" s="7" t="s">
        <v>3</v>
      </c>
      <c r="L37" s="7">
        <f>ROUND(((+L66+L65+L64+L63+L61)/(L61+L63+L64+L65)),2)</f>
        <v>1.34</v>
      </c>
      <c r="M37" s="7" t="s">
        <v>3</v>
      </c>
      <c r="N37" s="26">
        <f>AVERAGE(D37,F37,H37,J37,L37)</f>
        <v>2.0700000000000003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</v>
      </c>
      <c r="E40" s="7" t="s">
        <v>3</v>
      </c>
      <c r="F40" s="7">
        <f>ROUND(((+F66+F65+F64+F63-F62+F61+F59+F57)/F61),2)</f>
        <v>2.98</v>
      </c>
      <c r="G40" s="7" t="s">
        <v>3</v>
      </c>
      <c r="H40" s="7">
        <f>ROUND(((+H66+H65+H64+H63-H62+H61+H59+H57)/H61),2)</f>
        <v>3.16</v>
      </c>
      <c r="I40" s="7" t="s">
        <v>3</v>
      </c>
      <c r="J40" s="7">
        <f>ROUND(((+J66+J65+J64+J63-J62+J61+J59+J57)/J61),2)</f>
        <v>1.92</v>
      </c>
      <c r="K40" s="7" t="s">
        <v>3</v>
      </c>
      <c r="L40" s="7">
        <f>ROUND(((+L66+L65+L64+L63-L62+L61+L59+L57)/L61),2)</f>
        <v>2.71</v>
      </c>
      <c r="M40" s="7" t="s">
        <v>3</v>
      </c>
      <c r="N40" s="26">
        <f>AVERAGE(D40,F40,H40,J40,L40)</f>
        <v>2.5539999999999998</v>
      </c>
      <c r="O40" t="s">
        <v>3</v>
      </c>
    </row>
    <row r="41" spans="1:15" x14ac:dyDescent="0.4">
      <c r="B41" t="s">
        <v>21</v>
      </c>
      <c r="D41" s="7">
        <f>ROUND(((+D66+D65+D64+D63-D62+D61)/D61),2)</f>
        <v>1.92</v>
      </c>
      <c r="E41" s="7" t="s">
        <v>3</v>
      </c>
      <c r="F41" s="7">
        <f>ROUND(((+F66+F65+F64+F63-F62+F61)/F61),2)</f>
        <v>2.75</v>
      </c>
      <c r="G41" s="7" t="s">
        <v>3</v>
      </c>
      <c r="H41" s="7">
        <f>ROUND(((+H66+H65+H64+H63-H62+H61)/H61),2)</f>
        <v>2.87</v>
      </c>
      <c r="I41" s="7" t="s">
        <v>3</v>
      </c>
      <c r="J41" s="7">
        <f>ROUND(((+J66+J65+J64+J63-J62+J61)/J61),2)</f>
        <v>1.82</v>
      </c>
      <c r="K41" s="7" t="s">
        <v>3</v>
      </c>
      <c r="L41" s="7">
        <f>ROUND(((+L66+L65+L64+L63-L62+L61)/L61),2)</f>
        <v>1</v>
      </c>
      <c r="M41" s="7" t="s">
        <v>3</v>
      </c>
      <c r="N41" s="26">
        <f>AVERAGE(D41,F41,H41,J41,L41)</f>
        <v>2.0720000000000001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1.82</v>
      </c>
      <c r="E42" s="7" t="s">
        <v>3</v>
      </c>
      <c r="F42" s="7">
        <f>ROUND(((+F66+F65+F64+F63-F62+F61)/(F61+F63+F64+F65)),2)</f>
        <v>2.38</v>
      </c>
      <c r="G42" s="7" t="s">
        <v>3</v>
      </c>
      <c r="H42" s="7">
        <f>ROUND(((+H66+H65+H64+H63-H62+H61)/(H61+H63+H64+H65)),2)</f>
        <v>2.5299999999999998</v>
      </c>
      <c r="I42" s="7" t="s">
        <v>3</v>
      </c>
      <c r="J42" s="7">
        <f>ROUND(((+J66+J65+J64+J63-J62+J61)/(J61+J63+J64+J65)),2)</f>
        <v>1.63</v>
      </c>
      <c r="K42" s="7" t="s">
        <v>3</v>
      </c>
      <c r="L42" s="7">
        <f>ROUND(((+L66+L65+L64+L63-L62+L61)/(L61+L63+L64+L65)),2)</f>
        <v>1</v>
      </c>
      <c r="M42" s="7" t="s">
        <v>3</v>
      </c>
      <c r="N42" s="26">
        <f>AVERAGE(D42,F42,H42,J42,L42)</f>
        <v>1.8719999999999999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0.17299999999999999</v>
      </c>
      <c r="E45" s="11"/>
      <c r="F45" s="11">
        <f>ROUND(F62/F66,3)</f>
        <v>0.105</v>
      </c>
      <c r="G45" s="11"/>
      <c r="H45" s="11">
        <f>ROUND(H62/H66,3)</f>
        <v>8.8999999999999996E-2</v>
      </c>
      <c r="I45" s="11"/>
      <c r="J45" s="11">
        <f>ROUND(J62/J66,3)</f>
        <v>0.219</v>
      </c>
      <c r="K45" s="11"/>
      <c r="L45" s="11"/>
      <c r="M45" s="3"/>
      <c r="N45" s="3">
        <f t="shared" ref="N45:N50" si="0">AVERAGE(D45,F45,H45,J45,L45)</f>
        <v>0.14649999999999999</v>
      </c>
    </row>
    <row r="46" spans="1:15" x14ac:dyDescent="0.4">
      <c r="B46" t="s">
        <v>17</v>
      </c>
      <c r="D46" s="17">
        <f>ROUND((D57+D59)/(D57+D59+D66+D63+D64+D65),3)</f>
        <v>7.0000000000000007E-2</v>
      </c>
      <c r="E46" s="18"/>
      <c r="F46" s="17">
        <f>ROUND((F57+F59)/(F57+F59+F66+F63+F64+F65),3)</f>
        <v>0.106</v>
      </c>
      <c r="G46" s="18"/>
      <c r="H46" s="17">
        <f>ROUND((H57+H59)/(H57+H59+H66+H63+H64+H65),3)</f>
        <v>0.125</v>
      </c>
      <c r="I46" s="18"/>
      <c r="J46" s="17">
        <f>ROUND((J57+J59)/(J57+J59+J66+J63+J64+J65),3)</f>
        <v>8.4000000000000005E-2</v>
      </c>
      <c r="K46" s="18"/>
      <c r="L46" s="17">
        <f>ROUND((L57+L59)/(L57+L59+L66+L63+L64+L65),3)</f>
        <v>0.83199999999999996</v>
      </c>
      <c r="N46" s="3">
        <f t="shared" si="0"/>
        <v>0.24340000000000001</v>
      </c>
    </row>
    <row r="47" spans="1:15" ht="17.25" x14ac:dyDescent="0.4">
      <c r="B47" s="33" t="s">
        <v>100</v>
      </c>
      <c r="D47" s="11">
        <f>ROUND(((+D82+D83+D84+D85+D86-D87+D88-D90-D91)/(+D89-D87)),3)</f>
        <v>0.17699999999999999</v>
      </c>
      <c r="E47" s="12"/>
      <c r="F47" s="11">
        <f>ROUND(((+F82+F83+F84+F85+F86-F87+F88-F90-F91)/(+F89-F87)),3)</f>
        <v>0.42</v>
      </c>
      <c r="G47" s="12"/>
      <c r="H47" s="11">
        <f>ROUND(((+H82+H83+H84+H85+H86-H87+H88-H90-H91)/(+H89-H87)),3)</f>
        <v>0.57299999999999995</v>
      </c>
      <c r="I47" s="12"/>
      <c r="J47" s="11">
        <f>ROUND(((+J82+J83+J84+J85+J86-J87+J88-J90-J91)/(+J89-J87)),3)</f>
        <v>0.79100000000000004</v>
      </c>
      <c r="K47" s="12"/>
      <c r="L47" s="11">
        <f>ROUND(((+L82+L83+L84+L85+L86-L87+L88-L90-L91)/(+L89-L87)),3)</f>
        <v>0.76300000000000001</v>
      </c>
      <c r="N47" s="3">
        <f t="shared" si="0"/>
        <v>0.54479999999999995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9.5000000000000001E-2</v>
      </c>
      <c r="E48" s="12"/>
      <c r="F48" s="11">
        <f>ROUND(((+F82+F83+F84+F85+F86-F87+F88)/(AVERAGE(F76,H76)+AVERAGE(F79,H79)+AVERAGE(F80,H80))),3)</f>
        <v>0.13200000000000001</v>
      </c>
      <c r="G48" s="12"/>
      <c r="H48" s="11">
        <f>ROUND(((+H82+H83+H84+H85+H86-H87+H88)/(AVERAGE(H76,J76)+AVERAGE(H79,J79)+AVERAGE(H80,J80))),3)</f>
        <v>0.127</v>
      </c>
      <c r="I48" s="12"/>
      <c r="J48" s="11">
        <f>ROUND(((+J82+J83+J84+J85+J86-J87+J88)/(AVERAGE(J76,L76)+AVERAGE(J79,L79)+AVERAGE(J80,L80))),3)</f>
        <v>0.17699999999999999</v>
      </c>
      <c r="K48" s="12"/>
      <c r="L48" s="11">
        <f>ROUND(((+L82+L83+L84+L85+L86-L87+L88)/(AVERAGE(L76,N76)+AVERAGE(L79,N79)+AVERAGE(L80,N80))),3)</f>
        <v>0.20599999999999999</v>
      </c>
      <c r="N48" s="3">
        <f t="shared" si="0"/>
        <v>0.14739999999999998</v>
      </c>
    </row>
    <row r="49" spans="1:15" ht="17.25" x14ac:dyDescent="0.4">
      <c r="B49" s="33" t="s">
        <v>102</v>
      </c>
      <c r="D49" s="27">
        <f>ROUND(((+D82+D83+D84+D85+D86-D87+D88+D92)/D61),2)</f>
        <v>2.91</v>
      </c>
      <c r="E49" t="s">
        <v>3</v>
      </c>
      <c r="F49" s="27">
        <f>ROUND(((+F82+F83+F84+F85+F86-F87+F88+F92)/F61),2)</f>
        <v>4.0199999999999996</v>
      </c>
      <c r="G49" t="s">
        <v>3</v>
      </c>
      <c r="H49" s="27">
        <f>ROUND(((+H82+H83+H84+H85+H86-H87+H88+H92)/H61),2)</f>
        <v>4</v>
      </c>
      <c r="I49" t="s">
        <v>3</v>
      </c>
      <c r="J49" s="27">
        <f>ROUND(((+J82+J83+J84+J85+J86-J87+J88+J92)/J61),2)</f>
        <v>4.6399999999999997</v>
      </c>
      <c r="K49" t="s">
        <v>3</v>
      </c>
      <c r="L49" s="27">
        <f>ROUND(((+L82+L83+L84+L85+L86-L87+L88+L92)/L61),2)</f>
        <v>5.87</v>
      </c>
      <c r="M49" t="s">
        <v>3</v>
      </c>
      <c r="N49" s="27">
        <f t="shared" si="0"/>
        <v>4.2880000000000003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1.67</v>
      </c>
      <c r="E50" t="s">
        <v>3</v>
      </c>
      <c r="F50" s="27">
        <f>ROUND(((+F82+F83+F84+F85+F86-F87+F88-F91)/+F90),2)</f>
        <v>2.67</v>
      </c>
      <c r="G50" t="s">
        <v>3</v>
      </c>
      <c r="H50" s="27">
        <f>ROUND(((+H82+H83+H84+H85+H86-H87+H88-H91)/+H90),2)</f>
        <v>3.14</v>
      </c>
      <c r="I50" t="s">
        <v>3</v>
      </c>
      <c r="J50" s="27">
        <f>ROUND(((+J82+J83+J84+J85+J86-J87+J88-J91)/+J90),2)</f>
        <v>4.41</v>
      </c>
      <c r="K50" t="s">
        <v>3</v>
      </c>
      <c r="L50" s="27">
        <f>ROUND(((+L82+L83+L84+L85+L86-L87+L88-L91)/+L90),2)</f>
        <v>4.99</v>
      </c>
      <c r="M50" t="s">
        <v>3</v>
      </c>
      <c r="N50" s="27">
        <f t="shared" si="0"/>
        <v>3.3760000000000003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84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12857</v>
      </c>
      <c r="E56" s="22"/>
      <c r="F56" s="22">
        <v>11370</v>
      </c>
      <c r="G56" s="22"/>
      <c r="H56" s="22">
        <v>10829</v>
      </c>
      <c r="I56" s="22"/>
      <c r="J56" s="22">
        <v>11687</v>
      </c>
      <c r="K56" s="22"/>
      <c r="L56" s="22">
        <v>11207</v>
      </c>
      <c r="M56" s="22"/>
      <c r="N56" s="22">
        <v>10183</v>
      </c>
    </row>
    <row r="57" spans="1:15" x14ac:dyDescent="0.4">
      <c r="A57" s="20" t="s">
        <v>23</v>
      </c>
      <c r="B57" s="20"/>
      <c r="C57" s="20"/>
      <c r="D57" s="22">
        <v>99</v>
      </c>
      <c r="E57" s="22"/>
      <c r="F57" s="22">
        <v>249</v>
      </c>
      <c r="G57" s="22"/>
      <c r="H57" s="22">
        <v>315</v>
      </c>
      <c r="I57" s="22"/>
      <c r="J57" s="22">
        <v>96</v>
      </c>
      <c r="K57" s="22"/>
      <c r="L57" s="22">
        <v>1276</v>
      </c>
      <c r="M57" s="22"/>
      <c r="N57" s="22">
        <v>389</v>
      </c>
    </row>
    <row r="58" spans="1:15" x14ac:dyDescent="0.4">
      <c r="A58" s="20" t="s">
        <v>24</v>
      </c>
      <c r="B58" s="20"/>
      <c r="C58" s="20"/>
      <c r="D58" s="22">
        <f>1597+1010+611+4338+1593+1855+596+3-36+D57</f>
        <v>11666</v>
      </c>
      <c r="E58" s="22"/>
      <c r="F58" s="22">
        <f>925+1187+276+3940+307+1666+543+1+3+F57</f>
        <v>9097</v>
      </c>
      <c r="G58" s="22"/>
      <c r="H58" s="22">
        <f>1139+1188+344+3466+1569+496+43-63-77-87+H57-580-363+164</f>
        <v>7554</v>
      </c>
      <c r="I58" s="22"/>
      <c r="J58" s="22">
        <v>9190</v>
      </c>
      <c r="K58" s="22"/>
      <c r="L58" s="22">
        <v>10133</v>
      </c>
      <c r="M58" s="22"/>
      <c r="N58" s="22">
        <v>8951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219-D57+D61+1343-145</f>
        <v>2516</v>
      </c>
      <c r="E60" s="22"/>
      <c r="F60" s="22">
        <f>1489-F57+F61+1015-162</f>
        <v>3174</v>
      </c>
      <c r="G60" s="22"/>
      <c r="H60" s="22">
        <f>1734-H57+H61+580+363-164</f>
        <v>3275</v>
      </c>
      <c r="I60" s="22"/>
      <c r="J60" s="22">
        <v>2051</v>
      </c>
      <c r="K60" s="22"/>
      <c r="L60" s="22">
        <v>1010</v>
      </c>
      <c r="M60" s="22"/>
      <c r="N60" s="22">
        <v>2072</v>
      </c>
    </row>
    <row r="61" spans="1:15" x14ac:dyDescent="0.4">
      <c r="A61" s="20" t="s">
        <v>27</v>
      </c>
      <c r="B61" s="20"/>
      <c r="C61" s="20"/>
      <c r="D61" s="22">
        <v>1198</v>
      </c>
      <c r="E61" s="22"/>
      <c r="F61" s="22">
        <v>1081</v>
      </c>
      <c r="G61" s="22"/>
      <c r="H61" s="22">
        <v>1077</v>
      </c>
      <c r="I61" s="22"/>
      <c r="J61" s="22">
        <v>1029</v>
      </c>
      <c r="K61" s="22"/>
      <c r="L61" s="22">
        <v>747</v>
      </c>
      <c r="M61" s="22"/>
      <c r="N61" s="22">
        <v>673</v>
      </c>
    </row>
    <row r="62" spans="1:15" x14ac:dyDescent="0.4">
      <c r="A62" s="20" t="s">
        <v>28</v>
      </c>
      <c r="B62" s="20"/>
      <c r="C62" s="20"/>
      <c r="D62" s="22">
        <v>217</v>
      </c>
      <c r="E62" s="22"/>
      <c r="F62" s="22">
        <v>202</v>
      </c>
      <c r="G62" s="22"/>
      <c r="H62" s="22">
        <v>183</v>
      </c>
      <c r="I62" s="22"/>
      <c r="J62" s="22">
        <v>202</v>
      </c>
      <c r="K62" s="22"/>
      <c r="L62" s="22">
        <v>256</v>
      </c>
      <c r="M62" s="22"/>
      <c r="N62" s="22">
        <v>236</v>
      </c>
    </row>
    <row r="63" spans="1:15" x14ac:dyDescent="0.4">
      <c r="A63" s="20" t="s">
        <v>29</v>
      </c>
      <c r="B63" s="20"/>
      <c r="C63" s="20"/>
      <c r="D63" s="22">
        <v>1</v>
      </c>
      <c r="E63" s="22"/>
      <c r="F63" s="22">
        <v>1</v>
      </c>
      <c r="G63" s="22"/>
      <c r="H63" s="22">
        <v>1</v>
      </c>
      <c r="I63" s="22"/>
      <c r="J63" s="22">
        <v>1</v>
      </c>
      <c r="K63" s="22"/>
      <c r="L63" s="22">
        <v>1</v>
      </c>
      <c r="M63" s="22"/>
      <c r="N63" s="22">
        <v>1</v>
      </c>
    </row>
    <row r="64" spans="1:15" x14ac:dyDescent="0.4">
      <c r="A64" s="20" t="s">
        <v>30</v>
      </c>
      <c r="B64" s="20"/>
      <c r="C64" s="20"/>
      <c r="D64" s="22">
        <v>63</v>
      </c>
      <c r="E64" s="22"/>
      <c r="F64" s="22">
        <v>168</v>
      </c>
      <c r="G64" s="22"/>
      <c r="H64" s="22">
        <v>142</v>
      </c>
      <c r="I64" s="22"/>
      <c r="J64" s="22">
        <v>125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1254</v>
      </c>
      <c r="E66" s="22"/>
      <c r="F66" s="22">
        <v>1924</v>
      </c>
      <c r="G66" s="22"/>
      <c r="H66" s="22">
        <v>2055</v>
      </c>
      <c r="I66" s="22"/>
      <c r="J66" s="22">
        <v>924</v>
      </c>
      <c r="K66" s="22"/>
      <c r="L66" s="22">
        <v>256</v>
      </c>
      <c r="M66" s="22"/>
      <c r="N66" s="22">
        <v>1370</v>
      </c>
    </row>
    <row r="67" spans="1:14" x14ac:dyDescent="0.4">
      <c r="A67" s="20" t="s">
        <v>33</v>
      </c>
      <c r="B67" s="20"/>
      <c r="C67" s="20"/>
      <c r="D67" s="22">
        <v>4.03</v>
      </c>
      <c r="E67" s="22"/>
      <c r="F67" s="22">
        <v>6.61</v>
      </c>
      <c r="G67" s="22"/>
      <c r="H67" s="22">
        <v>6.22</v>
      </c>
      <c r="I67" s="22"/>
      <c r="J67" s="22">
        <v>3.45</v>
      </c>
      <c r="K67" s="22"/>
      <c r="L67" s="22">
        <v>1.02</v>
      </c>
      <c r="M67" s="22"/>
      <c r="N67" s="22">
        <v>5.48</v>
      </c>
    </row>
    <row r="68" spans="1:14" x14ac:dyDescent="0.4">
      <c r="A68" s="20" t="s">
        <v>34</v>
      </c>
      <c r="B68" s="20"/>
      <c r="C68" s="20"/>
      <c r="D68" s="22">
        <f>25981-D71</f>
        <v>25092</v>
      </c>
      <c r="E68" s="22"/>
      <c r="F68" s="22">
        <f>23373-F71</f>
        <v>20226</v>
      </c>
      <c r="G68" s="22"/>
      <c r="H68" s="22">
        <f>19929-H71</f>
        <v>17671</v>
      </c>
      <c r="I68" s="22"/>
      <c r="J68" s="22">
        <v>14880</v>
      </c>
      <c r="K68" s="22"/>
      <c r="L68" s="22">
        <v>12670</v>
      </c>
      <c r="M68" s="22"/>
      <c r="N68" s="22">
        <v>12951</v>
      </c>
    </row>
    <row r="69" spans="1:14" x14ac:dyDescent="0.4">
      <c r="A69" s="20" t="s">
        <v>35</v>
      </c>
      <c r="B69" s="20"/>
      <c r="C69" s="20"/>
      <c r="D69" s="22">
        <v>20</v>
      </c>
      <c r="E69" s="22"/>
      <c r="F69" s="22">
        <v>20</v>
      </c>
      <c r="G69" s="22"/>
      <c r="H69" s="22">
        <v>20</v>
      </c>
      <c r="I69" s="22"/>
      <c r="J69" s="22">
        <v>20</v>
      </c>
      <c r="K69" s="22"/>
      <c r="L69" s="22">
        <v>20</v>
      </c>
      <c r="M69" s="22"/>
      <c r="N69" s="22">
        <v>20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f>889</f>
        <v>889</v>
      </c>
      <c r="E71" s="22"/>
      <c r="F71" s="22">
        <f>1693+565+889</f>
        <v>3147</v>
      </c>
      <c r="G71" s="22"/>
      <c r="H71" s="22">
        <f>1693+565</f>
        <v>2258</v>
      </c>
      <c r="I71" s="22"/>
      <c r="J71" s="22">
        <v>2258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1418</v>
      </c>
      <c r="E75" s="22"/>
      <c r="F75" s="22">
        <v>1541</v>
      </c>
      <c r="G75" s="22"/>
      <c r="H75" s="22">
        <v>1856</v>
      </c>
      <c r="I75" s="22"/>
      <c r="J75" s="22">
        <v>2090</v>
      </c>
      <c r="K75" s="22"/>
      <c r="L75" s="22">
        <v>2450</v>
      </c>
      <c r="M75" s="22"/>
      <c r="N75" s="22">
        <v>2270</v>
      </c>
    </row>
    <row r="76" spans="1:14" x14ac:dyDescent="0.4">
      <c r="A76" s="20" t="s">
        <v>42</v>
      </c>
      <c r="B76" s="20"/>
      <c r="C76" s="20"/>
      <c r="D76" s="22">
        <v>21068</v>
      </c>
      <c r="E76" s="22"/>
      <c r="F76" s="22">
        <v>21781</v>
      </c>
      <c r="G76" s="22"/>
      <c r="H76" s="22">
        <v>20785</v>
      </c>
      <c r="I76" s="22"/>
      <c r="J76" s="22">
        <v>21611</v>
      </c>
      <c r="K76" s="22"/>
      <c r="L76" s="22">
        <v>16445</v>
      </c>
      <c r="M76" s="22"/>
      <c r="N76" s="22">
        <v>14429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48487</v>
      </c>
      <c r="E78" s="22"/>
      <c r="F78" s="22">
        <f>SUM(F68:F77)</f>
        <v>46715</v>
      </c>
      <c r="G78" s="22"/>
      <c r="H78" s="22">
        <f>SUM(H68:H77)</f>
        <v>42590</v>
      </c>
      <c r="I78" s="22"/>
      <c r="J78" s="22">
        <v>40859</v>
      </c>
      <c r="K78" s="22"/>
      <c r="L78" s="22">
        <v>31585</v>
      </c>
      <c r="M78" s="22"/>
      <c r="N78" s="22">
        <v>29670</v>
      </c>
    </row>
    <row r="79" spans="1:14" x14ac:dyDescent="0.4">
      <c r="A79" s="20" t="s">
        <v>45</v>
      </c>
      <c r="B79" s="20"/>
      <c r="C79" s="20"/>
      <c r="D79" s="22">
        <v>106</v>
      </c>
      <c r="E79" s="22"/>
      <c r="F79" s="22">
        <v>1540</v>
      </c>
      <c r="G79" s="22"/>
      <c r="H79" s="22">
        <v>1526</v>
      </c>
      <c r="I79" s="22"/>
      <c r="J79" s="22">
        <v>1673</v>
      </c>
      <c r="K79" s="22"/>
      <c r="L79" s="22">
        <v>1427</v>
      </c>
      <c r="M79" s="22"/>
      <c r="N79" s="22">
        <v>913</v>
      </c>
    </row>
    <row r="80" spans="1:14" x14ac:dyDescent="0.4">
      <c r="A80" s="20" t="s">
        <v>46</v>
      </c>
      <c r="B80" s="20"/>
      <c r="C80" s="20"/>
      <c r="D80" s="22">
        <v>3471</v>
      </c>
      <c r="E80" s="22"/>
      <c r="F80" s="22">
        <v>885</v>
      </c>
      <c r="G80" s="22"/>
      <c r="H80" s="22">
        <v>3505</v>
      </c>
      <c r="I80" s="22"/>
      <c r="J80" s="22">
        <v>2079</v>
      </c>
      <c r="K80" s="22"/>
      <c r="L80" s="22">
        <v>1540</v>
      </c>
      <c r="M80" s="22"/>
      <c r="N80" s="22">
        <v>1779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1463</v>
      </c>
      <c r="E82" s="22"/>
      <c r="F82" s="22">
        <v>2255</v>
      </c>
      <c r="G82" s="22"/>
      <c r="H82" s="22">
        <v>1999</v>
      </c>
      <c r="I82" s="22"/>
      <c r="J82" s="22">
        <v>1126</v>
      </c>
      <c r="K82" s="22"/>
      <c r="L82" s="22">
        <v>351</v>
      </c>
      <c r="M82" s="22"/>
      <c r="N82" s="22">
        <v>1519</v>
      </c>
    </row>
    <row r="83" spans="1:14" x14ac:dyDescent="0.4">
      <c r="A83" s="20" t="s">
        <v>49</v>
      </c>
      <c r="B83" s="20"/>
      <c r="C83" s="20"/>
      <c r="D83" s="22">
        <v>1855</v>
      </c>
      <c r="E83" s="22"/>
      <c r="F83" s="22">
        <v>1666</v>
      </c>
      <c r="G83" s="22"/>
      <c r="H83" s="22">
        <v>1569</v>
      </c>
      <c r="I83" s="22"/>
      <c r="J83" s="22">
        <v>1549</v>
      </c>
      <c r="K83" s="22"/>
      <c r="L83" s="22">
        <v>1490</v>
      </c>
      <c r="M83" s="22"/>
      <c r="N83" s="22">
        <v>1312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-78</v>
      </c>
      <c r="E85" s="22"/>
      <c r="F85" s="22">
        <v>159</v>
      </c>
      <c r="G85" s="22"/>
      <c r="H85" s="22">
        <v>189</v>
      </c>
      <c r="I85" s="22"/>
      <c r="J85" s="22">
        <v>-178</v>
      </c>
      <c r="K85" s="22"/>
      <c r="L85" s="22">
        <v>1160</v>
      </c>
      <c r="M85" s="22"/>
      <c r="N85" s="22">
        <v>222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-4</v>
      </c>
      <c r="K86" s="22"/>
      <c r="L86" s="22">
        <v>0</v>
      </c>
      <c r="M86" s="22"/>
      <c r="N86" s="22">
        <v>-5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3-36-1343+18+63+206+167</f>
        <v>-922</v>
      </c>
      <c r="E88" s="22"/>
      <c r="F88" s="22">
        <f>1+3-1015+25+71+132</f>
        <v>-783</v>
      </c>
      <c r="G88" s="22"/>
      <c r="H88" s="22">
        <f>43-63-580+75+26</f>
        <v>-499</v>
      </c>
      <c r="I88" s="22"/>
      <c r="J88" s="22">
        <v>1467</v>
      </c>
      <c r="K88" s="22"/>
      <c r="L88" s="22">
        <v>767</v>
      </c>
      <c r="M88" s="22"/>
      <c r="N88" s="22">
        <v>-44</v>
      </c>
    </row>
    <row r="89" spans="1:14" x14ac:dyDescent="0.4">
      <c r="A89" s="20" t="s">
        <v>54</v>
      </c>
      <c r="B89" s="20"/>
      <c r="C89" s="20"/>
      <c r="D89" s="22">
        <v>5015</v>
      </c>
      <c r="E89" s="22"/>
      <c r="F89" s="22">
        <v>4676</v>
      </c>
      <c r="G89" s="22"/>
      <c r="H89" s="22">
        <v>3708</v>
      </c>
      <c r="I89" s="22"/>
      <c r="J89" s="22">
        <v>3784</v>
      </c>
      <c r="K89" s="22"/>
      <c r="L89" s="22">
        <v>3949</v>
      </c>
      <c r="M89" s="22"/>
      <c r="N89" s="22">
        <v>4214</v>
      </c>
    </row>
    <row r="90" spans="1:14" x14ac:dyDescent="0.4">
      <c r="A90" s="20" t="s">
        <v>55</v>
      </c>
      <c r="B90" s="20"/>
      <c r="C90" s="20"/>
      <c r="D90" s="22">
        <v>1331</v>
      </c>
      <c r="E90" s="22"/>
      <c r="F90" s="22">
        <v>1174</v>
      </c>
      <c r="G90" s="22"/>
      <c r="H90" s="22">
        <v>993</v>
      </c>
      <c r="I90" s="22"/>
      <c r="J90" s="22">
        <v>877</v>
      </c>
      <c r="K90" s="22"/>
      <c r="L90" s="22">
        <v>755</v>
      </c>
      <c r="M90" s="22"/>
      <c r="N90" s="22">
        <v>686</v>
      </c>
    </row>
    <row r="91" spans="1:14" x14ac:dyDescent="0.4">
      <c r="A91" s="20" t="s">
        <v>56</v>
      </c>
      <c r="B91" s="20"/>
      <c r="C91" s="20"/>
      <c r="D91" s="22">
        <v>99</v>
      </c>
      <c r="E91" s="22"/>
      <c r="F91" s="22">
        <v>157</v>
      </c>
      <c r="G91" s="22"/>
      <c r="H91" s="22">
        <v>142</v>
      </c>
      <c r="I91" s="22"/>
      <c r="J91" s="22">
        <v>90</v>
      </c>
      <c r="K91" s="22"/>
      <c r="L91" s="22">
        <v>1</v>
      </c>
      <c r="M91" s="22"/>
      <c r="N91" s="22">
        <v>1</v>
      </c>
    </row>
    <row r="92" spans="1:14" x14ac:dyDescent="0.4">
      <c r="A92" s="20" t="s">
        <v>57</v>
      </c>
      <c r="B92" s="20"/>
      <c r="C92" s="20"/>
      <c r="D92" s="22">
        <v>1163</v>
      </c>
      <c r="E92" s="22"/>
      <c r="F92" s="22">
        <v>1046</v>
      </c>
      <c r="G92" s="22"/>
      <c r="H92" s="22">
        <v>1051</v>
      </c>
      <c r="I92" s="22"/>
      <c r="J92" s="22">
        <v>812</v>
      </c>
      <c r="K92" s="22"/>
      <c r="L92" s="22">
        <v>619</v>
      </c>
      <c r="M92" s="22"/>
      <c r="N92" s="22">
        <v>532</v>
      </c>
    </row>
    <row r="93" spans="1:14" x14ac:dyDescent="0.4">
      <c r="A93" s="20" t="s">
        <v>58</v>
      </c>
      <c r="B93" s="20"/>
      <c r="C93" s="20"/>
      <c r="D93" s="22">
        <v>230</v>
      </c>
      <c r="E93" s="22"/>
      <c r="F93" s="22">
        <v>1385</v>
      </c>
      <c r="G93" s="22"/>
      <c r="H93" s="22">
        <v>254</v>
      </c>
      <c r="I93" s="22"/>
      <c r="J93" s="22">
        <v>174</v>
      </c>
      <c r="K93" s="22"/>
      <c r="L93" s="22">
        <v>172</v>
      </c>
      <c r="M93" s="22"/>
      <c r="N93" s="22">
        <v>160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1379</v>
      </c>
      <c r="E96" s="22"/>
      <c r="F96" s="22">
        <v>1214</v>
      </c>
      <c r="G96" s="22"/>
      <c r="H96" s="22">
        <v>1086</v>
      </c>
      <c r="I96" s="22"/>
      <c r="J96" s="22">
        <v>969</v>
      </c>
      <c r="K96" s="22"/>
      <c r="L96" s="22">
        <v>826</v>
      </c>
      <c r="M96" s="22"/>
      <c r="N96" s="22">
        <v>754</v>
      </c>
    </row>
    <row r="97" spans="1:14" x14ac:dyDescent="0.4">
      <c r="A97" s="20" t="s">
        <v>60</v>
      </c>
      <c r="B97" s="20"/>
      <c r="C97" s="20"/>
      <c r="D97" s="22">
        <v>4.4000000000000004</v>
      </c>
      <c r="E97" s="22"/>
      <c r="F97" s="22">
        <v>4.18</v>
      </c>
      <c r="G97" s="22"/>
      <c r="H97" s="22">
        <v>3.87</v>
      </c>
      <c r="I97" s="22"/>
      <c r="J97" s="22">
        <v>3.58</v>
      </c>
      <c r="K97" s="22"/>
      <c r="L97" s="22">
        <v>3.29</v>
      </c>
      <c r="M97" s="22"/>
      <c r="N97" s="22">
        <v>3.02</v>
      </c>
    </row>
    <row r="98" spans="1:14" x14ac:dyDescent="0.4">
      <c r="A98" s="20" t="s">
        <v>61</v>
      </c>
      <c r="B98" s="20"/>
      <c r="C98" s="20"/>
      <c r="D98" s="22">
        <v>4.4000000000000004</v>
      </c>
      <c r="E98" s="22"/>
      <c r="F98" s="22">
        <v>4.18</v>
      </c>
      <c r="G98" s="22"/>
      <c r="H98" s="22">
        <v>3.87</v>
      </c>
      <c r="I98" s="22"/>
      <c r="J98" s="22">
        <v>3.508</v>
      </c>
      <c r="K98" s="22"/>
      <c r="L98" s="22">
        <v>3.2229999999999999</v>
      </c>
      <c r="M98" s="22"/>
      <c r="N98" s="22">
        <v>2.9649999999999999</v>
      </c>
    </row>
    <row r="99" spans="1:14" x14ac:dyDescent="0.4">
      <c r="A99" s="20" t="s">
        <v>62</v>
      </c>
      <c r="B99" s="20"/>
      <c r="C99" s="20"/>
      <c r="D99" s="22">
        <v>144.93</v>
      </c>
      <c r="E99" s="22"/>
      <c r="F99" s="22">
        <v>161.87</v>
      </c>
      <c r="G99" s="22"/>
      <c r="H99" s="22">
        <v>154.47</v>
      </c>
      <c r="I99" s="22"/>
      <c r="J99" s="22">
        <v>127.22</v>
      </c>
      <c r="K99" s="22"/>
      <c r="L99" s="22">
        <v>122.97499999999999</v>
      </c>
      <c r="M99" s="22"/>
      <c r="N99" s="22">
        <v>114.66</v>
      </c>
    </row>
    <row r="100" spans="1:14" x14ac:dyDescent="0.4">
      <c r="A100" s="20" t="s">
        <v>63</v>
      </c>
      <c r="B100" s="20"/>
      <c r="C100" s="20"/>
      <c r="D100" s="22">
        <v>114.66</v>
      </c>
      <c r="E100" s="22"/>
      <c r="F100" s="22">
        <v>88</v>
      </c>
      <c r="G100" s="22"/>
      <c r="H100" s="22">
        <v>106.09</v>
      </c>
      <c r="I100" s="22"/>
      <c r="J100" s="22">
        <v>100.485</v>
      </c>
      <c r="K100" s="22"/>
      <c r="L100" s="22">
        <v>99.71</v>
      </c>
      <c r="M100" s="22"/>
      <c r="N100" s="22">
        <v>86.72</v>
      </c>
    </row>
    <row r="101" spans="1:14" x14ac:dyDescent="0.4">
      <c r="A101" s="20" t="s">
        <v>64</v>
      </c>
      <c r="B101" s="20"/>
      <c r="C101" s="20"/>
      <c r="D101" s="22">
        <v>132.28</v>
      </c>
      <c r="E101" s="22"/>
      <c r="F101" s="22">
        <v>127.41</v>
      </c>
      <c r="G101" s="22"/>
      <c r="H101" s="22">
        <v>151.479996</v>
      </c>
      <c r="I101" s="22"/>
      <c r="J101" s="22">
        <v>108.19</v>
      </c>
      <c r="K101" s="22"/>
      <c r="L101" s="22">
        <v>106.92</v>
      </c>
      <c r="M101" s="22"/>
      <c r="N101" s="22">
        <v>100.64</v>
      </c>
    </row>
    <row r="102" spans="1:14" x14ac:dyDescent="0.4">
      <c r="A102" s="20" t="s">
        <v>65</v>
      </c>
      <c r="B102" s="20"/>
      <c r="C102" s="20"/>
      <c r="D102" s="22">
        <v>316.919782</v>
      </c>
      <c r="E102" s="22"/>
      <c r="F102" s="22">
        <v>288.47024399999998</v>
      </c>
      <c r="G102" s="22"/>
      <c r="H102" s="22">
        <v>291.71292499999998</v>
      </c>
      <c r="I102" s="22"/>
      <c r="J102" s="22">
        <v>273.77</v>
      </c>
      <c r="K102" s="22"/>
      <c r="L102" s="22">
        <v>251.35900000000001</v>
      </c>
      <c r="M102" s="22"/>
      <c r="N102" s="22">
        <v>250.15299999999999</v>
      </c>
    </row>
    <row r="103" spans="1:14" x14ac:dyDescent="0.4">
      <c r="A103" s="20" t="s">
        <v>91</v>
      </c>
      <c r="B103" s="20"/>
      <c r="C103" s="20"/>
      <c r="D103" s="22">
        <v>-318</v>
      </c>
      <c r="E103" s="22"/>
      <c r="F103" s="22">
        <v>-500</v>
      </c>
      <c r="G103" s="22"/>
      <c r="H103" s="22">
        <v>-939</v>
      </c>
      <c r="I103" s="22"/>
      <c r="J103" s="22">
        <v>-764</v>
      </c>
      <c r="K103" s="22"/>
      <c r="L103" s="22">
        <v>-626</v>
      </c>
      <c r="M103" s="22"/>
      <c r="N103" s="22">
        <v>-748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4.03</v>
      </c>
      <c r="F105" s="15">
        <f>F67/F94</f>
        <v>6.61</v>
      </c>
      <c r="H105" s="15">
        <f>H67/H94</f>
        <v>6.22</v>
      </c>
      <c r="J105" s="15">
        <f>J67/J94</f>
        <v>3.45</v>
      </c>
      <c r="L105" s="15">
        <f>L67/L94</f>
        <v>1.02</v>
      </c>
      <c r="N105" s="15">
        <f>N67/N94</f>
        <v>5.48</v>
      </c>
    </row>
    <row r="106" spans="1:14" x14ac:dyDescent="0.4">
      <c r="B106" t="s">
        <v>60</v>
      </c>
      <c r="D106" s="15">
        <f>D97/D94</f>
        <v>4.4000000000000004</v>
      </c>
      <c r="F106" s="15">
        <f>F97/F94</f>
        <v>4.18</v>
      </c>
      <c r="H106" s="15">
        <f>H97/H94</f>
        <v>3.87</v>
      </c>
      <c r="J106" s="15">
        <f>J97/J94</f>
        <v>3.58</v>
      </c>
      <c r="L106" s="15">
        <f>L97/L94</f>
        <v>3.29</v>
      </c>
      <c r="N106" s="15">
        <f>N97/N94</f>
        <v>3.02</v>
      </c>
    </row>
    <row r="107" spans="1:14" x14ac:dyDescent="0.4">
      <c r="B107" t="s">
        <v>61</v>
      </c>
      <c r="D107" s="15">
        <f>D98/D94</f>
        <v>4.4000000000000004</v>
      </c>
      <c r="F107" s="15">
        <f>F98/F94</f>
        <v>4.18</v>
      </c>
      <c r="H107" s="15">
        <f>H98/H94</f>
        <v>3.87</v>
      </c>
      <c r="J107" s="15">
        <f>J98/J94</f>
        <v>3.508</v>
      </c>
      <c r="L107" s="15">
        <f>L98/L94</f>
        <v>3.2229999999999999</v>
      </c>
      <c r="N107" s="15">
        <f>N98/N94</f>
        <v>2.9649999999999999</v>
      </c>
    </row>
    <row r="108" spans="1:14" x14ac:dyDescent="0.4">
      <c r="B108" t="s">
        <v>62</v>
      </c>
      <c r="D108" s="15">
        <f>D99/D94</f>
        <v>144.93</v>
      </c>
      <c r="F108" s="15">
        <f>F99/F94</f>
        <v>161.87</v>
      </c>
      <c r="H108" s="15">
        <f>H99/H94</f>
        <v>154.47</v>
      </c>
      <c r="J108" s="15">
        <f>J99/J94</f>
        <v>127.22</v>
      </c>
      <c r="L108" s="15">
        <f>L99/L94</f>
        <v>122.97499999999999</v>
      </c>
      <c r="N108" s="15">
        <f>N99/N94</f>
        <v>114.66</v>
      </c>
    </row>
    <row r="109" spans="1:14" x14ac:dyDescent="0.4">
      <c r="B109" t="s">
        <v>63</v>
      </c>
      <c r="D109" s="15">
        <f>D100/D94</f>
        <v>114.66</v>
      </c>
      <c r="F109" s="15">
        <f>F100/F94</f>
        <v>88</v>
      </c>
      <c r="H109" s="15">
        <f>H100/H94</f>
        <v>106.09</v>
      </c>
      <c r="J109" s="15">
        <f>J100/J94</f>
        <v>100.485</v>
      </c>
      <c r="L109" s="15">
        <f>L100/L94</f>
        <v>99.71</v>
      </c>
      <c r="N109" s="15">
        <f>N100/N94</f>
        <v>86.72</v>
      </c>
    </row>
    <row r="110" spans="1:14" x14ac:dyDescent="0.4">
      <c r="B110" t="s">
        <v>64</v>
      </c>
      <c r="D110" s="15">
        <f>D101/D94</f>
        <v>132.28</v>
      </c>
      <c r="F110" s="15">
        <f>F101/F94</f>
        <v>127.41</v>
      </c>
      <c r="H110" s="15">
        <f>H101/H94</f>
        <v>151.479996</v>
      </c>
      <c r="J110" s="15">
        <f>J101/J94</f>
        <v>108.19</v>
      </c>
      <c r="L110" s="15">
        <f>L101/L94</f>
        <v>106.92</v>
      </c>
      <c r="N110" s="15">
        <f>N101/N94</f>
        <v>100.64</v>
      </c>
    </row>
    <row r="111" spans="1:14" x14ac:dyDescent="0.4">
      <c r="B111" t="s">
        <v>65</v>
      </c>
      <c r="D111" s="16">
        <f>D102*D94</f>
        <v>316.919782</v>
      </c>
      <c r="E111" s="16"/>
      <c r="F111" s="16">
        <f>F102*F94</f>
        <v>288.47024399999998</v>
      </c>
      <c r="G111" s="16"/>
      <c r="H111" s="16">
        <f>H102*H94</f>
        <v>291.71292499999998</v>
      </c>
      <c r="I111" s="16"/>
      <c r="J111" s="16">
        <f>J102*J94</f>
        <v>273.77</v>
      </c>
      <c r="K111" s="16"/>
      <c r="L111" s="16">
        <f>L102*L94</f>
        <v>251.35900000000001</v>
      </c>
      <c r="M111" s="16"/>
      <c r="N111" s="16">
        <f>N102*N94</f>
        <v>250.15299999999999</v>
      </c>
    </row>
    <row r="112" spans="1:14" x14ac:dyDescent="0.4">
      <c r="B112" t="s">
        <v>66</v>
      </c>
      <c r="D112" s="15">
        <f>ROUND(D68/D111,2)</f>
        <v>79.17</v>
      </c>
      <c r="F112" s="15">
        <f>ROUND(F68/F111,2)</f>
        <v>70.11</v>
      </c>
      <c r="H112" s="15">
        <f>ROUND(H68/H111,2)</f>
        <v>60.58</v>
      </c>
      <c r="J112" s="15">
        <f>ROUND(J68/J111,2)</f>
        <v>54.35</v>
      </c>
      <c r="L112" s="15">
        <f>ROUND(L68/L111,2)</f>
        <v>50.41</v>
      </c>
      <c r="N112" s="15">
        <f>ROUND(N68/N111,2)</f>
        <v>51.77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1"/>
  <dimension ref="A1:P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SOUTHERN CO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85081</v>
      </c>
      <c r="F8" s="34">
        <f>F78+F79+F81-F103</f>
        <v>81500</v>
      </c>
      <c r="H8" s="34">
        <f>H78+H79+H81-H103</f>
        <v>77158</v>
      </c>
      <c r="J8" s="34">
        <f>J78+J79+J81-J103</f>
        <v>73467</v>
      </c>
      <c r="L8" s="34">
        <f>L78+L79+L81-L103</f>
        <v>74395</v>
      </c>
    </row>
    <row r="9" spans="1:15" x14ac:dyDescent="0.4">
      <c r="B9" t="s">
        <v>5</v>
      </c>
      <c r="D9" s="9">
        <f>D80</f>
        <v>1440</v>
      </c>
      <c r="F9" s="9">
        <f>F80</f>
        <v>609</v>
      </c>
      <c r="H9" s="9">
        <f>H80</f>
        <v>2055</v>
      </c>
      <c r="J9" s="9">
        <f>J80</f>
        <v>2915</v>
      </c>
      <c r="L9" s="9">
        <f>L80</f>
        <v>2439</v>
      </c>
    </row>
    <row r="10" spans="1:15" ht="15.4" thickBot="1" x14ac:dyDescent="0.45">
      <c r="B10" t="s">
        <v>7</v>
      </c>
      <c r="D10" s="10">
        <f>D8+D9</f>
        <v>86521</v>
      </c>
      <c r="F10" s="10">
        <f>F8+F9</f>
        <v>82109</v>
      </c>
      <c r="H10" s="10">
        <f>H8+H9</f>
        <v>79213</v>
      </c>
      <c r="J10" s="10">
        <f>J8+J9</f>
        <v>76382</v>
      </c>
      <c r="L10" s="10">
        <f>L8+L9</f>
        <v>76834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28</v>
      </c>
      <c r="E13" s="7" t="s">
        <v>3</v>
      </c>
      <c r="F13" s="30">
        <f>ROUND(AVERAGE(F108:F109)/F105,0)</f>
        <v>19</v>
      </c>
      <c r="G13" s="7" t="s">
        <v>3</v>
      </c>
      <c r="H13" s="30">
        <f>ROUND(AVERAGE(H108:H109)/H105,0)</f>
        <v>12</v>
      </c>
      <c r="I13" s="7" t="s">
        <v>3</v>
      </c>
      <c r="J13" s="30">
        <f>ROUND(AVERAGE(J108:J109)/J105,0)</f>
        <v>21</v>
      </c>
      <c r="K13" s="7" t="s">
        <v>3</v>
      </c>
      <c r="L13" s="30"/>
      <c r="M13" s="7" t="s">
        <v>3</v>
      </c>
      <c r="N13" s="30">
        <f>AVERAGE(D13,F13,H13,J13,L13)</f>
        <v>20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2.379</v>
      </c>
      <c r="E14" s="3"/>
      <c r="F14" s="3">
        <f>ROUND(AVERAGE(F108:F109)/AVERAGE(F112,H112),3)</f>
        <v>2.15</v>
      </c>
      <c r="G14" s="3"/>
      <c r="H14" s="3">
        <f>ROUND(AVERAGE(H108:H109)/AVERAGE(H112,J112),3)</f>
        <v>2.15</v>
      </c>
      <c r="I14" s="3"/>
      <c r="J14" s="3">
        <f>ROUND(AVERAGE(J108:J109)/AVERAGE(J112,L112),3)</f>
        <v>1.917</v>
      </c>
      <c r="K14" s="3"/>
      <c r="L14" s="3">
        <f>ROUND(AVERAGE(L108:L109)/AVERAGE(L112,N112),3)</f>
        <v>2.0459999999999998</v>
      </c>
      <c r="M14" s="3"/>
      <c r="N14" s="3">
        <f>AVERAGE(D14,F14,H14,J14,L14)</f>
        <v>2.1284000000000001</v>
      </c>
    </row>
    <row r="15" spans="1:15" x14ac:dyDescent="0.4">
      <c r="B15" t="s">
        <v>9</v>
      </c>
      <c r="D15" s="3">
        <f>ROUND(D106/AVERAGE(D108:D109),3)</f>
        <v>4.2000000000000003E-2</v>
      </c>
      <c r="E15" s="3"/>
      <c r="F15" s="3">
        <f>ROUND(F106/AVERAGE(F108:F109),3)</f>
        <v>4.4999999999999998E-2</v>
      </c>
      <c r="G15" s="3"/>
      <c r="H15" s="3">
        <f>ROUND(H106/AVERAGE(H108:H109),3)</f>
        <v>4.5999999999999999E-2</v>
      </c>
      <c r="I15" s="3"/>
      <c r="J15" s="3">
        <f>ROUND(J106/AVERAGE(J108:J109),3)</f>
        <v>5.1999999999999998E-2</v>
      </c>
      <c r="K15" s="3"/>
      <c r="L15" s="3">
        <f>ROUND(L106/AVERAGE(L108:L109),3)</f>
        <v>4.5999999999999999E-2</v>
      </c>
      <c r="M15" s="3"/>
      <c r="N15" s="3">
        <f>AVERAGE(D15,F15,H15,J15,L15)</f>
        <v>4.6199999999999998E-2</v>
      </c>
    </row>
    <row r="16" spans="1:15" x14ac:dyDescent="0.4">
      <c r="B16" t="s">
        <v>10</v>
      </c>
      <c r="D16" s="3">
        <f>ROUND(D96/D66,3)</f>
        <v>1.1599999999999999</v>
      </c>
      <c r="E16" s="3"/>
      <c r="F16" s="3">
        <f>ROUND(F96/F66,3)</f>
        <v>0.86099999999999999</v>
      </c>
      <c r="G16" s="3"/>
      <c r="H16" s="3">
        <f>ROUND(H96/H66,3)</f>
        <v>0.54200000000000004</v>
      </c>
      <c r="I16" s="3"/>
      <c r="J16" s="3">
        <f>ROUND(J96/J66,3)</f>
        <v>1.089</v>
      </c>
      <c r="K16" s="3"/>
      <c r="L16" s="3"/>
      <c r="M16" s="3"/>
      <c r="N16" s="3">
        <f>AVERAGE(D16,F16,H16,J16,L16)</f>
        <v>0.91299999999999992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0.61399999999999999</v>
      </c>
      <c r="E20" s="3"/>
      <c r="F20" s="3">
        <f>ROUND((+F76+F79)/F8,3)</f>
        <v>0.59599999999999997</v>
      </c>
      <c r="G20" s="3"/>
      <c r="H20" s="3">
        <f>ROUND((+H76+H79)/H8,3)</f>
        <v>0.57999999999999996</v>
      </c>
      <c r="I20" s="3"/>
      <c r="J20" s="3">
        <f>ROUND((+J76+J79)/J8,3)</f>
        <v>0.59799999999999998</v>
      </c>
      <c r="K20" s="3"/>
      <c r="L20" s="3">
        <f>ROUND((+L76+L79)/L8,3)</f>
        <v>0.65</v>
      </c>
      <c r="M20" s="3"/>
      <c r="N20" s="3">
        <f>AVERAGE(D20,F20,H20,J20,L20)</f>
        <v>0.60759999999999992</v>
      </c>
    </row>
    <row r="21" spans="1:14" x14ac:dyDescent="0.4">
      <c r="B21" s="31" t="s">
        <v>93</v>
      </c>
      <c r="D21" s="3">
        <f>ROUND((SUM(D69:D75)+D81)/D8,3)</f>
        <v>5.5E-2</v>
      </c>
      <c r="E21" s="3"/>
      <c r="F21" s="3">
        <f>ROUND((SUM(F69:F75)+F81)/F8,3)</f>
        <v>5.6000000000000001E-2</v>
      </c>
      <c r="G21" s="3"/>
      <c r="H21" s="3">
        <f>ROUND((SUM(H69:H75)+H81)/H8,3)</f>
        <v>5.8999999999999997E-2</v>
      </c>
      <c r="I21" s="3"/>
      <c r="J21" s="3">
        <f>ROUND((SUM(J69:J75)+J81)/J8,3)</f>
        <v>6.3E-2</v>
      </c>
      <c r="K21" s="3"/>
      <c r="L21" s="3">
        <f>ROUND((SUM(L69:L75)+L81)/L8,3)</f>
        <v>2.3E-2</v>
      </c>
      <c r="M21" s="3"/>
      <c r="N21" s="3">
        <f>AVERAGE(D21,F21,H21,J21,L21)</f>
        <v>5.1200000000000002E-2</v>
      </c>
    </row>
    <row r="22" spans="1:14" ht="17.25" x14ac:dyDescent="0.4">
      <c r="B22" s="32" t="s">
        <v>94</v>
      </c>
      <c r="D22" s="4">
        <f>ROUND((D68-D103)/D8,3)</f>
        <v>0.33</v>
      </c>
      <c r="E22" s="3"/>
      <c r="F22" s="4">
        <f>ROUND((F68-F103)/F8,3)</f>
        <v>0.34799999999999998</v>
      </c>
      <c r="G22" s="3"/>
      <c r="H22" s="4">
        <f>ROUND((H68-H103)/H8,3)</f>
        <v>0.36099999999999999</v>
      </c>
      <c r="I22" s="3"/>
      <c r="J22" s="4">
        <f>ROUND((J68-J103)/J8,3)</f>
        <v>0.33900000000000002</v>
      </c>
      <c r="K22" s="3"/>
      <c r="L22" s="4">
        <f>ROUND((L68-L103)/L8,3)</f>
        <v>0.32700000000000001</v>
      </c>
      <c r="M22" s="3"/>
      <c r="N22" s="4">
        <f>AVERAGE(D22,F22,H22,J22,L22)</f>
        <v>0.34099999999999997</v>
      </c>
    </row>
    <row r="23" spans="1:14" ht="15.4" thickBot="1" x14ac:dyDescent="0.45">
      <c r="D23" s="5">
        <f>SUM(D20:D22)</f>
        <v>0.99900000000000011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0.99980000000000013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0.621</v>
      </c>
      <c r="E25" s="3"/>
      <c r="F25" s="3">
        <f>ROUND((+F76+F79+F80)/F10,3)</f>
        <v>0.59899999999999998</v>
      </c>
      <c r="G25" s="3"/>
      <c r="H25" s="3">
        <f>ROUND((+H76+H79+H80)/H10,3)</f>
        <v>0.59099999999999997</v>
      </c>
      <c r="I25" s="3"/>
      <c r="J25" s="3">
        <f>ROUND((+J76+J79+J80)/J10,3)</f>
        <v>0.61299999999999999</v>
      </c>
      <c r="K25" s="3"/>
      <c r="L25" s="3">
        <f>ROUND((+L76+L79+L80)/L10,3)</f>
        <v>0.66100000000000003</v>
      </c>
      <c r="M25" s="3"/>
      <c r="N25" s="3">
        <f>AVERAGE(D25,F25,H25,J25,L25)</f>
        <v>0.61699999999999999</v>
      </c>
    </row>
    <row r="26" spans="1:14" x14ac:dyDescent="0.4">
      <c r="B26" s="31" t="s">
        <v>93</v>
      </c>
      <c r="D26" s="3">
        <f>ROUND((SUM(D69:D75)+D81)/D10,3)</f>
        <v>5.3999999999999999E-2</v>
      </c>
      <c r="E26" s="3"/>
      <c r="F26" s="3">
        <f>ROUND((SUM(F69:F75)+F81)/F10,3)</f>
        <v>5.5E-2</v>
      </c>
      <c r="G26" s="3"/>
      <c r="H26" s="3">
        <f>ROUND((SUM(H69:H75)+H81)/H10,3)</f>
        <v>5.7000000000000002E-2</v>
      </c>
      <c r="I26" s="3"/>
      <c r="J26" s="3">
        <f>ROUND((SUM(J69:J75)+J81)/J10,3)</f>
        <v>0.06</v>
      </c>
      <c r="K26" s="3"/>
      <c r="L26" s="3">
        <f>ROUND((SUM(L69:L75)+L81)/L10,3)</f>
        <v>2.1999999999999999E-2</v>
      </c>
      <c r="M26" s="3"/>
      <c r="N26" s="3">
        <f>AVERAGE(D26,F26,H26,J26,L26)</f>
        <v>4.9599999999999998E-2</v>
      </c>
    </row>
    <row r="27" spans="1:14" ht="17.25" x14ac:dyDescent="0.4">
      <c r="B27" s="32" t="s">
        <v>94</v>
      </c>
      <c r="D27" s="4">
        <f>ROUND((D68-D103)/D10,3)</f>
        <v>0.32500000000000001</v>
      </c>
      <c r="E27" s="3"/>
      <c r="F27" s="4">
        <f>ROUND((F68-F103)/F10,3)</f>
        <v>0.34499999999999997</v>
      </c>
      <c r="G27" s="3"/>
      <c r="H27" s="4">
        <f>ROUND((H68-H103)/H10,3)</f>
        <v>0.35099999999999998</v>
      </c>
      <c r="I27" s="3"/>
      <c r="J27" s="4">
        <f>ROUND((J68-J103)/J10,3)</f>
        <v>0.32600000000000001</v>
      </c>
      <c r="K27" s="3"/>
      <c r="L27" s="4">
        <f>ROUND((L68-L103)/L10,3)</f>
        <v>0.317</v>
      </c>
      <c r="M27" s="3"/>
      <c r="N27" s="4">
        <f>AVERAGE(D27,F27,H27,J27,L27)</f>
        <v>0.33279999999999998</v>
      </c>
    </row>
    <row r="28" spans="1:14" ht="15.4" thickBot="1" x14ac:dyDescent="0.45">
      <c r="D28" s="5">
        <f>SUM(D25:D27)</f>
        <v>1</v>
      </c>
      <c r="E28" s="3"/>
      <c r="F28" s="5">
        <f>SUM(F25:F27)</f>
        <v>0.999</v>
      </c>
      <c r="G28" s="3"/>
      <c r="H28" s="5">
        <f>SUM(H25:H27)</f>
        <v>0.999</v>
      </c>
      <c r="I28" s="3"/>
      <c r="J28" s="5">
        <f>SUM(J25:J27)</f>
        <v>0.99900000000000011</v>
      </c>
      <c r="K28" s="3"/>
      <c r="L28" s="5">
        <f>SUM(L25:L27)</f>
        <v>1</v>
      </c>
      <c r="M28" s="3"/>
      <c r="N28" s="5">
        <f>AVERAGE(D28,F28,H28,J28,L28)</f>
        <v>0.99939999999999996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8.5000000000000006E-2</v>
      </c>
      <c r="E30" s="3"/>
      <c r="F30" s="3">
        <f>ROUND(+F66/(((F68-F103)+(H68-H103))/2),3)</f>
        <v>0.111</v>
      </c>
      <c r="G30" s="3"/>
      <c r="H30" s="3">
        <f>ROUND(+H66/(((H68-H103)+(J68-J103))/2),3)</f>
        <v>0.18</v>
      </c>
      <c r="I30" s="3"/>
      <c r="J30" s="3">
        <f>ROUND(+J66/(((J68-J103)+(L68-L103))/2),3)</f>
        <v>0.09</v>
      </c>
      <c r="K30" s="3"/>
      <c r="L30" s="3">
        <f>ROUND(+L66/(((L68-L103)+(N68-N103))/2),3)</f>
        <v>3.4000000000000002E-2</v>
      </c>
      <c r="M30" s="3"/>
      <c r="N30" s="3">
        <f>AVERAGE(D30,F30,H30,J30,L30)</f>
        <v>0.1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0.84</v>
      </c>
      <c r="E32" s="3"/>
      <c r="F32" s="3">
        <f>ROUND((+F58-F57)/F56,3)</f>
        <v>0.76</v>
      </c>
      <c r="G32" s="3"/>
      <c r="H32" s="3">
        <f>ROUND((+H58-H57)/H56,3)</f>
        <v>0.63900000000000001</v>
      </c>
      <c r="I32" s="3"/>
      <c r="J32" s="3">
        <f>ROUND((+J58-J57)/J56,3)</f>
        <v>0.77600000000000002</v>
      </c>
      <c r="K32" s="3"/>
      <c r="L32" s="3">
        <f>ROUND((+L58-L57)/L56,3)</f>
        <v>0.74</v>
      </c>
      <c r="M32" s="3"/>
      <c r="N32" s="3">
        <f>AVERAGE(D32,F32,H32,J32,L32)</f>
        <v>0.751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2.46</v>
      </c>
      <c r="E35" s="7" t="s">
        <v>3</v>
      </c>
      <c r="F35" s="7">
        <f>ROUND(((+F66+F65+F64+F63+F61+F59+F57)/F61),2)</f>
        <v>2.94</v>
      </c>
      <c r="G35" s="7" t="s">
        <v>3</v>
      </c>
      <c r="H35" s="7">
        <f>ROUND(((+H66+H65+H64+H63+H61+H59+H57)/H61),2)</f>
        <v>4.7699999999999996</v>
      </c>
      <c r="I35" s="7" t="s">
        <v>3</v>
      </c>
      <c r="J35" s="7">
        <f>ROUND(((+J66+J65+J64+J63+J61+J59+J57)/J61),2)</f>
        <v>2.41</v>
      </c>
      <c r="K35" s="7" t="s">
        <v>3</v>
      </c>
      <c r="L35" s="7">
        <f>ROUND(((+L66+L65+L64+L63+L61+L59+L57)/L61),2)</f>
        <v>1.57</v>
      </c>
      <c r="M35" s="7" t="s">
        <v>3</v>
      </c>
      <c r="N35" s="26">
        <f>AVERAGE(D35,F35,H35,J35,L35)</f>
        <v>2.83</v>
      </c>
      <c r="O35" t="s">
        <v>3</v>
      </c>
    </row>
    <row r="36" spans="1:15" x14ac:dyDescent="0.4">
      <c r="B36" t="s">
        <v>21</v>
      </c>
      <c r="D36" s="7">
        <f>ROUND(((+D66+D65+D64+D63+D61)/(D61)),2)</f>
        <v>2.31</v>
      </c>
      <c r="E36" s="7" t="s">
        <v>3</v>
      </c>
      <c r="F36" s="7">
        <f>ROUND(((+F66+F65+F64+F63+F61)/(F61)),2)</f>
        <v>2.72</v>
      </c>
      <c r="G36" s="7" t="s">
        <v>3</v>
      </c>
      <c r="H36" s="7">
        <f>ROUND(((+H66+H65+H64+H63+H61)/(H61)),2)</f>
        <v>3.74</v>
      </c>
      <c r="I36" s="7" t="s">
        <v>3</v>
      </c>
      <c r="J36" s="7">
        <f>ROUND(((+J66+J65+J64+J63+J61)/(J61)),2)</f>
        <v>2.17</v>
      </c>
      <c r="K36" s="7" t="s">
        <v>3</v>
      </c>
      <c r="L36" s="7">
        <f>ROUND(((+L66+L65+L64+L63+L61)/(L61)),2)</f>
        <v>1.49</v>
      </c>
      <c r="M36" s="7" t="s">
        <v>3</v>
      </c>
      <c r="N36" s="26">
        <f>AVERAGE(D36,F36,H36,J36,L36)</f>
        <v>2.4859999999999998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2.29</v>
      </c>
      <c r="E37" s="7" t="s">
        <v>3</v>
      </c>
      <c r="F37" s="7">
        <f>ROUND(((+F66+F65+F64+F63+F61)/(F61+F63+F64+F65)),2)</f>
        <v>2.7</v>
      </c>
      <c r="G37" s="7" t="s">
        <v>3</v>
      </c>
      <c r="H37" s="7">
        <f>ROUND(((+H66+H65+H64+H63+H61)/(H61+H63+H64+H65)),2)</f>
        <v>3.71</v>
      </c>
      <c r="I37" s="7" t="s">
        <v>3</v>
      </c>
      <c r="J37" s="7">
        <f>ROUND(((+J66+J65+J64+J63+J61)/(J61+J63+J64+J65)),2)</f>
        <v>2.15</v>
      </c>
      <c r="K37" s="7" t="s">
        <v>3</v>
      </c>
      <c r="L37" s="7">
        <f>ROUND(((+L66+L65+L64+L63+L61)/(L61+L63+L64+L65)),2)</f>
        <v>1.46</v>
      </c>
      <c r="M37" s="7" t="s">
        <v>3</v>
      </c>
      <c r="N37" s="26">
        <f>AVERAGE(D37,F37,H37,J37,L37)</f>
        <v>2.4619999999999997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2.2999999999999998</v>
      </c>
      <c r="E40" s="7" t="s">
        <v>3</v>
      </c>
      <c r="F40" s="7">
        <f>ROUND(((+F66+F65+F64+F63-F62+F61+F59+F57)/F61),2)</f>
        <v>2.81</v>
      </c>
      <c r="G40" s="7" t="s">
        <v>3</v>
      </c>
      <c r="H40" s="7">
        <f>ROUND(((+H66+H65+H64+H63-H62+H61+H59+H57)/H61),2)</f>
        <v>4.66</v>
      </c>
      <c r="I40" s="7" t="s">
        <v>3</v>
      </c>
      <c r="J40" s="7">
        <f>ROUND(((+J66+J65+J64+J63-J62+J61+J59+J57)/J61),2)</f>
        <v>2.2999999999999998</v>
      </c>
      <c r="K40" s="7" t="s">
        <v>3</v>
      </c>
      <c r="L40" s="7">
        <f>ROUND(((+L66+L65+L64+L63-L62+L61+L59+L57)/L61),2)</f>
        <v>1.43</v>
      </c>
      <c r="M40" s="7" t="s">
        <v>3</v>
      </c>
      <c r="N40" s="26">
        <f>AVERAGE(D40,F40,H40,J40,L40)</f>
        <v>2.7</v>
      </c>
      <c r="O40" t="s">
        <v>3</v>
      </c>
    </row>
    <row r="41" spans="1:15" x14ac:dyDescent="0.4">
      <c r="B41" t="s">
        <v>21</v>
      </c>
      <c r="D41" s="7">
        <f>ROUND(((+D66+D65+D64+D63-D62+D61)/D61),2)</f>
        <v>2.16</v>
      </c>
      <c r="E41" s="7" t="s">
        <v>3</v>
      </c>
      <c r="F41" s="7">
        <f>ROUND(((+F66+F65+F64+F63-F62+F61)/F61),2)</f>
        <v>2.59</v>
      </c>
      <c r="G41" s="7" t="s">
        <v>3</v>
      </c>
      <c r="H41" s="7">
        <f>ROUND(((+H66+H65+H64+H63-H62+H61)/H61),2)</f>
        <v>3.62</v>
      </c>
      <c r="I41" s="7" t="s">
        <v>3</v>
      </c>
      <c r="J41" s="7">
        <f>ROUND(((+J66+J65+J64+J63-J62+J61)/J61),2)</f>
        <v>2.06</v>
      </c>
      <c r="K41" s="7" t="s">
        <v>3</v>
      </c>
      <c r="L41" s="7">
        <f>ROUND(((+L66+L65+L64+L63-L62+L61)/L61),2)</f>
        <v>1.35</v>
      </c>
      <c r="M41" s="7" t="s">
        <v>3</v>
      </c>
      <c r="N41" s="26">
        <f>AVERAGE(D41,F41,H41,J41,L41)</f>
        <v>2.3560000000000003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2.14</v>
      </c>
      <c r="E42" s="7" t="s">
        <v>3</v>
      </c>
      <c r="F42" s="7">
        <f>ROUND(((+F66+F65+F64+F63-F62+F61)/(F61+F63+F64+F65)),2)</f>
        <v>2.57</v>
      </c>
      <c r="G42" s="7" t="s">
        <v>3</v>
      </c>
      <c r="H42" s="7">
        <f>ROUND(((+H66+H65+H64+H63-H62+H61)/(H61+H63+H64+H65)),2)</f>
        <v>3.59</v>
      </c>
      <c r="I42" s="7" t="s">
        <v>3</v>
      </c>
      <c r="J42" s="7">
        <f>ROUND(((+J66+J65+J64+J63-J62+J61)/(J61+J63+J64+J65)),2)</f>
        <v>2.04</v>
      </c>
      <c r="K42" s="7" t="s">
        <v>3</v>
      </c>
      <c r="L42" s="7">
        <f>ROUND(((+L66+L65+L64+L63-L62+L61)/(L61+L63+L64+L65)),2)</f>
        <v>1.33</v>
      </c>
      <c r="M42" s="7" t="s">
        <v>3</v>
      </c>
      <c r="N42" s="26">
        <f>AVERAGE(D42,F42,H42,J42,L42)</f>
        <v>2.3340000000000001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0.11799999999999999</v>
      </c>
      <c r="E45" s="11"/>
      <c r="F45" s="11">
        <f>ROUND(F62/F66,3)</f>
        <v>7.3999999999999996E-2</v>
      </c>
      <c r="G45" s="11"/>
      <c r="H45" s="11">
        <f>ROUND(H62/H66,3)</f>
        <v>4.2999999999999997E-2</v>
      </c>
      <c r="I45" s="11"/>
      <c r="J45" s="11">
        <f>ROUND(J62/J66,3)</f>
        <v>9.4E-2</v>
      </c>
      <c r="K45" s="11"/>
      <c r="L45" s="11">
        <f>ROUND(L62/L66,3)</f>
        <v>0.29599999999999999</v>
      </c>
      <c r="M45" s="3"/>
      <c r="N45" s="3">
        <f t="shared" ref="N45:N50" si="0">AVERAGE(D45,F45,H45,J45,L45)</f>
        <v>0.125</v>
      </c>
    </row>
    <row r="46" spans="1:15" x14ac:dyDescent="0.4">
      <c r="B46" t="s">
        <v>17</v>
      </c>
      <c r="D46" s="17">
        <f>ROUND((D57+D59)/(D57+D59+D66+D63+D64+D65),3)</f>
        <v>0.1</v>
      </c>
      <c r="E46" s="18"/>
      <c r="F46" s="17">
        <f>ROUND((F57+F59)/(F57+F59+F66+F63+F64+F65),3)</f>
        <v>0.111</v>
      </c>
      <c r="G46" s="18"/>
      <c r="H46" s="17">
        <f>ROUND((H57+H59)/(H57+H59+H66+H63+H64+H65),3)</f>
        <v>0.27400000000000002</v>
      </c>
      <c r="I46" s="18"/>
      <c r="J46" s="17">
        <f>ROUND((J57+J59)/(J57+J59+J66+J63+J64+J65),3)</f>
        <v>0.16700000000000001</v>
      </c>
      <c r="K46" s="18"/>
      <c r="L46" s="17">
        <f>ROUND((L57+L59)/(L57+L59+L66+L63+L64+L65),3)</f>
        <v>0.13900000000000001</v>
      </c>
      <c r="N46" s="3">
        <f t="shared" si="0"/>
        <v>0.15820000000000001</v>
      </c>
    </row>
    <row r="47" spans="1:15" ht="17.25" x14ac:dyDescent="0.4">
      <c r="B47" s="33" t="s">
        <v>100</v>
      </c>
      <c r="D47" s="11">
        <f>ROUND(((+D82+D83+D84+D85+D86-D87+D88-D90-D91)/(+D89-D87)),3)</f>
        <v>0.59199999999999997</v>
      </c>
      <c r="E47" s="12"/>
      <c r="F47" s="11">
        <f>ROUND(((+F82+F83+F84+F85+F86-F87+F88-F90-F91)/(+F89-F87)),3)</f>
        <v>0.60299999999999998</v>
      </c>
      <c r="G47" s="12"/>
      <c r="H47" s="11">
        <f>ROUND(((+H82+H83+H84+H85+H86-H87+H88-H90-H91)/(+H89-H87)),3)</f>
        <v>0.41099999999999998</v>
      </c>
      <c r="I47" s="12"/>
      <c r="J47" s="11">
        <f>ROUND(((+J82+J83+J84+J85+J86-J87+J88-J90-J91)/(+J89-J87)),3)</f>
        <v>0.56799999999999995</v>
      </c>
      <c r="K47" s="12"/>
      <c r="L47" s="11">
        <f>ROUND(((+L82+L83+L84+L85+L86-L87+L88-L90-L91)/(+L89-L87)),3)</f>
        <v>0.68</v>
      </c>
      <c r="N47" s="3">
        <f t="shared" si="0"/>
        <v>0.57079999999999997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0.13500000000000001</v>
      </c>
      <c r="E48" s="12"/>
      <c r="F48" s="11">
        <f>ROUND(((+F82+F83+F84+F85+F86-F87+F88)/(AVERAGE(F76,H76)+AVERAGE(F79,H79)+AVERAGE(F80,H80))),3)</f>
        <v>0.14799999999999999</v>
      </c>
      <c r="G48" s="12"/>
      <c r="H48" s="11">
        <f>ROUND(((+H82+H83+H84+H85+H86-H87+H88)/(AVERAGE(H76,J76)+AVERAGE(H79,J79)+AVERAGE(H80,J80))),3)</f>
        <v>0.12</v>
      </c>
      <c r="I48" s="12"/>
      <c r="J48" s="11">
        <f>ROUND(((+J82+J83+J84+J85+J86-J87+J88)/(AVERAGE(J76,L76)+AVERAGE(J79,L79)+AVERAGE(J80,L80))),3)</f>
        <v>0.14299999999999999</v>
      </c>
      <c r="K48" s="12"/>
      <c r="L48" s="11">
        <f>ROUND(((+L82+L83+L84+L85+L86-L87+L88)/(AVERAGE(L76,N76)+AVERAGE(L79,N79)+AVERAGE(L80,N80))),3)</f>
        <v>0.14899999999999999</v>
      </c>
      <c r="N48" s="3">
        <f t="shared" si="0"/>
        <v>0.13900000000000001</v>
      </c>
    </row>
    <row r="49" spans="1:15" ht="17.25" x14ac:dyDescent="0.4">
      <c r="B49" s="33" t="s">
        <v>102</v>
      </c>
      <c r="D49" s="27">
        <f>ROUND(((+D82+D83+D84+D85+D86-D87+D88+D92)/D61),2)</f>
        <v>4.72</v>
      </c>
      <c r="E49" t="s">
        <v>3</v>
      </c>
      <c r="F49" s="27">
        <f>ROUND(((+F82+F83+F84+F85+F86-F87+F88+F92)/F61),2)</f>
        <v>4.8099999999999996</v>
      </c>
      <c r="G49" t="s">
        <v>3</v>
      </c>
      <c r="H49" s="27">
        <f>ROUND(((+H82+H83+H84+H85+H86-H87+H88+H92)/H61),2)</f>
        <v>4.1900000000000004</v>
      </c>
      <c r="I49" t="s">
        <v>3</v>
      </c>
      <c r="J49" s="27">
        <f>ROUND(((+J82+J83+J84+J85+J86-J87+J88+J92)/J61),2)</f>
        <v>4.58</v>
      </c>
      <c r="K49" t="s">
        <v>3</v>
      </c>
      <c r="L49" s="27">
        <f>ROUND(((+L82+L83+L84+L85+L86-L87+L88+L92)/L61),2)</f>
        <v>5.07</v>
      </c>
      <c r="M49" t="s">
        <v>3</v>
      </c>
      <c r="N49" s="27">
        <f t="shared" si="0"/>
        <v>4.6739999999999995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2.5</v>
      </c>
      <c r="E50" t="s">
        <v>3</v>
      </c>
      <c r="F50" s="27">
        <f>ROUND(((+F82+F83+F84+F85+F86-F87+F88-F91)/+F90),2)</f>
        <v>2.64</v>
      </c>
      <c r="G50" t="s">
        <v>3</v>
      </c>
      <c r="H50" s="27">
        <f>ROUND(((+H82+H83+H84+H85+H86-H87+H88-H91)/+H90),2)</f>
        <v>2.19</v>
      </c>
      <c r="I50" t="s">
        <v>3</v>
      </c>
      <c r="J50" s="27">
        <f>ROUND(((+J82+J83+J84+J85+J86-J87+J88-J91)/+J90),2)</f>
        <v>2.87</v>
      </c>
      <c r="K50" t="s">
        <v>3</v>
      </c>
      <c r="L50" s="27">
        <f>ROUND(((+L82+L83+L84+L85+L86-L87+L88-L91)/+L90),2)</f>
        <v>3.19</v>
      </c>
      <c r="M50" t="s">
        <v>3</v>
      </c>
      <c r="N50" s="27">
        <f t="shared" si="0"/>
        <v>2.6779999999999999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85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23113</v>
      </c>
      <c r="E56" s="22"/>
      <c r="F56" s="22">
        <v>20375</v>
      </c>
      <c r="G56" s="22"/>
      <c r="H56" s="22">
        <v>21419</v>
      </c>
      <c r="I56" s="22"/>
      <c r="J56" s="22">
        <v>23495</v>
      </c>
      <c r="K56" s="22"/>
      <c r="L56" s="22">
        <v>23031</v>
      </c>
      <c r="M56" s="22"/>
      <c r="N56" s="22">
        <v>19896</v>
      </c>
    </row>
    <row r="57" spans="1:15" x14ac:dyDescent="0.4">
      <c r="A57" s="20" t="s">
        <v>23</v>
      </c>
      <c r="B57" s="20"/>
      <c r="C57" s="20"/>
      <c r="D57" s="22">
        <v>267</v>
      </c>
      <c r="E57" s="22"/>
      <c r="F57" s="22">
        <v>393</v>
      </c>
      <c r="G57" s="22"/>
      <c r="H57" s="22">
        <v>1798</v>
      </c>
      <c r="I57" s="22"/>
      <c r="J57" s="22">
        <v>449</v>
      </c>
      <c r="K57" s="22"/>
      <c r="L57" s="22">
        <v>142</v>
      </c>
      <c r="M57" s="22"/>
      <c r="N57" s="22">
        <v>951</v>
      </c>
    </row>
    <row r="58" spans="1:15" x14ac:dyDescent="0.4">
      <c r="A58" s="20" t="s">
        <v>24</v>
      </c>
      <c r="B58" s="20"/>
      <c r="C58" s="20"/>
      <c r="D58" s="22">
        <f>19415+D57</f>
        <v>19682</v>
      </c>
      <c r="E58" s="22"/>
      <c r="F58" s="22">
        <f>15490+F57</f>
        <v>15883</v>
      </c>
      <c r="G58" s="22"/>
      <c r="H58" s="22">
        <f>13683+H57</f>
        <v>15481</v>
      </c>
      <c r="I58" s="22"/>
      <c r="J58" s="22">
        <v>18691</v>
      </c>
      <c r="K58" s="22"/>
      <c r="L58" s="22">
        <v>17192</v>
      </c>
      <c r="M58" s="22"/>
      <c r="N58" s="22">
        <v>15710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3698-D57+190+76-7+456+99</f>
        <v>4245</v>
      </c>
      <c r="E60" s="22"/>
      <c r="F60" s="22">
        <f>4885-F57+149+153-206+336+31</f>
        <v>4955</v>
      </c>
      <c r="G60" s="22"/>
      <c r="H60" s="22">
        <f>7736-H57+128+162+252+10</f>
        <v>6490</v>
      </c>
      <c r="I60" s="22"/>
      <c r="J60" s="22">
        <v>4142</v>
      </c>
      <c r="K60" s="22"/>
      <c r="L60" s="22">
        <v>2620</v>
      </c>
      <c r="M60" s="22"/>
      <c r="N60" s="22">
        <v>3846</v>
      </c>
    </row>
    <row r="61" spans="1:15" x14ac:dyDescent="0.4">
      <c r="A61" s="20" t="s">
        <v>27</v>
      </c>
      <c r="B61" s="20"/>
      <c r="C61" s="20"/>
      <c r="D61" s="22">
        <v>1837</v>
      </c>
      <c r="E61" s="22"/>
      <c r="F61" s="22">
        <v>1821</v>
      </c>
      <c r="G61" s="22"/>
      <c r="H61" s="22">
        <v>1736</v>
      </c>
      <c r="I61" s="22"/>
      <c r="J61" s="22">
        <v>1914</v>
      </c>
      <c r="K61" s="22"/>
      <c r="L61" s="22">
        <v>1783</v>
      </c>
      <c r="M61" s="22"/>
      <c r="N61" s="22">
        <v>1317</v>
      </c>
    </row>
    <row r="62" spans="1:15" x14ac:dyDescent="0.4">
      <c r="A62" s="20" t="s">
        <v>28</v>
      </c>
      <c r="B62" s="20"/>
      <c r="C62" s="20"/>
      <c r="D62" s="22">
        <v>282</v>
      </c>
      <c r="E62" s="22"/>
      <c r="F62" s="22">
        <v>230</v>
      </c>
      <c r="G62" s="22"/>
      <c r="H62" s="22">
        <v>202</v>
      </c>
      <c r="I62" s="22"/>
      <c r="J62" s="22">
        <v>210</v>
      </c>
      <c r="K62" s="22"/>
      <c r="L62" s="22">
        <v>249</v>
      </c>
      <c r="M62" s="22"/>
      <c r="N62" s="22">
        <v>0</v>
      </c>
    </row>
    <row r="63" spans="1:15" x14ac:dyDescent="0.4">
      <c r="A63" s="20" t="s">
        <v>29</v>
      </c>
      <c r="B63" s="20"/>
      <c r="C63" s="20"/>
      <c r="D63" s="22">
        <v>15</v>
      </c>
      <c r="E63" s="22"/>
      <c r="F63" s="22">
        <v>15</v>
      </c>
      <c r="G63" s="22"/>
      <c r="H63" s="22">
        <v>15</v>
      </c>
      <c r="I63" s="22"/>
      <c r="J63" s="22">
        <v>16</v>
      </c>
      <c r="K63" s="22"/>
      <c r="L63" s="22">
        <v>38</v>
      </c>
      <c r="M63" s="22"/>
      <c r="N63" s="22">
        <v>45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2393</v>
      </c>
      <c r="E66" s="22"/>
      <c r="F66" s="22">
        <v>3119</v>
      </c>
      <c r="G66" s="22"/>
      <c r="H66" s="22">
        <v>4739</v>
      </c>
      <c r="I66" s="22"/>
      <c r="J66" s="22">
        <v>2226</v>
      </c>
      <c r="K66" s="22"/>
      <c r="L66" s="22">
        <v>842</v>
      </c>
      <c r="M66" s="22"/>
      <c r="N66" s="22">
        <v>2448</v>
      </c>
    </row>
    <row r="67" spans="1:14" x14ac:dyDescent="0.4">
      <c r="A67" s="20" t="s">
        <v>33</v>
      </c>
      <c r="B67" s="20"/>
      <c r="C67" s="20"/>
      <c r="D67" s="22">
        <v>2.2599999999999998</v>
      </c>
      <c r="E67" s="22"/>
      <c r="F67" s="22">
        <v>2.95</v>
      </c>
      <c r="G67" s="22"/>
      <c r="H67" s="22">
        <v>4.53</v>
      </c>
      <c r="I67" s="22"/>
      <c r="J67" s="22">
        <v>2.1800000000000002</v>
      </c>
      <c r="K67" s="22"/>
      <c r="L67" s="22">
        <v>0.84</v>
      </c>
      <c r="M67" s="22"/>
      <c r="N67" s="22">
        <v>2.57</v>
      </c>
    </row>
    <row r="68" spans="1:14" x14ac:dyDescent="0.4">
      <c r="A68" s="20" t="s">
        <v>34</v>
      </c>
      <c r="B68" s="20"/>
      <c r="C68" s="20"/>
      <c r="D68" s="22">
        <v>27874</v>
      </c>
      <c r="E68" s="22"/>
      <c r="F68" s="22">
        <v>27972</v>
      </c>
      <c r="G68" s="22"/>
      <c r="H68" s="22">
        <v>27505</v>
      </c>
      <c r="I68" s="22"/>
      <c r="J68" s="22">
        <v>24723</v>
      </c>
      <c r="K68" s="22"/>
      <c r="L68" s="22">
        <v>24167</v>
      </c>
      <c r="M68" s="22"/>
      <c r="N68" s="22">
        <v>24758</v>
      </c>
    </row>
    <row r="69" spans="1:14" x14ac:dyDescent="0.4">
      <c r="A69" s="20" t="s">
        <v>35</v>
      </c>
      <c r="B69" s="20"/>
      <c r="C69" s="20"/>
      <c r="D69" s="22">
        <v>291</v>
      </c>
      <c r="E69" s="22"/>
      <c r="F69" s="22">
        <v>291</v>
      </c>
      <c r="G69" s="22"/>
      <c r="H69" s="22">
        <v>291</v>
      </c>
      <c r="I69" s="22"/>
      <c r="J69" s="22">
        <v>291</v>
      </c>
      <c r="K69" s="22"/>
      <c r="L69" s="22">
        <v>324</v>
      </c>
      <c r="M69" s="22"/>
      <c r="N69" s="22">
        <v>727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4402</v>
      </c>
      <c r="E75" s="22"/>
      <c r="F75" s="22">
        <v>4262</v>
      </c>
      <c r="G75" s="22"/>
      <c r="H75" s="22">
        <v>4254</v>
      </c>
      <c r="I75" s="22"/>
      <c r="J75" s="22">
        <v>4316</v>
      </c>
      <c r="K75" s="22"/>
      <c r="L75" s="22">
        <v>1361</v>
      </c>
      <c r="M75" s="22"/>
      <c r="N75" s="22">
        <v>1409</v>
      </c>
    </row>
    <row r="76" spans="1:14" x14ac:dyDescent="0.4">
      <c r="A76" s="20" t="s">
        <v>42</v>
      </c>
      <c r="B76" s="20"/>
      <c r="C76" s="20"/>
      <c r="D76" s="22">
        <v>50120</v>
      </c>
      <c r="E76" s="22"/>
      <c r="F76" s="22">
        <v>45073</v>
      </c>
      <c r="G76" s="22"/>
      <c r="H76" s="22">
        <v>41798</v>
      </c>
      <c r="I76" s="22"/>
      <c r="J76" s="22">
        <v>40736</v>
      </c>
      <c r="K76" s="22"/>
      <c r="L76" s="22">
        <v>44462</v>
      </c>
      <c r="M76" s="22"/>
      <c r="N76" s="22">
        <v>42629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82687</v>
      </c>
      <c r="E78" s="22"/>
      <c r="F78" s="22">
        <f>SUM(F68:F77)</f>
        <v>77598</v>
      </c>
      <c r="G78" s="22"/>
      <c r="H78" s="22">
        <f>SUM(H68:H77)</f>
        <v>73848</v>
      </c>
      <c r="I78" s="22"/>
      <c r="J78" s="22">
        <v>70066</v>
      </c>
      <c r="K78" s="22"/>
      <c r="L78" s="22">
        <v>70314</v>
      </c>
      <c r="M78" s="22"/>
      <c r="N78" s="22">
        <v>69523</v>
      </c>
    </row>
    <row r="79" spans="1:14" x14ac:dyDescent="0.4">
      <c r="A79" s="20" t="s">
        <v>45</v>
      </c>
      <c r="B79" s="20"/>
      <c r="C79" s="20"/>
      <c r="D79" s="22">
        <v>2157</v>
      </c>
      <c r="E79" s="22"/>
      <c r="F79" s="22">
        <v>3507</v>
      </c>
      <c r="G79" s="22"/>
      <c r="H79" s="22">
        <v>2989</v>
      </c>
      <c r="I79" s="22"/>
      <c r="J79" s="22">
        <v>3198</v>
      </c>
      <c r="K79" s="22"/>
      <c r="L79" s="22">
        <v>3892</v>
      </c>
      <c r="M79" s="22"/>
      <c r="N79" s="22">
        <v>2587</v>
      </c>
    </row>
    <row r="80" spans="1:14" x14ac:dyDescent="0.4">
      <c r="A80" s="20" t="s">
        <v>46</v>
      </c>
      <c r="B80" s="20"/>
      <c r="C80" s="20"/>
      <c r="D80" s="22">
        <v>1440</v>
      </c>
      <c r="E80" s="22"/>
      <c r="F80" s="22">
        <v>609</v>
      </c>
      <c r="G80" s="22"/>
      <c r="H80" s="22">
        <v>2055</v>
      </c>
      <c r="I80" s="22"/>
      <c r="J80" s="22">
        <v>2915</v>
      </c>
      <c r="K80" s="22"/>
      <c r="L80" s="22">
        <v>2439</v>
      </c>
      <c r="M80" s="22"/>
      <c r="N80" s="22">
        <v>2241</v>
      </c>
    </row>
    <row r="81" spans="1:16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6" x14ac:dyDescent="0.4">
      <c r="A82" s="20" t="s">
        <v>48</v>
      </c>
      <c r="B82" s="20"/>
      <c r="C82" s="20"/>
      <c r="D82" s="22">
        <v>2309</v>
      </c>
      <c r="E82" s="22"/>
      <c r="F82" s="22">
        <v>3103</v>
      </c>
      <c r="G82" s="22"/>
      <c r="H82" s="22">
        <v>4744</v>
      </c>
      <c r="I82" s="22"/>
      <c r="J82" s="22">
        <v>2300</v>
      </c>
      <c r="K82" s="22"/>
      <c r="L82" s="22">
        <v>926</v>
      </c>
      <c r="M82" s="22"/>
      <c r="N82" s="22">
        <v>2529</v>
      </c>
    </row>
    <row r="83" spans="1:16" x14ac:dyDescent="0.4">
      <c r="A83" s="20" t="s">
        <v>49</v>
      </c>
      <c r="B83" s="20"/>
      <c r="C83" s="20"/>
      <c r="D83" s="22">
        <v>3973</v>
      </c>
      <c r="E83" s="22"/>
      <c r="F83" s="22">
        <v>3905</v>
      </c>
      <c r="G83" s="22"/>
      <c r="H83" s="22">
        <v>3331</v>
      </c>
      <c r="I83" s="22"/>
      <c r="J83" s="22">
        <v>3549</v>
      </c>
      <c r="K83" s="22"/>
      <c r="L83" s="22">
        <v>3457</v>
      </c>
      <c r="M83" s="22"/>
      <c r="N83" s="22">
        <v>2923</v>
      </c>
    </row>
    <row r="84" spans="1:16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6" x14ac:dyDescent="0.4">
      <c r="A85" s="20" t="s">
        <v>51</v>
      </c>
      <c r="B85" s="20"/>
      <c r="C85" s="20"/>
      <c r="D85" s="22">
        <v>-49</v>
      </c>
      <c r="E85" s="22"/>
      <c r="F85" s="22">
        <v>-241</v>
      </c>
      <c r="G85" s="22"/>
      <c r="H85" s="22">
        <v>611</v>
      </c>
      <c r="I85" s="22"/>
      <c r="J85" s="22">
        <v>94</v>
      </c>
      <c r="K85" s="22"/>
      <c r="L85" s="22">
        <v>166</v>
      </c>
      <c r="M85" s="22"/>
      <c r="N85" s="22">
        <v>-127</v>
      </c>
    </row>
    <row r="86" spans="1:16" x14ac:dyDescent="0.4">
      <c r="A86" s="20" t="s">
        <v>52</v>
      </c>
      <c r="B86" s="20"/>
      <c r="C86" s="20"/>
      <c r="D86" s="22">
        <v>288</v>
      </c>
      <c r="E86" s="22"/>
      <c r="F86" s="22">
        <v>341</v>
      </c>
      <c r="G86" s="22"/>
      <c r="H86" s="22">
        <v>757</v>
      </c>
      <c r="I86" s="22"/>
      <c r="J86" s="22">
        <v>0</v>
      </c>
      <c r="K86" s="22"/>
      <c r="L86" s="22">
        <v>0</v>
      </c>
      <c r="M86" s="22"/>
      <c r="N86" s="22">
        <v>0</v>
      </c>
      <c r="O86" s="22"/>
      <c r="P86" s="22"/>
    </row>
    <row r="87" spans="1:16" x14ac:dyDescent="0.4">
      <c r="A87" s="20" t="s">
        <v>53</v>
      </c>
      <c r="B87" s="20"/>
      <c r="C87" s="20"/>
      <c r="D87" s="22">
        <v>190</v>
      </c>
      <c r="E87" s="22"/>
      <c r="F87" s="22">
        <v>149</v>
      </c>
      <c r="G87" s="22"/>
      <c r="H87" s="22">
        <v>128</v>
      </c>
      <c r="I87" s="22"/>
      <c r="J87" s="22">
        <v>138</v>
      </c>
      <c r="K87" s="22"/>
      <c r="L87" s="22">
        <v>160</v>
      </c>
      <c r="M87" s="22"/>
      <c r="N87" s="22">
        <v>202</v>
      </c>
    </row>
    <row r="88" spans="1:16" x14ac:dyDescent="0.4">
      <c r="A88" s="20" t="s">
        <v>69</v>
      </c>
      <c r="B88" s="20"/>
      <c r="C88" s="20"/>
      <c r="D88" s="22">
        <f>-305-456+288+144+1692+91-176-536-207+86</f>
        <v>621</v>
      </c>
      <c r="E88" s="22"/>
      <c r="F88" s="22">
        <f>-259-2-442+325+113+325+206-66-74</f>
        <v>126</v>
      </c>
      <c r="G88" s="22"/>
      <c r="H88" s="22">
        <f>-204-1136-328+168+107+15+168-2588+102</f>
        <v>-3696</v>
      </c>
      <c r="I88" s="22"/>
      <c r="J88" s="22">
        <v>1165</v>
      </c>
      <c r="K88" s="22"/>
      <c r="L88" s="22">
        <v>2955</v>
      </c>
      <c r="M88" s="22"/>
      <c r="N88" s="22">
        <v>-1209</v>
      </c>
    </row>
    <row r="89" spans="1:16" x14ac:dyDescent="0.4">
      <c r="A89" s="20" t="s">
        <v>54</v>
      </c>
      <c r="B89" s="20"/>
      <c r="C89" s="20"/>
      <c r="D89" s="22">
        <v>7240</v>
      </c>
      <c r="E89" s="22"/>
      <c r="F89" s="22">
        <v>7441</v>
      </c>
      <c r="G89" s="22"/>
      <c r="H89" s="22">
        <v>7555</v>
      </c>
      <c r="I89" s="22"/>
      <c r="J89" s="22">
        <v>8139</v>
      </c>
      <c r="K89" s="22"/>
      <c r="L89" s="22">
        <v>7583</v>
      </c>
      <c r="M89" s="22"/>
      <c r="N89" s="22">
        <v>7512</v>
      </c>
    </row>
    <row r="90" spans="1:16" x14ac:dyDescent="0.4">
      <c r="A90" s="20" t="s">
        <v>55</v>
      </c>
      <c r="B90" s="20"/>
      <c r="C90" s="20"/>
      <c r="D90" s="22">
        <v>2777</v>
      </c>
      <c r="E90" s="22"/>
      <c r="F90" s="22">
        <v>2685</v>
      </c>
      <c r="G90" s="22"/>
      <c r="H90" s="22">
        <v>2570</v>
      </c>
      <c r="I90" s="22"/>
      <c r="J90" s="22">
        <v>2425</v>
      </c>
      <c r="K90" s="22"/>
      <c r="L90" s="22">
        <v>2300</v>
      </c>
      <c r="M90" s="22"/>
      <c r="N90" s="22">
        <v>2104</v>
      </c>
    </row>
    <row r="91" spans="1:16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6" x14ac:dyDescent="0.4">
      <c r="A92" s="20" t="s">
        <v>57</v>
      </c>
      <c r="B92" s="20"/>
      <c r="C92" s="20"/>
      <c r="D92" s="22">
        <v>1718</v>
      </c>
      <c r="E92" s="22"/>
      <c r="F92" s="22">
        <v>1683</v>
      </c>
      <c r="G92" s="22"/>
      <c r="H92" s="22">
        <v>1651</v>
      </c>
      <c r="I92" s="22"/>
      <c r="J92" s="22">
        <v>1794</v>
      </c>
      <c r="K92" s="22"/>
      <c r="L92" s="22">
        <v>1700</v>
      </c>
      <c r="M92" s="22"/>
      <c r="N92" s="22">
        <v>1100</v>
      </c>
    </row>
    <row r="93" spans="1:16" x14ac:dyDescent="0.4">
      <c r="A93" s="20" t="s">
        <v>58</v>
      </c>
      <c r="B93" s="20"/>
      <c r="C93" s="20"/>
      <c r="D93" s="22">
        <v>93</v>
      </c>
      <c r="E93" s="22"/>
      <c r="F93" s="22">
        <v>64</v>
      </c>
      <c r="G93" s="22"/>
      <c r="H93" s="22">
        <v>276</v>
      </c>
      <c r="I93" s="22"/>
      <c r="J93" s="22">
        <v>172</v>
      </c>
      <c r="K93" s="22"/>
      <c r="L93" s="22">
        <v>-410</v>
      </c>
      <c r="M93" s="22"/>
      <c r="N93" s="22">
        <v>-148</v>
      </c>
    </row>
    <row r="94" spans="1:16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6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6" x14ac:dyDescent="0.4">
      <c r="A96" s="20" t="s">
        <v>59</v>
      </c>
      <c r="B96" s="20"/>
      <c r="C96" s="20"/>
      <c r="D96" s="22">
        <v>2777</v>
      </c>
      <c r="E96" s="22"/>
      <c r="F96" s="22">
        <v>2685</v>
      </c>
      <c r="G96" s="22"/>
      <c r="H96" s="22">
        <v>2570</v>
      </c>
      <c r="I96" s="22"/>
      <c r="J96" s="22">
        <v>2425</v>
      </c>
      <c r="K96" s="22"/>
      <c r="L96" s="22">
        <v>2300</v>
      </c>
      <c r="M96" s="22"/>
      <c r="N96" s="22">
        <v>2104</v>
      </c>
    </row>
    <row r="97" spans="1:14" x14ac:dyDescent="0.4">
      <c r="A97" s="20" t="s">
        <v>60</v>
      </c>
      <c r="B97" s="20"/>
      <c r="C97" s="20"/>
      <c r="D97" s="22">
        <v>2.62</v>
      </c>
      <c r="E97" s="22"/>
      <c r="F97" s="22">
        <v>2.54</v>
      </c>
      <c r="G97" s="22"/>
      <c r="H97" s="22">
        <v>2.46</v>
      </c>
      <c r="I97" s="22"/>
      <c r="J97" s="22">
        <v>2.38</v>
      </c>
      <c r="K97" s="22"/>
      <c r="L97" s="22">
        <v>2.2999999999999998</v>
      </c>
      <c r="M97" s="22"/>
      <c r="N97" s="22">
        <v>2.2229999999999999</v>
      </c>
    </row>
    <row r="98" spans="1:14" x14ac:dyDescent="0.4">
      <c r="A98" s="20" t="s">
        <v>61</v>
      </c>
      <c r="B98" s="20"/>
      <c r="C98" s="20"/>
      <c r="D98" s="22">
        <v>2.62</v>
      </c>
      <c r="E98" s="22"/>
      <c r="F98" s="22">
        <v>2.54</v>
      </c>
      <c r="G98" s="22"/>
      <c r="H98" s="22">
        <v>2.46</v>
      </c>
      <c r="I98" s="22"/>
      <c r="J98" s="22">
        <v>2.38</v>
      </c>
      <c r="K98" s="22"/>
      <c r="L98" s="22">
        <v>2.2999999999999998</v>
      </c>
      <c r="M98" s="22"/>
      <c r="N98" s="22">
        <v>2.2229999999999999</v>
      </c>
    </row>
    <row r="99" spans="1:14" x14ac:dyDescent="0.4">
      <c r="A99" s="20" t="s">
        <v>62</v>
      </c>
      <c r="B99" s="20"/>
      <c r="C99" s="20"/>
      <c r="D99" s="22">
        <v>68.88</v>
      </c>
      <c r="E99" s="22"/>
      <c r="F99" s="22">
        <v>71.099999999999994</v>
      </c>
      <c r="G99" s="22"/>
      <c r="H99" s="22">
        <v>64.260000000000005</v>
      </c>
      <c r="I99" s="22"/>
      <c r="J99" s="22">
        <v>49.43</v>
      </c>
      <c r="K99" s="22"/>
      <c r="L99" s="22">
        <v>53.51</v>
      </c>
      <c r="M99" s="22"/>
      <c r="N99" s="22">
        <v>54.64</v>
      </c>
    </row>
    <row r="100" spans="1:14" x14ac:dyDescent="0.4">
      <c r="A100" s="20" t="s">
        <v>63</v>
      </c>
      <c r="B100" s="20"/>
      <c r="C100" s="20"/>
      <c r="D100" s="22">
        <v>56.69</v>
      </c>
      <c r="E100" s="22"/>
      <c r="F100" s="22">
        <v>41.96</v>
      </c>
      <c r="G100" s="22"/>
      <c r="H100" s="22">
        <v>43.26</v>
      </c>
      <c r="I100" s="22"/>
      <c r="J100" s="22">
        <v>42.38</v>
      </c>
      <c r="K100" s="22"/>
      <c r="L100" s="22">
        <v>46.71</v>
      </c>
      <c r="M100" s="22"/>
      <c r="N100" s="22">
        <v>46</v>
      </c>
    </row>
    <row r="101" spans="1:14" x14ac:dyDescent="0.4">
      <c r="A101" s="20" t="s">
        <v>64</v>
      </c>
      <c r="B101" s="20"/>
      <c r="C101" s="20"/>
      <c r="D101" s="22">
        <v>68.58</v>
      </c>
      <c r="E101" s="22"/>
      <c r="F101" s="22">
        <v>61.43</v>
      </c>
      <c r="G101" s="22"/>
      <c r="H101" s="22">
        <v>63.7</v>
      </c>
      <c r="I101" s="22"/>
      <c r="J101" s="22">
        <v>43.92</v>
      </c>
      <c r="K101" s="22"/>
      <c r="L101" s="22">
        <v>48.09</v>
      </c>
      <c r="M101" s="22"/>
      <c r="N101" s="22">
        <v>49.19</v>
      </c>
    </row>
    <row r="102" spans="1:14" x14ac:dyDescent="0.4">
      <c r="A102" s="20" t="s">
        <v>65</v>
      </c>
      <c r="B102" s="20"/>
      <c r="C102" s="20"/>
      <c r="D102" s="22">
        <v>1059.975046</v>
      </c>
      <c r="E102" s="22"/>
      <c r="F102" s="22">
        <v>1056.464751</v>
      </c>
      <c r="G102" s="22"/>
      <c r="H102" s="22">
        <v>1053.251</v>
      </c>
      <c r="I102" s="22"/>
      <c r="J102" s="22">
        <v>1033.788</v>
      </c>
      <c r="K102" s="22"/>
      <c r="L102" s="22">
        <v>1007.603</v>
      </c>
      <c r="M102" s="22"/>
      <c r="N102" s="22">
        <v>990.39400000000001</v>
      </c>
    </row>
    <row r="103" spans="1:14" x14ac:dyDescent="0.4">
      <c r="A103" s="20" t="s">
        <v>91</v>
      </c>
      <c r="B103" s="20"/>
      <c r="C103" s="20"/>
      <c r="D103" s="22">
        <v>-237</v>
      </c>
      <c r="E103" s="22"/>
      <c r="F103" s="22">
        <v>-395</v>
      </c>
      <c r="G103" s="22"/>
      <c r="H103" s="22">
        <v>-321</v>
      </c>
      <c r="I103" s="22"/>
      <c r="J103" s="22">
        <v>-203</v>
      </c>
      <c r="K103" s="22"/>
      <c r="L103" s="22">
        <v>-189</v>
      </c>
      <c r="M103" s="22"/>
      <c r="N103" s="22">
        <v>-180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2.2599999999999998</v>
      </c>
      <c r="F105" s="15">
        <f>F67/F94</f>
        <v>2.95</v>
      </c>
      <c r="H105" s="15">
        <f>H67/H94</f>
        <v>4.53</v>
      </c>
      <c r="J105" s="15">
        <f>J67/J94</f>
        <v>2.1800000000000002</v>
      </c>
      <c r="L105" s="15">
        <f>L67/L94</f>
        <v>0.84</v>
      </c>
      <c r="N105" s="15">
        <f>N67/N94</f>
        <v>2.57</v>
      </c>
    </row>
    <row r="106" spans="1:14" x14ac:dyDescent="0.4">
      <c r="B106" t="s">
        <v>60</v>
      </c>
      <c r="D106" s="15">
        <f>D97/D94</f>
        <v>2.62</v>
      </c>
      <c r="F106" s="15">
        <f>F97/F94</f>
        <v>2.54</v>
      </c>
      <c r="H106" s="15">
        <f>H97/H94</f>
        <v>2.46</v>
      </c>
      <c r="J106" s="15">
        <f>J97/J94</f>
        <v>2.38</v>
      </c>
      <c r="L106" s="15">
        <f>L97/L94</f>
        <v>2.2999999999999998</v>
      </c>
      <c r="N106" s="15">
        <f>N97/N94</f>
        <v>2.2229999999999999</v>
      </c>
    </row>
    <row r="107" spans="1:14" x14ac:dyDescent="0.4">
      <c r="B107" t="s">
        <v>61</v>
      </c>
      <c r="D107" s="15">
        <f>D98/D94</f>
        <v>2.62</v>
      </c>
      <c r="F107" s="15">
        <f>F98/F94</f>
        <v>2.54</v>
      </c>
      <c r="H107" s="15">
        <f>H98/H94</f>
        <v>2.46</v>
      </c>
      <c r="J107" s="15">
        <f>J98/J94</f>
        <v>2.38</v>
      </c>
      <c r="L107" s="15">
        <f>L98/L94</f>
        <v>2.2999999999999998</v>
      </c>
      <c r="N107" s="15">
        <f>N98/N94</f>
        <v>2.2229999999999999</v>
      </c>
    </row>
    <row r="108" spans="1:14" x14ac:dyDescent="0.4">
      <c r="B108" t="s">
        <v>62</v>
      </c>
      <c r="D108" s="15">
        <f>D99/D94</f>
        <v>68.88</v>
      </c>
      <c r="F108" s="15">
        <f>F99/F94</f>
        <v>71.099999999999994</v>
      </c>
      <c r="H108" s="15">
        <f>H99/H94</f>
        <v>64.260000000000005</v>
      </c>
      <c r="J108" s="15">
        <f>J99/J94</f>
        <v>49.43</v>
      </c>
      <c r="L108" s="15">
        <f>L99/L94</f>
        <v>53.51</v>
      </c>
      <c r="N108" s="15">
        <f>N99/N94</f>
        <v>54.64</v>
      </c>
    </row>
    <row r="109" spans="1:14" x14ac:dyDescent="0.4">
      <c r="B109" t="s">
        <v>63</v>
      </c>
      <c r="D109" s="15">
        <f>D100/D94</f>
        <v>56.69</v>
      </c>
      <c r="F109" s="15">
        <f>F100/F94</f>
        <v>41.96</v>
      </c>
      <c r="H109" s="15">
        <f>H100/H94</f>
        <v>43.26</v>
      </c>
      <c r="J109" s="15">
        <f>J100/J94</f>
        <v>42.38</v>
      </c>
      <c r="L109" s="15">
        <f>L100/L94</f>
        <v>46.71</v>
      </c>
      <c r="N109" s="15">
        <f>N100/N94</f>
        <v>46</v>
      </c>
    </row>
    <row r="110" spans="1:14" x14ac:dyDescent="0.4">
      <c r="B110" t="s">
        <v>64</v>
      </c>
      <c r="D110" s="15">
        <f>D101/D94</f>
        <v>68.58</v>
      </c>
      <c r="F110" s="15">
        <f>F101/F94</f>
        <v>61.43</v>
      </c>
      <c r="H110" s="15">
        <f>H101/H94</f>
        <v>63.7</v>
      </c>
      <c r="J110" s="15">
        <f>J101/J94</f>
        <v>43.92</v>
      </c>
      <c r="L110" s="15">
        <f>L101/L94</f>
        <v>48.09</v>
      </c>
      <c r="N110" s="15">
        <f>N101/N94</f>
        <v>49.19</v>
      </c>
    </row>
    <row r="111" spans="1:14" x14ac:dyDescent="0.4">
      <c r="B111" t="s">
        <v>65</v>
      </c>
      <c r="D111" s="16">
        <f>D102*D94</f>
        <v>1059.975046</v>
      </c>
      <c r="E111" s="16"/>
      <c r="F111" s="16">
        <f>F102*F94</f>
        <v>1056.464751</v>
      </c>
      <c r="G111" s="16"/>
      <c r="H111" s="16">
        <f>H102*H94</f>
        <v>1053.251</v>
      </c>
      <c r="I111" s="16"/>
      <c r="J111" s="16">
        <f>J102*J94</f>
        <v>1033.788</v>
      </c>
      <c r="K111" s="16"/>
      <c r="L111" s="16">
        <f>L102*L94</f>
        <v>1007.603</v>
      </c>
      <c r="M111" s="16"/>
      <c r="N111" s="16">
        <f>N102*N94</f>
        <v>990.39400000000001</v>
      </c>
    </row>
    <row r="112" spans="1:14" x14ac:dyDescent="0.4">
      <c r="B112" t="s">
        <v>66</v>
      </c>
      <c r="D112" s="15">
        <f>ROUND(D68/D111,2)</f>
        <v>26.3</v>
      </c>
      <c r="F112" s="15">
        <f>ROUND(F68/F111,2)</f>
        <v>26.48</v>
      </c>
      <c r="H112" s="15">
        <f>ROUND(H68/H111,2)</f>
        <v>26.11</v>
      </c>
      <c r="J112" s="15">
        <f>ROUND(J68/J111,2)</f>
        <v>23.91</v>
      </c>
      <c r="L112" s="15">
        <f>ROUND(L68/L111,2)</f>
        <v>23.98</v>
      </c>
      <c r="N112" s="15">
        <f>ROUND(N68/N111,2)</f>
        <v>25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WEC ENERGY GROUP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24809.600000000002</v>
      </c>
      <c r="F8" s="34">
        <f>F78+F79+F81-F103</f>
        <v>23183.199999999997</v>
      </c>
      <c r="H8" s="34">
        <f>H78+H79+H81-H103</f>
        <v>22162.899999999998</v>
      </c>
      <c r="J8" s="34">
        <f>J78+J79+J81-J103</f>
        <v>20204.3</v>
      </c>
      <c r="L8" s="34">
        <f>L78+L79+L81-L103</f>
        <v>19077.599999999999</v>
      </c>
    </row>
    <row r="9" spans="1:15" x14ac:dyDescent="0.4">
      <c r="B9" t="s">
        <v>5</v>
      </c>
      <c r="D9" s="9">
        <f>D80</f>
        <v>1897</v>
      </c>
      <c r="F9" s="9">
        <f>F80</f>
        <v>1776.9</v>
      </c>
      <c r="H9" s="9">
        <f>H80</f>
        <v>830.8</v>
      </c>
      <c r="J9" s="9">
        <f>J80</f>
        <v>1440.1</v>
      </c>
      <c r="L9" s="9">
        <f>L80</f>
        <v>1444.6</v>
      </c>
    </row>
    <row r="10" spans="1:15" ht="15.4" thickBot="1" x14ac:dyDescent="0.45">
      <c r="B10" t="s">
        <v>7</v>
      </c>
      <c r="D10" s="10">
        <f>D8+D9</f>
        <v>26706.600000000002</v>
      </c>
      <c r="F10" s="10">
        <f>F8+F9</f>
        <v>24960.1</v>
      </c>
      <c r="H10" s="10">
        <f>H8+H9</f>
        <v>22993.699999999997</v>
      </c>
      <c r="J10" s="10">
        <f>J8+J9</f>
        <v>21644.399999999998</v>
      </c>
      <c r="L10" s="10">
        <f>L8+L9</f>
        <v>20522.199999999997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22</v>
      </c>
      <c r="E13" s="7" t="s">
        <v>3</v>
      </c>
      <c r="F13" s="30">
        <f>ROUND(AVERAGE(F108:F109)/F105,0)</f>
        <v>23</v>
      </c>
      <c r="G13" s="7" t="s">
        <v>3</v>
      </c>
      <c r="H13" s="30">
        <f>ROUND(AVERAGE(H108:H109)/H105,0)</f>
        <v>23</v>
      </c>
      <c r="I13" s="7" t="s">
        <v>3</v>
      </c>
      <c r="J13" s="30">
        <f>ROUND(AVERAGE(J108:J109)/J105,0)</f>
        <v>20</v>
      </c>
      <c r="K13" s="7" t="s">
        <v>3</v>
      </c>
      <c r="L13" s="30">
        <f>ROUND(AVERAGE(L108:L109)/L105,0)</f>
        <v>17</v>
      </c>
      <c r="M13" s="7" t="s">
        <v>3</v>
      </c>
      <c r="N13" s="30">
        <f>AVERAGE(D13,F13,H13,J13,L13)</f>
        <v>21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2.661</v>
      </c>
      <c r="E14" s="3"/>
      <c r="F14" s="3">
        <f>ROUND(AVERAGE(F108:F109)/AVERAGE(F112,H112),3)</f>
        <v>2.7210000000000001</v>
      </c>
      <c r="G14" s="3"/>
      <c r="H14" s="3">
        <f>ROUND(AVERAGE(H108:H109)/AVERAGE(H112,J112),3)</f>
        <v>2.6219999999999999</v>
      </c>
      <c r="I14" s="3"/>
      <c r="J14" s="3">
        <f>ROUND(AVERAGE(J108:J109)/AVERAGE(J112,L112),3)</f>
        <v>2.1960000000000002</v>
      </c>
      <c r="K14" s="3"/>
      <c r="L14" s="3">
        <f>ROUND(AVERAGE(L108:L109)/AVERAGE(L112,N112),3)</f>
        <v>2.165</v>
      </c>
      <c r="M14" s="3"/>
      <c r="N14" s="3">
        <f>AVERAGE(D14,F14,H14,J14,L14)</f>
        <v>2.4729999999999999</v>
      </c>
    </row>
    <row r="15" spans="1:15" x14ac:dyDescent="0.4">
      <c r="B15" t="s">
        <v>9</v>
      </c>
      <c r="D15" s="3">
        <f>ROUND(D106/AVERAGE(D108:D109),3)</f>
        <v>0.03</v>
      </c>
      <c r="E15" s="3"/>
      <c r="F15" s="3">
        <f>ROUND(F106/AVERAGE(F108:F109),3)</f>
        <v>2.9000000000000001E-2</v>
      </c>
      <c r="G15" s="3"/>
      <c r="H15" s="3">
        <f>ROUND(H106/AVERAGE(H108:H109),3)</f>
        <v>2.9000000000000001E-2</v>
      </c>
      <c r="I15" s="3"/>
      <c r="J15" s="3">
        <f>ROUND(J106/AVERAGE(J108:J109),3)</f>
        <v>3.3000000000000002E-2</v>
      </c>
      <c r="K15" s="3"/>
      <c r="L15" s="3">
        <f>ROUND(L106/AVERAGE(L108:L109),3)</f>
        <v>3.3000000000000002E-2</v>
      </c>
      <c r="M15" s="3"/>
      <c r="N15" s="3">
        <f>AVERAGE(D15,F15,H15,J15,L15)</f>
        <v>3.0800000000000001E-2</v>
      </c>
    </row>
    <row r="16" spans="1:15" x14ac:dyDescent="0.4">
      <c r="B16" t="s">
        <v>10</v>
      </c>
      <c r="D16" s="3">
        <f>ROUND(D96/D66,3)</f>
        <v>0.65700000000000003</v>
      </c>
      <c r="E16" s="3"/>
      <c r="F16" s="3">
        <f>ROUND(F96/F66,3)</f>
        <v>0.66500000000000004</v>
      </c>
      <c r="G16" s="3"/>
      <c r="H16" s="3">
        <f>ROUND(H96/H66,3)</f>
        <v>0.65700000000000003</v>
      </c>
      <c r="I16" s="3"/>
      <c r="J16" s="3">
        <f>ROUND(J96/J66,3)</f>
        <v>0.65800000000000003</v>
      </c>
      <c r="K16" s="3"/>
      <c r="L16" s="3">
        <f>ROUND(L96/L66,3)</f>
        <v>0.54500000000000004</v>
      </c>
      <c r="M16" s="3"/>
      <c r="N16" s="3">
        <f>AVERAGE(D16,F16,H16,J16,L16)</f>
        <v>0.63639999999999997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0.55200000000000005</v>
      </c>
      <c r="E20" s="3"/>
      <c r="F20" s="3">
        <f>ROUND((+F76+F79)/F8,3)</f>
        <v>0.54</v>
      </c>
      <c r="G20" s="3"/>
      <c r="H20" s="3">
        <f>ROUND((+H76+H79)/H8,3)</f>
        <v>0.53700000000000003</v>
      </c>
      <c r="I20" s="3"/>
      <c r="J20" s="3">
        <f>ROUND((+J76+J79)/J8,3)</f>
        <v>0.51300000000000001</v>
      </c>
      <c r="K20" s="3"/>
      <c r="L20" s="3">
        <f>ROUND((+L76+L79)/L8,3)</f>
        <v>0.503</v>
      </c>
      <c r="M20" s="3"/>
      <c r="N20" s="3">
        <f>AVERAGE(D20,F20,H20,J20,L20)</f>
        <v>0.52900000000000003</v>
      </c>
    </row>
    <row r="21" spans="1:14" x14ac:dyDescent="0.4">
      <c r="B21" s="31" t="s">
        <v>93</v>
      </c>
      <c r="D21" s="3">
        <f>ROUND((SUM(D69:D75)+D81)/D8,3)</f>
        <v>8.0000000000000002E-3</v>
      </c>
      <c r="E21" s="3"/>
      <c r="F21" s="3">
        <f>ROUND((SUM(F69:F75)+F81)/F8,3)</f>
        <v>8.0000000000000002E-3</v>
      </c>
      <c r="G21" s="3"/>
      <c r="H21" s="3">
        <f>ROUND((SUM(H69:H75)+H81)/H8,3)</f>
        <v>6.0000000000000001E-3</v>
      </c>
      <c r="I21" s="3"/>
      <c r="J21" s="3">
        <f>ROUND((SUM(J69:J75)+J81)/J8,3)</f>
        <v>3.0000000000000001E-3</v>
      </c>
      <c r="K21" s="3"/>
      <c r="L21" s="3">
        <f>ROUND((SUM(L69:L75)+L81)/L8,3)</f>
        <v>2E-3</v>
      </c>
      <c r="M21" s="3"/>
      <c r="N21" s="3">
        <f>AVERAGE(D21,F21,H21,J21,L21)</f>
        <v>5.3999999999999994E-3</v>
      </c>
    </row>
    <row r="22" spans="1:14" ht="17.25" x14ac:dyDescent="0.4">
      <c r="B22" s="32" t="s">
        <v>94</v>
      </c>
      <c r="D22" s="4">
        <f>ROUND((D68-D103)/D8,3)</f>
        <v>0.44</v>
      </c>
      <c r="E22" s="3"/>
      <c r="F22" s="4">
        <f>ROUND((F68-F103)/F8,3)</f>
        <v>0.45200000000000001</v>
      </c>
      <c r="G22" s="3"/>
      <c r="H22" s="4">
        <f>ROUND((H68-H103)/H8,3)</f>
        <v>0.45700000000000002</v>
      </c>
      <c r="I22" s="3"/>
      <c r="J22" s="4">
        <f>ROUND((J68-J103)/J8,3)</f>
        <v>0.48499999999999999</v>
      </c>
      <c r="K22" s="3"/>
      <c r="L22" s="4">
        <f>ROUND((L68-L103)/L8,3)</f>
        <v>0.496</v>
      </c>
      <c r="M22" s="3"/>
      <c r="N22" s="4">
        <f>AVERAGE(D22,F22,H22,J22,L22)</f>
        <v>0.46600000000000003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1.0009999999999999</v>
      </c>
      <c r="K23" s="3"/>
      <c r="L23" s="5">
        <f>SUM(L20:L22)</f>
        <v>1.0009999999999999</v>
      </c>
      <c r="M23" s="3"/>
      <c r="N23" s="5">
        <f>AVERAGE(D23,F23,H23,J23,L23)</f>
        <v>1.0003999999999997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0.58399999999999996</v>
      </c>
      <c r="E25" s="3"/>
      <c r="F25" s="3">
        <f>ROUND((+F76+F79+F80)/F10,3)</f>
        <v>0.57299999999999995</v>
      </c>
      <c r="G25" s="3"/>
      <c r="H25" s="3">
        <f>ROUND((+H76+H79+H80)/H10,3)</f>
        <v>0.55400000000000005</v>
      </c>
      <c r="I25" s="3"/>
      <c r="J25" s="3">
        <f>ROUND((+J76+J79+J80)/J10,3)</f>
        <v>0.54500000000000004</v>
      </c>
      <c r="K25" s="3"/>
      <c r="L25" s="3">
        <f>ROUND((+L76+L79+L80)/L10,3)</f>
        <v>0.53800000000000003</v>
      </c>
      <c r="M25" s="3"/>
      <c r="N25" s="3">
        <f>AVERAGE(D25,F25,H25,J25,L25)</f>
        <v>0.55880000000000007</v>
      </c>
    </row>
    <row r="26" spans="1:14" x14ac:dyDescent="0.4">
      <c r="B26" s="31" t="s">
        <v>93</v>
      </c>
      <c r="D26" s="3">
        <f>ROUND((SUM(D69:D75)+D81)/D10,3)</f>
        <v>7.0000000000000001E-3</v>
      </c>
      <c r="E26" s="3"/>
      <c r="F26" s="3">
        <f>ROUND((SUM(F69:F75)+F81)/F10,3)</f>
        <v>8.0000000000000002E-3</v>
      </c>
      <c r="G26" s="3"/>
      <c r="H26" s="3">
        <f>ROUND((SUM(H69:H75)+H81)/H10,3)</f>
        <v>6.0000000000000001E-3</v>
      </c>
      <c r="I26" s="3"/>
      <c r="J26" s="3">
        <f>ROUND((SUM(J69:J75)+J81)/J10,3)</f>
        <v>2E-3</v>
      </c>
      <c r="K26" s="3"/>
      <c r="L26" s="3">
        <f>ROUND((SUM(L69:L75)+L81)/L10,3)</f>
        <v>1E-3</v>
      </c>
      <c r="M26" s="3"/>
      <c r="N26" s="3">
        <f>AVERAGE(D26,F26,H26,J26,L26)</f>
        <v>4.8000000000000004E-3</v>
      </c>
    </row>
    <row r="27" spans="1:14" ht="17.25" x14ac:dyDescent="0.4">
      <c r="B27" s="32" t="s">
        <v>94</v>
      </c>
      <c r="D27" s="4">
        <f>ROUND((D68-D103)/D10,3)</f>
        <v>0.40899999999999997</v>
      </c>
      <c r="E27" s="3"/>
      <c r="F27" s="4">
        <f>ROUND((F68-F103)/F10,3)</f>
        <v>0.42</v>
      </c>
      <c r="G27" s="3"/>
      <c r="H27" s="4">
        <f>ROUND((H68-H103)/H10,3)</f>
        <v>0.44</v>
      </c>
      <c r="I27" s="3"/>
      <c r="J27" s="4">
        <f>ROUND((J68-J103)/J10,3)</f>
        <v>0.45200000000000001</v>
      </c>
      <c r="K27" s="3"/>
      <c r="L27" s="4">
        <f>ROUND((L68-L103)/L10,3)</f>
        <v>0.46100000000000002</v>
      </c>
      <c r="M27" s="3"/>
      <c r="N27" s="4">
        <f>AVERAGE(D27,F27,H27,J27,L27)</f>
        <v>0.43640000000000001</v>
      </c>
    </row>
    <row r="28" spans="1:14" ht="15.4" thickBot="1" x14ac:dyDescent="0.45">
      <c r="D28" s="5">
        <f>SUM(D25:D27)</f>
        <v>1</v>
      </c>
      <c r="E28" s="3"/>
      <c r="F28" s="5">
        <f>SUM(F25:F27)</f>
        <v>1.0009999999999999</v>
      </c>
      <c r="G28" s="3"/>
      <c r="H28" s="5">
        <f>SUM(H25:H27)</f>
        <v>1</v>
      </c>
      <c r="I28" s="3"/>
      <c r="J28" s="5">
        <f>SUM(J25:J27)</f>
        <v>0.99900000000000011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0.122</v>
      </c>
      <c r="E30" s="3"/>
      <c r="F30" s="3">
        <f>ROUND(+F66/(((F68-F103)+(H68-H103))/2),3)</f>
        <v>0.11700000000000001</v>
      </c>
      <c r="G30" s="3"/>
      <c r="H30" s="3">
        <f>ROUND(+H66/(((H68-H103)+(J68-J103))/2),3)</f>
        <v>0.114</v>
      </c>
      <c r="I30" s="3"/>
      <c r="J30" s="3">
        <f>ROUND(+J66/(((J68-J103)+(L68-L103))/2),3)</f>
        <v>0.11</v>
      </c>
      <c r="K30" s="3"/>
      <c r="L30" s="3">
        <f>ROUND(+L66/(((L68-L103)+(N68-N103))/2),3)</f>
        <v>0.13100000000000001</v>
      </c>
      <c r="M30" s="3"/>
      <c r="N30" s="3">
        <f>AVERAGE(D30,F30,H30,J30,L30)</f>
        <v>0.11879999999999999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0.79400000000000004</v>
      </c>
      <c r="E32" s="3"/>
      <c r="F32" s="3">
        <f>ROUND((+F58-F57)/F56,3)</f>
        <v>0.76400000000000001</v>
      </c>
      <c r="G32" s="3"/>
      <c r="H32" s="3">
        <f>ROUND((+H58-H57)/H56,3)</f>
        <v>0.79600000000000004</v>
      </c>
      <c r="I32" s="3"/>
      <c r="J32" s="3">
        <f>ROUND((+J58-J57)/J56,3)</f>
        <v>0.80900000000000005</v>
      </c>
      <c r="K32" s="3"/>
      <c r="L32" s="3">
        <f>ROUND((+L58-L57)/L56,3)</f>
        <v>0.76700000000000002</v>
      </c>
      <c r="M32" s="3"/>
      <c r="N32" s="3">
        <f>AVERAGE(D32,F32,H32,J32,L32)</f>
        <v>0.78600000000000003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4.1900000000000004</v>
      </c>
      <c r="E35" s="7" t="s">
        <v>3</v>
      </c>
      <c r="F35" s="7">
        <f>ROUND(((+F66+F65+F64+F63+F61+F59+F57)/F61),2)</f>
        <v>3.89</v>
      </c>
      <c r="G35" s="7" t="s">
        <v>3</v>
      </c>
      <c r="H35" s="7">
        <f>ROUND(((+H66+H65+H64+H63+H61+H59+H57)/H61),2)</f>
        <v>3.51</v>
      </c>
      <c r="I35" s="7" t="s">
        <v>3</v>
      </c>
      <c r="J35" s="7">
        <f>ROUND(((+J66+J65+J64+J63+J61+J59+J57)/J61),2)</f>
        <v>3.72</v>
      </c>
      <c r="K35" s="7" t="s">
        <v>3</v>
      </c>
      <c r="L35" s="7">
        <f>ROUND(((+L66+L65+L64+L63+L61+L59+L57)/L61),2)</f>
        <v>4.78</v>
      </c>
      <c r="M35" s="7" t="s">
        <v>3</v>
      </c>
      <c r="N35" s="26">
        <f>AVERAGE(D35,F35,H35,J35,L35)</f>
        <v>4.0179999999999998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3.76</v>
      </c>
      <c r="E36" s="7" t="s">
        <v>3</v>
      </c>
      <c r="F36" s="7">
        <f>ROUND(((+F66+F65+F64+F63+F61)/(F61)),2)</f>
        <v>3.43</v>
      </c>
      <c r="G36" s="7" t="s">
        <v>3</v>
      </c>
      <c r="H36" s="7">
        <f>ROUND(((+H66+H65+H64+H63+H61)/(H61)),2)</f>
        <v>3.26</v>
      </c>
      <c r="I36" s="7" t="s">
        <v>3</v>
      </c>
      <c r="J36" s="7">
        <f>ROUND(((+J66+J65+J64+J63+J61)/(J61)),2)</f>
        <v>3.35</v>
      </c>
      <c r="K36" s="7" t="s">
        <v>3</v>
      </c>
      <c r="L36" s="7">
        <f>ROUND(((+L66+L65+L64+L63+L61)/(L61)),2)</f>
        <v>3.86</v>
      </c>
      <c r="M36" s="7" t="s">
        <v>3</v>
      </c>
      <c r="N36" s="26">
        <f>AVERAGE(D36,F36,H36,J36,L36)</f>
        <v>3.532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3.75</v>
      </c>
      <c r="E37" s="7" t="s">
        <v>3</v>
      </c>
      <c r="F37" s="7">
        <f>ROUND(((+F66+F65+F64+F63+F61)/(F61+F63+F64+F65)),2)</f>
        <v>3.42</v>
      </c>
      <c r="G37" s="7" t="s">
        <v>3</v>
      </c>
      <c r="H37" s="7">
        <f>ROUND(((+H66+H65+H64+H63+H61)/(H61+H63+H64+H65)),2)</f>
        <v>3.26</v>
      </c>
      <c r="I37" s="7" t="s">
        <v>3</v>
      </c>
      <c r="J37" s="7">
        <f>ROUND(((+J66+J65+J64+J63+J61)/(J61+J63+J64+J65)),2)</f>
        <v>3.34</v>
      </c>
      <c r="K37" s="7" t="s">
        <v>3</v>
      </c>
      <c r="L37" s="7">
        <f>ROUND(((+L66+L65+L64+L63+L61)/(L61+L63+L64+L65)),2)</f>
        <v>3.85</v>
      </c>
      <c r="M37" s="7" t="s">
        <v>3</v>
      </c>
      <c r="N37" s="26">
        <f>AVERAGE(D37,F37,H37,J37,L37)</f>
        <v>3.524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4.1399999999999997</v>
      </c>
      <c r="E40" s="7" t="s">
        <v>3</v>
      </c>
      <c r="F40" s="7">
        <f>ROUND(((+F66+F65+F64+F63-F62+F61+F59+F57)/F61),2)</f>
        <v>3.84</v>
      </c>
      <c r="G40" s="7" t="s">
        <v>3</v>
      </c>
      <c r="H40" s="7">
        <f>ROUND(((+H66+H65+H64+H63-H62+H61+H59+H57)/H61),2)</f>
        <v>3.47</v>
      </c>
      <c r="I40" s="7" t="s">
        <v>3</v>
      </c>
      <c r="J40" s="7">
        <f>ROUND(((+J66+J65+J64+J63-J62+J61+J59+J57)/J61),2)</f>
        <v>3.67</v>
      </c>
      <c r="K40" s="7" t="s">
        <v>3</v>
      </c>
      <c r="L40" s="7">
        <f>ROUND(((+L66+L65+L64+L63-L62+L61+L59+L57)/L61),2)</f>
        <v>4.74</v>
      </c>
      <c r="M40" s="7" t="s">
        <v>3</v>
      </c>
      <c r="N40" s="26">
        <f>AVERAGE(D40,F40,H40,J40,L40)</f>
        <v>3.972</v>
      </c>
      <c r="O40" t="s">
        <v>3</v>
      </c>
    </row>
    <row r="41" spans="1:15" x14ac:dyDescent="0.4">
      <c r="B41" t="s">
        <v>21</v>
      </c>
      <c r="D41" s="7">
        <f>ROUND(((+D66+D65+D64+D63-D62+D61)/D61),2)</f>
        <v>3.71</v>
      </c>
      <c r="E41" s="7" t="s">
        <v>3</v>
      </c>
      <c r="F41" s="7">
        <f>ROUND(((+F66+F65+F64+F63-F62+F61)/F61),2)</f>
        <v>3.37</v>
      </c>
      <c r="G41" s="7" t="s">
        <v>3</v>
      </c>
      <c r="H41" s="7">
        <f>ROUND(((+H66+H65+H64+H63-H62+H61)/H61),2)</f>
        <v>3.22</v>
      </c>
      <c r="I41" s="7" t="s">
        <v>3</v>
      </c>
      <c r="J41" s="7">
        <f>ROUND(((+J66+J65+J64+J63-J62+J61)/J61),2)</f>
        <v>3.3</v>
      </c>
      <c r="K41" s="7" t="s">
        <v>3</v>
      </c>
      <c r="L41" s="7">
        <f>ROUND(((+L66+L65+L64+L63-L62+L61)/L61),2)</f>
        <v>3.83</v>
      </c>
      <c r="M41" s="7" t="s">
        <v>3</v>
      </c>
      <c r="N41" s="26">
        <f>AVERAGE(D41,F41,H41,J41,L41)</f>
        <v>3.4859999999999998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3.7</v>
      </c>
      <c r="E42" s="7" t="s">
        <v>3</v>
      </c>
      <c r="F42" s="7">
        <f>ROUND(((+F66+F65+F64+F63-F62+F61)/(F61+F63+F64+F65)),2)</f>
        <v>3.37</v>
      </c>
      <c r="G42" s="7" t="s">
        <v>3</v>
      </c>
      <c r="H42" s="7">
        <f>ROUND(((+H66+H65+H64+H63-H62+H61)/(H61+H63+H64+H65)),2)</f>
        <v>3.22</v>
      </c>
      <c r="I42" s="7" t="s">
        <v>3</v>
      </c>
      <c r="J42" s="7">
        <f>ROUND(((+J66+J65+J64+J63-J62+J61)/(J61+J63+J64+J65)),2)</f>
        <v>3.29</v>
      </c>
      <c r="K42" s="7" t="s">
        <v>3</v>
      </c>
      <c r="L42" s="7">
        <f>ROUND(((+L66+L65+L64+L63-L62+L61)/(L61+L63+L64+L65)),2)</f>
        <v>3.82</v>
      </c>
      <c r="M42" s="7" t="s">
        <v>3</v>
      </c>
      <c r="N42" s="26">
        <f>AVERAGE(D42,F42,H42,J42,L42)</f>
        <v>3.4800000000000004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1.9E-2</v>
      </c>
      <c r="E45" s="11"/>
      <c r="F45" s="11">
        <f>ROUND(F62/F66,3)</f>
        <v>2.4E-2</v>
      </c>
      <c r="G45" s="11"/>
      <c r="H45" s="11">
        <f>ROUND(H62/H66,3)</f>
        <v>1.7999999999999999E-2</v>
      </c>
      <c r="I45" s="11"/>
      <c r="J45" s="11">
        <f>ROUND(J62/J66,3)</f>
        <v>2.1000000000000001E-2</v>
      </c>
      <c r="K45" s="11"/>
      <c r="L45" s="11">
        <f>ROUND(L62/L66,3)</f>
        <v>1.4E-2</v>
      </c>
      <c r="M45" s="3"/>
      <c r="N45" s="3">
        <f t="shared" ref="N45:N50" si="0">AVERAGE(D45,F45,H45,J45,L45)</f>
        <v>1.9200000000000002E-2</v>
      </c>
    </row>
    <row r="46" spans="1:15" x14ac:dyDescent="0.4">
      <c r="B46" t="s">
        <v>17</v>
      </c>
      <c r="D46" s="17">
        <f>ROUND((D57+D59)/(D57+D59+D66+D63+D64+D65),3)</f>
        <v>0.13300000000000001</v>
      </c>
      <c r="E46" s="18"/>
      <c r="F46" s="17">
        <f>ROUND((F57+F59)/(F57+F59+F66+F63+F64+F65),3)</f>
        <v>0.159</v>
      </c>
      <c r="G46" s="18"/>
      <c r="H46" s="17">
        <f>ROUND((H57+H59)/(H57+H59+H66+H63+H64+H65),3)</f>
        <v>9.9000000000000005E-2</v>
      </c>
      <c r="I46" s="18"/>
      <c r="J46" s="17">
        <f>ROUND((J57+J59)/(J57+J59+J66+J63+J64+J65),3)</f>
        <v>0.13800000000000001</v>
      </c>
      <c r="K46" s="18"/>
      <c r="L46" s="17">
        <f>ROUND((L57+L59)/(L57+L59+L66+L63+L64+L65),3)</f>
        <v>0.24099999999999999</v>
      </c>
      <c r="N46" s="3">
        <f t="shared" si="0"/>
        <v>0.154</v>
      </c>
    </row>
    <row r="47" spans="1:15" ht="17.25" x14ac:dyDescent="0.4">
      <c r="B47" s="33" t="s">
        <v>100</v>
      </c>
      <c r="D47" s="11">
        <f>ROUND(((+D82+D83+D84+D85+D86-D87+D88-D90-D91)/(+D89-D87)),3)</f>
        <v>0.65900000000000003</v>
      </c>
      <c r="E47" s="12"/>
      <c r="F47" s="11">
        <f>ROUND(((+F82+F83+F84+F85+F86-F87+F88-F90-F91)/(+F89-F87)),3)</f>
        <v>0.64800000000000002</v>
      </c>
      <c r="G47" s="12"/>
      <c r="H47" s="11">
        <f>ROUND(((+H82+H83+H84+H85+H86-H87+H88-H90-H91)/(+H89-H87)),3)</f>
        <v>0.63300000000000001</v>
      </c>
      <c r="I47" s="12"/>
      <c r="J47" s="11">
        <f>ROUND(((+J82+J83+J84+J85+J86-J87+J88-J90-J91)/(+J89-J87)),3)</f>
        <v>0.81299999999999994</v>
      </c>
      <c r="K47" s="12"/>
      <c r="L47" s="11">
        <f>ROUND(((+L82+L83+L84+L85+L86-L87+L88-L90-L91)/(+L89-L87)),3)</f>
        <v>0.66400000000000003</v>
      </c>
      <c r="N47" s="3">
        <f t="shared" si="0"/>
        <v>0.68340000000000001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0.157</v>
      </c>
      <c r="E48" s="12"/>
      <c r="F48" s="11">
        <f>ROUND(((+F82+F83+F84+F85+F86-F87+F88)/(AVERAGE(F76,H76)+AVERAGE(F79,H79)+AVERAGE(F80,H80))),3)</f>
        <v>0.16600000000000001</v>
      </c>
      <c r="G48" s="12"/>
      <c r="H48" s="11">
        <f>ROUND(((+H82+H83+H84+H85+H86-H87+H88)/(AVERAGE(H76,J76)+AVERAGE(H79,J79)+AVERAGE(H80,J80))),3)</f>
        <v>0.17699999999999999</v>
      </c>
      <c r="I48" s="12"/>
      <c r="J48" s="11">
        <f>ROUND(((+J82+J83+J84+J85+J86-J87+J88)/(AVERAGE(J76,L76)+AVERAGE(J79,L79)+AVERAGE(J80,L80))),3)</f>
        <v>0.21199999999999999</v>
      </c>
      <c r="K48" s="12"/>
      <c r="L48" s="11">
        <f>ROUND(((+L82+L83+L84+L85+L86-L87+L88)/(AVERAGE(L76,N76)+AVERAGE(L79,N79)+AVERAGE(L80,N80))),3)</f>
        <v>0.185</v>
      </c>
      <c r="N48" s="3">
        <f t="shared" si="0"/>
        <v>0.1794</v>
      </c>
    </row>
    <row r="49" spans="1:15" ht="17.25" x14ac:dyDescent="0.4">
      <c r="B49" s="33" t="s">
        <v>102</v>
      </c>
      <c r="D49" s="27">
        <f>ROUND(((+D82+D83+D84+D85+D86-D87+D88+D92)/D61),2)</f>
        <v>5.97</v>
      </c>
      <c r="E49" t="s">
        <v>3</v>
      </c>
      <c r="F49" s="27">
        <f>ROUND(((+F82+F83+F84+F85+F86-F87+F88+F92)/F61),2)</f>
        <v>5.55</v>
      </c>
      <c r="G49" t="s">
        <v>3</v>
      </c>
      <c r="H49" s="27">
        <f>ROUND(((+H82+H83+H84+H85+H86-H87+H88+H92)/H61),2)</f>
        <v>5.31</v>
      </c>
      <c r="I49" t="s">
        <v>3</v>
      </c>
      <c r="J49" s="27">
        <f>ROUND(((+J82+J83+J84+J85+J86-J87+J88+J92)/J61),2)</f>
        <v>6.32</v>
      </c>
      <c r="K49" t="s">
        <v>3</v>
      </c>
      <c r="L49" s="27">
        <f>ROUND(((+L82+L83+L84+L85+L86-L87+L88+L92)/L61),2)</f>
        <v>5.64</v>
      </c>
      <c r="M49" t="s">
        <v>3</v>
      </c>
      <c r="N49" s="27">
        <f t="shared" si="0"/>
        <v>5.758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2.74</v>
      </c>
      <c r="E50" t="s">
        <v>3</v>
      </c>
      <c r="F50" s="27">
        <f>ROUND(((+F82+F83+F84+F85+F86-F87+F88-F91)/+F90),2)</f>
        <v>2.82</v>
      </c>
      <c r="G50" t="s">
        <v>3</v>
      </c>
      <c r="H50" s="27">
        <f>ROUND(((+H82+H83+H84+H85+H86-H87+H88-H91)/+H90),2)</f>
        <v>2.92</v>
      </c>
      <c r="I50" t="s">
        <v>3</v>
      </c>
      <c r="J50" s="27">
        <f>ROUND(((+J82+J83+J84+J85+J86-J87+J88-J91)/+J90),2)</f>
        <v>3.47</v>
      </c>
      <c r="K50" t="s">
        <v>3</v>
      </c>
      <c r="L50" s="27">
        <f>ROUND(((+L82+L83+L84+L85+L86-L87+L88-L91)/+L90),2)</f>
        <v>2.98</v>
      </c>
      <c r="M50" t="s">
        <v>3</v>
      </c>
      <c r="N50" s="27">
        <f t="shared" si="0"/>
        <v>2.9860000000000002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113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8316</v>
      </c>
      <c r="E56" s="22"/>
      <c r="F56" s="22">
        <v>7241.7</v>
      </c>
      <c r="G56" s="22"/>
      <c r="H56" s="22">
        <v>7523.1</v>
      </c>
      <c r="I56" s="22"/>
      <c r="J56" s="22">
        <v>7679.5</v>
      </c>
      <c r="K56" s="22"/>
      <c r="L56" s="22">
        <v>7648.5</v>
      </c>
      <c r="M56" s="22"/>
      <c r="N56" s="22">
        <v>7472.3</v>
      </c>
    </row>
    <row r="57" spans="1:15" x14ac:dyDescent="0.4">
      <c r="A57" s="20" t="s">
        <v>23</v>
      </c>
      <c r="B57" s="20"/>
      <c r="C57" s="20"/>
      <c r="D57" s="22">
        <v>200.3</v>
      </c>
      <c r="E57" s="22"/>
      <c r="F57" s="22">
        <v>227.9</v>
      </c>
      <c r="G57" s="22"/>
      <c r="H57" s="22">
        <v>125</v>
      </c>
      <c r="I57" s="22"/>
      <c r="J57" s="22">
        <v>169.8</v>
      </c>
      <c r="K57" s="22"/>
      <c r="L57" s="22">
        <v>383.5</v>
      </c>
      <c r="M57" s="22"/>
      <c r="N57" s="22">
        <v>566.5</v>
      </c>
    </row>
    <row r="58" spans="1:15" x14ac:dyDescent="0.4">
      <c r="A58" s="20" t="s">
        <v>24</v>
      </c>
      <c r="B58" s="20"/>
      <c r="C58" s="20"/>
      <c r="D58" s="22">
        <f>6601.1+D57</f>
        <v>6801.4000000000005</v>
      </c>
      <c r="E58" s="22"/>
      <c r="F58" s="22">
        <f>5535.6+F57</f>
        <v>5763.5</v>
      </c>
      <c r="G58" s="22"/>
      <c r="H58" s="22">
        <f>5991.7+H57</f>
        <v>6116.7</v>
      </c>
      <c r="I58" s="22"/>
      <c r="J58" s="22">
        <v>6380.9</v>
      </c>
      <c r="K58" s="22"/>
      <c r="L58" s="22">
        <v>6246.8</v>
      </c>
      <c r="M58" s="22"/>
      <c r="N58" s="22">
        <v>6367.6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1714.9-D57+158.1+133.2-36.3+3</f>
        <v>1772.6000000000001</v>
      </c>
      <c r="E60" s="22"/>
      <c r="F60" s="22">
        <f>1706.1-F57+175.8+79.5-38.4-0.3</f>
        <v>1694.7999999999997</v>
      </c>
      <c r="G60" s="22"/>
      <c r="H60" s="22">
        <f>1531.4-H57+127.6+102.2+0.5</f>
        <v>1636.7</v>
      </c>
      <c r="I60" s="22"/>
      <c r="J60" s="22">
        <v>1505.6</v>
      </c>
      <c r="K60" s="22"/>
      <c r="L60" s="22">
        <v>1620.6</v>
      </c>
      <c r="M60" s="22"/>
      <c r="N60" s="22">
        <v>1342.9</v>
      </c>
    </row>
    <row r="61" spans="1:15" x14ac:dyDescent="0.4">
      <c r="A61" s="20" t="s">
        <v>27</v>
      </c>
      <c r="B61" s="20"/>
      <c r="C61" s="20"/>
      <c r="D61" s="22">
        <v>471.1</v>
      </c>
      <c r="E61" s="22"/>
      <c r="F61" s="22">
        <v>493.7</v>
      </c>
      <c r="G61" s="22"/>
      <c r="H61" s="22">
        <v>501.5</v>
      </c>
      <c r="I61" s="22"/>
      <c r="J61" s="22">
        <v>452</v>
      </c>
      <c r="K61" s="22"/>
      <c r="L61" s="22">
        <v>420.6</v>
      </c>
      <c r="M61" s="22"/>
      <c r="N61" s="22">
        <v>413.6</v>
      </c>
    </row>
    <row r="62" spans="1:15" x14ac:dyDescent="0.4">
      <c r="A62" s="20" t="s">
        <v>28</v>
      </c>
      <c r="B62" s="20"/>
      <c r="C62" s="20"/>
      <c r="D62" s="22">
        <f>6.8+18</f>
        <v>24.8</v>
      </c>
      <c r="E62" s="22"/>
      <c r="F62" s="22">
        <f>8+20.9</f>
        <v>28.9</v>
      </c>
      <c r="G62" s="22"/>
      <c r="H62" s="22">
        <f>5.9+14.4</f>
        <v>20.3</v>
      </c>
      <c r="I62" s="22"/>
      <c r="J62" s="22">
        <v>22.1</v>
      </c>
      <c r="K62" s="22"/>
      <c r="L62" s="22">
        <v>16.3</v>
      </c>
      <c r="M62" s="22"/>
      <c r="N62" s="22">
        <v>36</v>
      </c>
    </row>
    <row r="63" spans="1:15" x14ac:dyDescent="0.4">
      <c r="A63" s="20" t="s">
        <v>29</v>
      </c>
      <c r="B63" s="20"/>
      <c r="C63" s="20"/>
      <c r="D63" s="22">
        <v>1.2</v>
      </c>
      <c r="E63" s="22"/>
      <c r="F63" s="22">
        <v>1.2</v>
      </c>
      <c r="G63" s="22"/>
      <c r="H63" s="22">
        <v>1.2</v>
      </c>
      <c r="I63" s="22"/>
      <c r="J63" s="22">
        <v>1.2</v>
      </c>
      <c r="K63" s="22"/>
      <c r="L63" s="22">
        <v>1.2</v>
      </c>
      <c r="M63" s="22"/>
      <c r="N63" s="22">
        <v>1.2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1300.3</v>
      </c>
      <c r="E66" s="22"/>
      <c r="F66" s="22">
        <v>1199.9000000000001</v>
      </c>
      <c r="G66" s="22"/>
      <c r="H66" s="22">
        <v>1134</v>
      </c>
      <c r="I66" s="22"/>
      <c r="J66" s="22">
        <v>1059.3</v>
      </c>
      <c r="K66" s="22"/>
      <c r="L66" s="22">
        <v>1203.7</v>
      </c>
      <c r="M66" s="22"/>
      <c r="N66" s="22">
        <v>939</v>
      </c>
    </row>
    <row r="67" spans="1:14" x14ac:dyDescent="0.4">
      <c r="A67" s="20" t="s">
        <v>33</v>
      </c>
      <c r="B67" s="20"/>
      <c r="C67" s="20"/>
      <c r="D67" s="22">
        <v>4.12</v>
      </c>
      <c r="E67" s="22"/>
      <c r="F67" s="22">
        <v>3.8</v>
      </c>
      <c r="G67" s="22"/>
      <c r="H67" s="22">
        <v>3.6</v>
      </c>
      <c r="I67" s="22"/>
      <c r="J67" s="22">
        <v>3.36</v>
      </c>
      <c r="K67" s="22"/>
      <c r="L67" s="22">
        <v>3.81</v>
      </c>
      <c r="M67" s="22"/>
      <c r="N67" s="22">
        <v>2.98</v>
      </c>
    </row>
    <row r="68" spans="1:14" x14ac:dyDescent="0.4">
      <c r="A68" s="20" t="s">
        <v>34</v>
      </c>
      <c r="B68" s="20"/>
      <c r="C68" s="20"/>
      <c r="D68" s="22">
        <v>10913.2</v>
      </c>
      <c r="E68" s="22"/>
      <c r="F68" s="22">
        <v>10469.700000000001</v>
      </c>
      <c r="G68" s="22"/>
      <c r="H68" s="22">
        <v>10113.4</v>
      </c>
      <c r="I68" s="22"/>
      <c r="J68" s="22">
        <v>9788.9</v>
      </c>
      <c r="K68" s="22"/>
      <c r="L68" s="22">
        <v>9461.4</v>
      </c>
      <c r="M68" s="22"/>
      <c r="N68" s="22">
        <v>8929.7999999999993</v>
      </c>
    </row>
    <row r="69" spans="1:14" x14ac:dyDescent="0.4">
      <c r="A69" s="20" t="s">
        <v>35</v>
      </c>
      <c r="B69" s="20"/>
      <c r="C69" s="20"/>
      <c r="D69" s="22">
        <v>30.4</v>
      </c>
      <c r="E69" s="22"/>
      <c r="F69" s="22">
        <v>30.4</v>
      </c>
      <c r="G69" s="22"/>
      <c r="H69" s="22">
        <v>30.4</v>
      </c>
      <c r="I69" s="22"/>
      <c r="J69" s="22">
        <v>30.4</v>
      </c>
      <c r="K69" s="22"/>
      <c r="L69" s="22">
        <v>30.4</v>
      </c>
      <c r="M69" s="22"/>
      <c r="N69" s="22">
        <v>30.4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169.7</v>
      </c>
      <c r="E75" s="22"/>
      <c r="F75" s="22">
        <v>162.4</v>
      </c>
      <c r="G75" s="22"/>
      <c r="H75" s="22">
        <v>110.8</v>
      </c>
      <c r="I75" s="22"/>
      <c r="J75" s="22">
        <v>23.4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13523.7</v>
      </c>
      <c r="E76" s="22"/>
      <c r="F76" s="22">
        <v>11728.1</v>
      </c>
      <c r="G76" s="22"/>
      <c r="H76" s="22">
        <v>11211</v>
      </c>
      <c r="I76" s="22"/>
      <c r="J76" s="22">
        <v>9994</v>
      </c>
      <c r="K76" s="22"/>
      <c r="L76" s="22">
        <v>8746.6</v>
      </c>
      <c r="M76" s="22"/>
      <c r="N76" s="22">
        <v>9158.2000000000007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24637</v>
      </c>
      <c r="E78" s="22"/>
      <c r="F78" s="22">
        <f>SUM(F68:F77)</f>
        <v>22390.6</v>
      </c>
      <c r="G78" s="22"/>
      <c r="H78" s="22">
        <f>SUM(H68:H77)</f>
        <v>21465.599999999999</v>
      </c>
      <c r="I78" s="22"/>
      <c r="J78" s="22">
        <v>19836.7</v>
      </c>
      <c r="K78" s="22"/>
      <c r="L78" s="22">
        <v>18238.400000000001</v>
      </c>
      <c r="M78" s="22"/>
      <c r="N78" s="22">
        <v>18118.400000000001</v>
      </c>
    </row>
    <row r="79" spans="1:14" x14ac:dyDescent="0.4">
      <c r="A79" s="20" t="s">
        <v>45</v>
      </c>
      <c r="B79" s="20"/>
      <c r="C79" s="20"/>
      <c r="D79" s="22">
        <v>169.4</v>
      </c>
      <c r="E79" s="22"/>
      <c r="F79" s="22">
        <v>785.8</v>
      </c>
      <c r="G79" s="22"/>
      <c r="H79" s="22">
        <v>693.2</v>
      </c>
      <c r="I79" s="22"/>
      <c r="J79" s="22">
        <v>365</v>
      </c>
      <c r="K79" s="22"/>
      <c r="L79" s="22">
        <v>842.1</v>
      </c>
      <c r="M79" s="22"/>
      <c r="N79" s="22">
        <v>157.19999999999999</v>
      </c>
    </row>
    <row r="80" spans="1:14" x14ac:dyDescent="0.4">
      <c r="A80" s="20" t="s">
        <v>46</v>
      </c>
      <c r="B80" s="20"/>
      <c r="C80" s="20"/>
      <c r="D80" s="22">
        <v>1897</v>
      </c>
      <c r="E80" s="22"/>
      <c r="F80" s="22">
        <v>1776.9</v>
      </c>
      <c r="G80" s="22"/>
      <c r="H80" s="22">
        <v>830.8</v>
      </c>
      <c r="I80" s="22"/>
      <c r="J80" s="22">
        <v>1440.1</v>
      </c>
      <c r="K80" s="22"/>
      <c r="L80" s="22">
        <v>1444.6</v>
      </c>
      <c r="M80" s="22"/>
      <c r="N80" s="22">
        <v>860.2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1298.5</v>
      </c>
      <c r="E82" s="22"/>
      <c r="F82" s="22">
        <v>1201.4000000000001</v>
      </c>
      <c r="G82" s="22"/>
      <c r="H82" s="22">
        <v>1134.7</v>
      </c>
      <c r="I82" s="22"/>
      <c r="J82" s="22">
        <v>1060.5</v>
      </c>
      <c r="K82" s="22"/>
      <c r="L82" s="22">
        <v>1204.9000000000001</v>
      </c>
      <c r="M82" s="22"/>
      <c r="N82" s="22">
        <v>940.2</v>
      </c>
    </row>
    <row r="83" spans="1:14" x14ac:dyDescent="0.4">
      <c r="A83" s="20" t="s">
        <v>49</v>
      </c>
      <c r="B83" s="20"/>
      <c r="C83" s="20"/>
      <c r="D83" s="22">
        <v>1074.3</v>
      </c>
      <c r="E83" s="22"/>
      <c r="F83" s="22">
        <v>975.9</v>
      </c>
      <c r="G83" s="22"/>
      <c r="H83" s="22">
        <v>926.3</v>
      </c>
      <c r="I83" s="22"/>
      <c r="J83" s="22">
        <v>845.8</v>
      </c>
      <c r="K83" s="22"/>
      <c r="L83" s="22">
        <v>798.6</v>
      </c>
      <c r="M83" s="22"/>
      <c r="N83" s="22">
        <v>762.6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151.1</v>
      </c>
      <c r="E85" s="22"/>
      <c r="F85" s="22">
        <v>209.4</v>
      </c>
      <c r="G85" s="22"/>
      <c r="H85" s="22">
        <v>162.9</v>
      </c>
      <c r="I85" s="22"/>
      <c r="J85" s="22">
        <v>300.10000000000002</v>
      </c>
      <c r="K85" s="22"/>
      <c r="L85" s="22">
        <v>274.39999999999998</v>
      </c>
      <c r="M85" s="22"/>
      <c r="N85" s="22">
        <v>498.7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-2.8</v>
      </c>
      <c r="K86" s="22"/>
      <c r="L86" s="22">
        <v>-2.7</v>
      </c>
      <c r="M86" s="22"/>
      <c r="N86" s="22">
        <v>-4.9000000000000004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-66.3-25.1-93</f>
        <v>-184.4</v>
      </c>
      <c r="E88" s="22"/>
      <c r="F88" s="22">
        <f>-113.2-29.1+3.4</f>
        <v>-138.9</v>
      </c>
      <c r="G88" s="22"/>
      <c r="H88" s="22">
        <f>-65.9-2.9+20.6</f>
        <v>-48.20000000000001</v>
      </c>
      <c r="I88" s="22"/>
      <c r="J88" s="22">
        <v>212.8</v>
      </c>
      <c r="K88" s="22"/>
      <c r="L88" s="22">
        <v>-318</v>
      </c>
      <c r="M88" s="22"/>
      <c r="N88" s="22">
        <v>-82.5</v>
      </c>
    </row>
    <row r="89" spans="1:14" x14ac:dyDescent="0.4">
      <c r="A89" s="20" t="s">
        <v>54</v>
      </c>
      <c r="B89" s="20"/>
      <c r="C89" s="20"/>
      <c r="D89" s="22">
        <v>2252.8000000000002</v>
      </c>
      <c r="E89" s="22"/>
      <c r="F89" s="22">
        <v>2238.8000000000002</v>
      </c>
      <c r="G89" s="22"/>
      <c r="H89" s="22">
        <v>2260.8000000000002</v>
      </c>
      <c r="I89" s="22"/>
      <c r="J89" s="22">
        <v>2115.6999999999998</v>
      </c>
      <c r="K89" s="22"/>
      <c r="L89" s="22">
        <v>1959.5</v>
      </c>
      <c r="M89" s="22"/>
      <c r="N89" s="22">
        <v>1423.7</v>
      </c>
    </row>
    <row r="90" spans="1:14" x14ac:dyDescent="0.4">
      <c r="A90" s="20" t="s">
        <v>55</v>
      </c>
      <c r="B90" s="20"/>
      <c r="C90" s="20"/>
      <c r="D90" s="22">
        <v>854.8</v>
      </c>
      <c r="E90" s="22"/>
      <c r="F90" s="22">
        <v>798</v>
      </c>
      <c r="G90" s="22"/>
      <c r="H90" s="22">
        <v>744.5</v>
      </c>
      <c r="I90" s="22"/>
      <c r="J90" s="22">
        <v>697.3</v>
      </c>
      <c r="K90" s="22"/>
      <c r="L90" s="22">
        <v>656.5</v>
      </c>
      <c r="M90" s="22"/>
      <c r="N90" s="22">
        <v>624.9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473.8</v>
      </c>
      <c r="E92" s="22"/>
      <c r="F92" s="22">
        <v>492.9</v>
      </c>
      <c r="G92" s="22"/>
      <c r="H92" s="22">
        <v>485.9</v>
      </c>
      <c r="I92" s="22"/>
      <c r="J92" s="22">
        <v>441.5</v>
      </c>
      <c r="K92" s="22"/>
      <c r="L92" s="22">
        <v>413.7</v>
      </c>
      <c r="M92" s="22"/>
      <c r="N92" s="22">
        <v>411.9</v>
      </c>
    </row>
    <row r="93" spans="1:14" x14ac:dyDescent="0.4">
      <c r="A93" s="20" t="s">
        <v>58</v>
      </c>
      <c r="B93" s="20"/>
      <c r="C93" s="20"/>
      <c r="D93" s="22">
        <v>33.799999999999997</v>
      </c>
      <c r="E93" s="22"/>
      <c r="F93" s="22">
        <v>27.9</v>
      </c>
      <c r="G93" s="22"/>
      <c r="H93" s="22">
        <v>-24.9</v>
      </c>
      <c r="I93" s="22"/>
      <c r="J93" s="22">
        <v>16.3</v>
      </c>
      <c r="K93" s="22"/>
      <c r="L93" s="22">
        <v>-5.2</v>
      </c>
      <c r="M93" s="22"/>
      <c r="N93" s="22">
        <v>-39.700000000000003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854.8</v>
      </c>
      <c r="E96" s="22"/>
      <c r="F96" s="22">
        <v>798</v>
      </c>
      <c r="G96" s="22"/>
      <c r="H96" s="22">
        <v>744.5</v>
      </c>
      <c r="I96" s="22"/>
      <c r="J96" s="22">
        <v>697.3</v>
      </c>
      <c r="K96" s="22"/>
      <c r="L96" s="22">
        <v>656.5</v>
      </c>
      <c r="M96" s="22"/>
      <c r="N96" s="22">
        <v>624.9</v>
      </c>
    </row>
    <row r="97" spans="1:14" x14ac:dyDescent="0.4">
      <c r="A97" s="20" t="s">
        <v>60</v>
      </c>
      <c r="B97" s="20"/>
      <c r="C97" s="20"/>
      <c r="D97" s="22">
        <v>2.71</v>
      </c>
      <c r="E97" s="22"/>
      <c r="F97" s="22">
        <v>2.5299999999999998</v>
      </c>
      <c r="G97" s="22"/>
      <c r="H97" s="22">
        <v>2.36</v>
      </c>
      <c r="I97" s="22"/>
      <c r="J97" s="22">
        <v>2.21</v>
      </c>
      <c r="K97" s="22"/>
      <c r="L97" s="22">
        <v>2.08</v>
      </c>
      <c r="M97" s="22"/>
      <c r="N97" s="22">
        <v>1.98</v>
      </c>
    </row>
    <row r="98" spans="1:14" x14ac:dyDescent="0.4">
      <c r="A98" s="20" t="s">
        <v>61</v>
      </c>
      <c r="B98" s="20"/>
      <c r="C98" s="20"/>
      <c r="D98" s="22">
        <v>2.71</v>
      </c>
      <c r="E98" s="22"/>
      <c r="F98" s="22">
        <v>2.5299999999999998</v>
      </c>
      <c r="G98" s="22"/>
      <c r="H98" s="22">
        <v>2.36</v>
      </c>
      <c r="I98" s="22"/>
      <c r="J98" s="22">
        <v>2.21</v>
      </c>
      <c r="K98" s="22"/>
      <c r="L98" s="22">
        <v>2.08</v>
      </c>
      <c r="M98" s="22"/>
      <c r="N98" s="22">
        <v>1.98</v>
      </c>
    </row>
    <row r="99" spans="1:14" x14ac:dyDescent="0.4">
      <c r="A99" s="20" t="s">
        <v>62</v>
      </c>
      <c r="B99" s="20"/>
      <c r="C99" s="20"/>
      <c r="D99" s="22">
        <v>99.86</v>
      </c>
      <c r="E99" s="22"/>
      <c r="F99" s="22">
        <v>109.53</v>
      </c>
      <c r="G99" s="22"/>
      <c r="H99" s="22">
        <v>98.19</v>
      </c>
      <c r="I99" s="22"/>
      <c r="J99" s="22">
        <v>75.48</v>
      </c>
      <c r="K99" s="22"/>
      <c r="L99" s="22">
        <v>70.09</v>
      </c>
      <c r="M99" s="22"/>
      <c r="N99" s="22">
        <v>66.102999999999994</v>
      </c>
    </row>
    <row r="100" spans="1:14" x14ac:dyDescent="0.4">
      <c r="A100" s="20" t="s">
        <v>63</v>
      </c>
      <c r="B100" s="20"/>
      <c r="C100" s="20"/>
      <c r="D100" s="22">
        <v>80.55</v>
      </c>
      <c r="E100" s="22"/>
      <c r="F100" s="22">
        <v>68.010000000000005</v>
      </c>
      <c r="G100" s="22"/>
      <c r="H100" s="22">
        <v>67.209999999999994</v>
      </c>
      <c r="I100" s="22"/>
      <c r="J100" s="22">
        <v>58.48</v>
      </c>
      <c r="K100" s="22"/>
      <c r="L100" s="22">
        <v>56.05</v>
      </c>
      <c r="M100" s="22"/>
      <c r="N100" s="22">
        <v>50.44</v>
      </c>
    </row>
    <row r="101" spans="1:14" x14ac:dyDescent="0.4">
      <c r="A101" s="20" t="s">
        <v>64</v>
      </c>
      <c r="B101" s="20"/>
      <c r="C101" s="20"/>
      <c r="D101" s="22">
        <v>97.07</v>
      </c>
      <c r="E101" s="22"/>
      <c r="F101" s="22">
        <v>92.03</v>
      </c>
      <c r="G101" s="22"/>
      <c r="H101" s="22">
        <v>92.23</v>
      </c>
      <c r="I101" s="22"/>
      <c r="J101" s="22">
        <v>69.260000000000005</v>
      </c>
      <c r="K101" s="22"/>
      <c r="L101" s="22">
        <v>66.430000000000007</v>
      </c>
      <c r="M101" s="22"/>
      <c r="N101" s="22">
        <v>58.65</v>
      </c>
    </row>
    <row r="102" spans="1:14" x14ac:dyDescent="0.4">
      <c r="A102" s="20" t="s">
        <v>65</v>
      </c>
      <c r="B102" s="20"/>
      <c r="C102" s="20"/>
      <c r="D102" s="22">
        <v>315.43453099999999</v>
      </c>
      <c r="E102" s="22"/>
      <c r="F102" s="22">
        <v>315.43453099999999</v>
      </c>
      <c r="G102" s="22"/>
      <c r="H102" s="22">
        <v>315.43453099999999</v>
      </c>
      <c r="I102" s="22"/>
      <c r="J102" s="22">
        <v>315.52300000000002</v>
      </c>
      <c r="K102" s="22"/>
      <c r="L102" s="22">
        <v>315.57499999999999</v>
      </c>
      <c r="M102" s="22"/>
      <c r="N102" s="22">
        <v>315.61500000000001</v>
      </c>
    </row>
    <row r="103" spans="1:14" x14ac:dyDescent="0.4">
      <c r="A103" s="20" t="s">
        <v>91</v>
      </c>
      <c r="B103" s="20"/>
      <c r="C103" s="20"/>
      <c r="D103" s="22">
        <v>-3.2</v>
      </c>
      <c r="E103" s="22"/>
      <c r="F103" s="22">
        <v>-6.8</v>
      </c>
      <c r="G103" s="22"/>
      <c r="H103" s="22">
        <v>-4.0999999999999996</v>
      </c>
      <c r="I103" s="22"/>
      <c r="J103" s="22">
        <v>-2.6</v>
      </c>
      <c r="K103" s="22"/>
      <c r="L103" s="22">
        <v>2.9</v>
      </c>
      <c r="M103" s="22"/>
      <c r="N103" s="22">
        <v>2.9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4.12</v>
      </c>
      <c r="F105" s="15">
        <f>F67/F94</f>
        <v>3.8</v>
      </c>
      <c r="H105" s="15">
        <f>H67/H94</f>
        <v>3.6</v>
      </c>
      <c r="J105" s="15">
        <f>J67/J94</f>
        <v>3.36</v>
      </c>
      <c r="L105" s="15">
        <f>L67/L94</f>
        <v>3.81</v>
      </c>
      <c r="N105" s="15">
        <f>N67/N94</f>
        <v>2.98</v>
      </c>
    </row>
    <row r="106" spans="1:14" x14ac:dyDescent="0.4">
      <c r="B106" t="s">
        <v>60</v>
      </c>
      <c r="D106" s="15">
        <f>D97/D94</f>
        <v>2.71</v>
      </c>
      <c r="F106" s="15">
        <f>F97/F94</f>
        <v>2.5299999999999998</v>
      </c>
      <c r="H106" s="15">
        <f>H97/H94</f>
        <v>2.36</v>
      </c>
      <c r="J106" s="15">
        <f>J97/J94</f>
        <v>2.21</v>
      </c>
      <c r="L106" s="15">
        <f>L97/L94</f>
        <v>2.08</v>
      </c>
      <c r="N106" s="15">
        <f>N97/N94</f>
        <v>1.98</v>
      </c>
    </row>
    <row r="107" spans="1:14" x14ac:dyDescent="0.4">
      <c r="B107" t="s">
        <v>61</v>
      </c>
      <c r="D107" s="15">
        <f>D98/D94</f>
        <v>2.71</v>
      </c>
      <c r="F107" s="15">
        <f>F98/F94</f>
        <v>2.5299999999999998</v>
      </c>
      <c r="H107" s="15">
        <f>H98/H94</f>
        <v>2.36</v>
      </c>
      <c r="J107" s="15">
        <f>J98/J94</f>
        <v>2.21</v>
      </c>
      <c r="L107" s="15">
        <f>L98/L94</f>
        <v>2.08</v>
      </c>
      <c r="N107" s="15">
        <f>N98/N94</f>
        <v>1.98</v>
      </c>
    </row>
    <row r="108" spans="1:14" x14ac:dyDescent="0.4">
      <c r="B108" t="s">
        <v>62</v>
      </c>
      <c r="D108" s="15">
        <f>D99/D94</f>
        <v>99.86</v>
      </c>
      <c r="F108" s="15">
        <f>F99/F94</f>
        <v>109.53</v>
      </c>
      <c r="H108" s="15">
        <f>H99/H94</f>
        <v>98.19</v>
      </c>
      <c r="J108" s="15">
        <f>J99/J94</f>
        <v>75.48</v>
      </c>
      <c r="L108" s="15">
        <f>L99/L94</f>
        <v>70.09</v>
      </c>
      <c r="N108" s="15">
        <f>N99/N94</f>
        <v>66.102999999999994</v>
      </c>
    </row>
    <row r="109" spans="1:14" x14ac:dyDescent="0.4">
      <c r="B109" t="s">
        <v>63</v>
      </c>
      <c r="D109" s="15">
        <f>D100/D94</f>
        <v>80.55</v>
      </c>
      <c r="F109" s="15">
        <f>F100/F94</f>
        <v>68.010000000000005</v>
      </c>
      <c r="H109" s="15">
        <f>H100/H94</f>
        <v>67.209999999999994</v>
      </c>
      <c r="J109" s="15">
        <f>J100/J94</f>
        <v>58.48</v>
      </c>
      <c r="L109" s="15">
        <f>L100/L94</f>
        <v>56.05</v>
      </c>
      <c r="N109" s="15">
        <f>N100/N94</f>
        <v>50.44</v>
      </c>
    </row>
    <row r="110" spans="1:14" x14ac:dyDescent="0.4">
      <c r="B110" t="s">
        <v>64</v>
      </c>
      <c r="D110" s="15">
        <f>D101/D94</f>
        <v>97.07</v>
      </c>
      <c r="F110" s="15">
        <f>F101/F94</f>
        <v>92.03</v>
      </c>
      <c r="H110" s="15">
        <f>H101/H94</f>
        <v>92.23</v>
      </c>
      <c r="J110" s="15">
        <f>J101/J94</f>
        <v>69.260000000000005</v>
      </c>
      <c r="L110" s="15">
        <f>L101/L94</f>
        <v>66.430000000000007</v>
      </c>
      <c r="N110" s="15">
        <f>N101/N94</f>
        <v>58.65</v>
      </c>
    </row>
    <row r="111" spans="1:14" x14ac:dyDescent="0.4">
      <c r="B111" t="s">
        <v>65</v>
      </c>
      <c r="D111" s="16">
        <f>D102*D94</f>
        <v>315.43453099999999</v>
      </c>
      <c r="E111" s="16"/>
      <c r="F111" s="16">
        <f>F102*F94</f>
        <v>315.43453099999999</v>
      </c>
      <c r="G111" s="16"/>
      <c r="H111" s="16">
        <f>H102*H94</f>
        <v>315.43453099999999</v>
      </c>
      <c r="I111" s="16"/>
      <c r="J111" s="16">
        <f>J102*J94</f>
        <v>315.52300000000002</v>
      </c>
      <c r="K111" s="16"/>
      <c r="L111" s="16">
        <f>L102*L94</f>
        <v>315.57499999999999</v>
      </c>
      <c r="M111" s="16"/>
      <c r="N111" s="16">
        <f>N102*N94</f>
        <v>315.61500000000001</v>
      </c>
    </row>
    <row r="112" spans="1:14" x14ac:dyDescent="0.4">
      <c r="B112" t="s">
        <v>66</v>
      </c>
      <c r="D112" s="15">
        <f>ROUND(D68/D111,2)</f>
        <v>34.6</v>
      </c>
      <c r="F112" s="15">
        <f>ROUND(F68/F111,2)</f>
        <v>33.19</v>
      </c>
      <c r="H112" s="15">
        <f>ROUND(H68/H111,2)</f>
        <v>32.06</v>
      </c>
      <c r="J112" s="15">
        <f>ROUND(J68/J111,2)</f>
        <v>31.02</v>
      </c>
      <c r="L112" s="15">
        <f>ROUND(L68/L111,2)</f>
        <v>29.98</v>
      </c>
      <c r="N112" s="15">
        <f>ROUND(N68/N111,2)</f>
        <v>28.29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XCEL ENERGY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41" t="s">
        <v>115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38115</v>
      </c>
      <c r="F8" s="34">
        <f>F78+F79+F81-F103</f>
        <v>34782</v>
      </c>
      <c r="H8" s="34">
        <f>H78+H79+H81-H103</f>
        <v>31489</v>
      </c>
      <c r="J8" s="34">
        <f>J78+J79+J81-J103</f>
        <v>28555</v>
      </c>
      <c r="L8" s="34">
        <f>L78+L79+L81-L103</f>
        <v>26557</v>
      </c>
    </row>
    <row r="9" spans="1:15" x14ac:dyDescent="0.4">
      <c r="B9" t="s">
        <v>5</v>
      </c>
      <c r="D9" s="9">
        <f>D80</f>
        <v>1005</v>
      </c>
      <c r="F9" s="9">
        <f>F80</f>
        <v>584</v>
      </c>
      <c r="H9" s="9">
        <f>H80</f>
        <v>595</v>
      </c>
      <c r="J9" s="9">
        <f>J80</f>
        <v>1038</v>
      </c>
      <c r="L9" s="9">
        <f>L80</f>
        <v>814</v>
      </c>
    </row>
    <row r="10" spans="1:15" ht="15.4" thickBot="1" x14ac:dyDescent="0.45">
      <c r="B10" t="s">
        <v>7</v>
      </c>
      <c r="D10" s="10">
        <f>D8+D9</f>
        <v>39120</v>
      </c>
      <c r="F10" s="10">
        <f>F8+F9</f>
        <v>35366</v>
      </c>
      <c r="H10" s="10">
        <f>H8+H9</f>
        <v>32084</v>
      </c>
      <c r="J10" s="10">
        <f>J8+J9</f>
        <v>29593</v>
      </c>
      <c r="L10" s="10">
        <f>L8+L9</f>
        <v>27371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22</v>
      </c>
      <c r="E13" s="7" t="s">
        <v>3</v>
      </c>
      <c r="F13" s="30">
        <f>ROUND(AVERAGE(F108:F109)/F105,0)</f>
        <v>22</v>
      </c>
      <c r="G13" s="7" t="s">
        <v>3</v>
      </c>
      <c r="H13" s="30">
        <f>ROUND(AVERAGE(H108:H109)/H105,0)</f>
        <v>22</v>
      </c>
      <c r="I13" s="7" t="s">
        <v>3</v>
      </c>
      <c r="J13" s="30">
        <f>ROUND(AVERAGE(J108:J109)/J105,0)</f>
        <v>19</v>
      </c>
      <c r="K13" s="7" t="s">
        <v>3</v>
      </c>
      <c r="L13" s="30">
        <f>ROUND(AVERAGE(L108:L109)/L105,0)</f>
        <v>20</v>
      </c>
      <c r="M13" s="7" t="s">
        <v>3</v>
      </c>
      <c r="N13" s="30">
        <f>AVERAGE(D13,F13,H13,J13,L13)</f>
        <v>21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2.3319999999999999</v>
      </c>
      <c r="E14" s="3"/>
      <c r="F14" s="3">
        <f>ROUND(AVERAGE(F108:F109)/AVERAGE(F112,H112),3)</f>
        <v>2.35</v>
      </c>
      <c r="G14" s="3"/>
      <c r="H14" s="3">
        <f>ROUND(AVERAGE(H108:H109)/AVERAGE(H112,J112),3)</f>
        <v>2.3199999999999998</v>
      </c>
      <c r="I14" s="3"/>
      <c r="J14" s="3">
        <f>ROUND(AVERAGE(J108:J109)/AVERAGE(J112,L112),3)</f>
        <v>2.0630000000000002</v>
      </c>
      <c r="K14" s="3"/>
      <c r="L14" s="3">
        <f>ROUND(AVERAGE(L108:L109)/AVERAGE(L112,N112),3)</f>
        <v>2.0830000000000002</v>
      </c>
      <c r="M14" s="3"/>
      <c r="N14" s="3">
        <f>AVERAGE(D14,F14,H14,J14,L14)</f>
        <v>2.2296000000000005</v>
      </c>
    </row>
    <row r="15" spans="1:15" x14ac:dyDescent="0.4">
      <c r="B15" t="s">
        <v>9</v>
      </c>
      <c r="D15" s="3">
        <f>ROUND(D106/AVERAGE(D108:D109),3)</f>
        <v>2.8000000000000001E-2</v>
      </c>
      <c r="E15" s="3"/>
      <c r="F15" s="3">
        <f>ROUND(F106/AVERAGE(F108:F109),3)</f>
        <v>2.8000000000000001E-2</v>
      </c>
      <c r="G15" s="3"/>
      <c r="H15" s="3">
        <f>ROUND(H106/AVERAGE(H108:H109),3)</f>
        <v>2.8000000000000001E-2</v>
      </c>
      <c r="I15" s="3"/>
      <c r="J15" s="3">
        <f>ROUND(J106/AVERAGE(J108:J109),3)</f>
        <v>3.2000000000000001E-2</v>
      </c>
      <c r="K15" s="3"/>
      <c r="L15" s="3">
        <f>ROUND(L106/AVERAGE(L108:L109),3)</f>
        <v>3.1E-2</v>
      </c>
      <c r="M15" s="3"/>
      <c r="N15" s="3">
        <f>AVERAGE(D15,F15,H15,J15,L15)</f>
        <v>2.9400000000000003E-2</v>
      </c>
    </row>
    <row r="16" spans="1:15" x14ac:dyDescent="0.4">
      <c r="B16" t="s">
        <v>10</v>
      </c>
      <c r="D16" s="3">
        <f>ROUND(D96/D66,3)</f>
        <v>0.61899999999999999</v>
      </c>
      <c r="E16" s="3"/>
      <c r="F16" s="3">
        <f>ROUND(F96/F66,3)</f>
        <v>0.61699999999999999</v>
      </c>
      <c r="G16" s="3"/>
      <c r="H16" s="3">
        <f>ROUND(H96/H66,3)</f>
        <v>0.61699999999999999</v>
      </c>
      <c r="I16" s="3"/>
      <c r="J16" s="3">
        <f>ROUND(J96/J66,3)</f>
        <v>0.61899999999999999</v>
      </c>
      <c r="K16" s="3"/>
      <c r="L16" s="3">
        <f>ROUND(L96/L66,3)</f>
        <v>0.64100000000000001</v>
      </c>
      <c r="M16" s="3"/>
      <c r="N16" s="3">
        <f>AVERAGE(D16,F16,H16,J16,L16)</f>
        <v>0.62260000000000004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0.58699999999999997</v>
      </c>
      <c r="E20" s="3"/>
      <c r="F20" s="3">
        <f>ROUND((+F76+F79)/F8,3)</f>
        <v>0.57699999999999996</v>
      </c>
      <c r="G20" s="3"/>
      <c r="H20" s="3">
        <f>ROUND((+H76+H79)/H8,3)</f>
        <v>0.57499999999999996</v>
      </c>
      <c r="I20" s="3"/>
      <c r="J20" s="3">
        <f>ROUND((+J76+J79)/J8,3)</f>
        <v>0.56799999999999995</v>
      </c>
      <c r="K20" s="3"/>
      <c r="L20" s="3">
        <f>ROUND((+L76+L79)/L8,3)</f>
        <v>0.56399999999999995</v>
      </c>
      <c r="M20" s="3"/>
      <c r="N20" s="3">
        <f>AVERAGE(D20,F20,H20,J20,L20)</f>
        <v>0.57420000000000004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3">
        <f>AVERAGE(D21,F21,H21,J21,L21)</f>
        <v>0</v>
      </c>
    </row>
    <row r="22" spans="1:14" ht="17.25" x14ac:dyDescent="0.4">
      <c r="B22" s="32" t="s">
        <v>94</v>
      </c>
      <c r="D22" s="4">
        <f>ROUND((D68-D103)/D8,3)</f>
        <v>0.41299999999999998</v>
      </c>
      <c r="E22" s="3"/>
      <c r="F22" s="4">
        <f>ROUND((F68-F103)/F8,3)</f>
        <v>0.42299999999999999</v>
      </c>
      <c r="G22" s="3"/>
      <c r="H22" s="4">
        <f>ROUND((H68-H103)/H8,3)</f>
        <v>0.42499999999999999</v>
      </c>
      <c r="I22" s="3"/>
      <c r="J22" s="4">
        <f>ROUND((J68-J103)/J8,3)</f>
        <v>0.432</v>
      </c>
      <c r="K22" s="3"/>
      <c r="L22" s="4">
        <f>ROUND((L68-L103)/L8,3)</f>
        <v>0.436</v>
      </c>
      <c r="M22" s="3"/>
      <c r="N22" s="4">
        <f>AVERAGE(D22,F22,H22,J22,L22)</f>
        <v>0.42580000000000001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0.59799999999999998</v>
      </c>
      <c r="E25" s="3"/>
      <c r="F25" s="3">
        <f>ROUND((+F76+F79+F80)/F10,3)</f>
        <v>0.58399999999999996</v>
      </c>
      <c r="G25" s="3"/>
      <c r="H25" s="3">
        <f>ROUND((+H76+H79+H80)/H10,3)</f>
        <v>0.58299999999999996</v>
      </c>
      <c r="I25" s="3"/>
      <c r="J25" s="3">
        <f>ROUND((+J76+J79+J80)/J10,3)</f>
        <v>0.58299999999999996</v>
      </c>
      <c r="K25" s="3"/>
      <c r="L25" s="3">
        <f>ROUND((+L76+L79+L80)/L10,3)</f>
        <v>0.57699999999999996</v>
      </c>
      <c r="M25" s="3"/>
      <c r="N25" s="3">
        <f>AVERAGE(D25,F25,H25,J25,L25)</f>
        <v>0.58499999999999996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3">
        <f>AVERAGE(D26,F26,H26,J26,L26)</f>
        <v>0</v>
      </c>
    </row>
    <row r="27" spans="1:14" ht="17.25" x14ac:dyDescent="0.4">
      <c r="B27" s="32" t="s">
        <v>94</v>
      </c>
      <c r="D27" s="4">
        <f>ROUND((D68-D103)/D10,3)</f>
        <v>0.40200000000000002</v>
      </c>
      <c r="E27" s="3"/>
      <c r="F27" s="4">
        <f>ROUND((F68-F103)/F10,3)</f>
        <v>0.41599999999999998</v>
      </c>
      <c r="G27" s="3"/>
      <c r="H27" s="4">
        <f>ROUND((H68-H103)/H10,3)</f>
        <v>0.41699999999999998</v>
      </c>
      <c r="I27" s="3"/>
      <c r="J27" s="4">
        <f>ROUND((J68-J103)/J10,3)</f>
        <v>0.41699999999999998</v>
      </c>
      <c r="K27" s="3"/>
      <c r="L27" s="4">
        <f>ROUND((L68-L103)/L10,3)</f>
        <v>0.42299999999999999</v>
      </c>
      <c r="M27" s="3"/>
      <c r="N27" s="4">
        <f>AVERAGE(D27,F27,H27,J27,L27)</f>
        <v>0.41500000000000004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0.105</v>
      </c>
      <c r="E30" s="3"/>
      <c r="F30" s="3">
        <f>ROUND(+F66/(((F68-F103)+(H68-H103))/2),3)</f>
        <v>0.105</v>
      </c>
      <c r="G30" s="3"/>
      <c r="H30" s="3">
        <f>ROUND(+H66/(((H68-H103)+(J68-J103))/2),3)</f>
        <v>0.107</v>
      </c>
      <c r="I30" s="3"/>
      <c r="J30" s="3">
        <f>ROUND(+J66/(((J68-J103)+(L68-L103))/2),3)</f>
        <v>0.105</v>
      </c>
      <c r="K30" s="3"/>
      <c r="L30" s="3">
        <f>ROUND(+L66/(((L68-L103)+(N68-N103))/2),3)</f>
        <v>0.10100000000000001</v>
      </c>
      <c r="M30" s="3"/>
      <c r="N30" s="3">
        <f>AVERAGE(D30,F30,H30,J30,L30)</f>
        <v>0.1046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0.83599999999999997</v>
      </c>
      <c r="E32" s="3"/>
      <c r="F32" s="3">
        <f>ROUND((+F58-F57)/F56,3)</f>
        <v>0.81599999999999995</v>
      </c>
      <c r="G32" s="3"/>
      <c r="H32" s="3">
        <f>ROUND((+H58-H57)/H56,3)</f>
        <v>0.81799999999999995</v>
      </c>
      <c r="I32" s="3"/>
      <c r="J32" s="3">
        <f>ROUND((+J58-J57)/J56,3)</f>
        <v>0.83</v>
      </c>
      <c r="K32" s="3"/>
      <c r="L32" s="3">
        <f>ROUND((+L58-L57)/L56,3)</f>
        <v>0.80700000000000005</v>
      </c>
      <c r="M32" s="3"/>
      <c r="N32" s="3">
        <f>AVERAGE(D32,F32,H32,J32,L32)</f>
        <v>0.82140000000000002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2.81</v>
      </c>
      <c r="E35" s="7" t="s">
        <v>3</v>
      </c>
      <c r="F35" s="7">
        <f>ROUND(((+F66+F65+F64+F63+F61+F59+F57)/F61),2)</f>
        <v>2.75</v>
      </c>
      <c r="G35" s="7" t="s">
        <v>3</v>
      </c>
      <c r="H35" s="7">
        <f>ROUND(((+H66+H65+H64+H63+H61+H59+H57)/H61),2)</f>
        <v>2.94</v>
      </c>
      <c r="I35" s="7" t="s">
        <v>3</v>
      </c>
      <c r="J35" s="7">
        <f>ROUND(((+J66+J65+J64+J63+J61+J59+J57)/J61),2)</f>
        <v>3.06</v>
      </c>
      <c r="K35" s="7" t="s">
        <v>3</v>
      </c>
      <c r="L35" s="7">
        <f>ROUND(((+L66+L65+L64+L63+L61+L59+L57)/L61),2)</f>
        <v>3.55</v>
      </c>
      <c r="M35" s="7" t="s">
        <v>3</v>
      </c>
      <c r="N35" s="26">
        <f>AVERAGE(D35,F35,H35,J35,L35)</f>
        <v>3.0219999999999998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2.9</v>
      </c>
      <c r="E36" s="7" t="s">
        <v>3</v>
      </c>
      <c r="F36" s="7">
        <f>ROUND(((+F66+F65+F64+F63+F61)/(F61)),2)</f>
        <v>2.75</v>
      </c>
      <c r="G36" s="7" t="s">
        <v>3</v>
      </c>
      <c r="H36" s="7">
        <f>ROUND(((+H66+H65+H64+H63+H61)/(H61)),2)</f>
        <v>2.77</v>
      </c>
      <c r="I36" s="7" t="s">
        <v>3</v>
      </c>
      <c r="J36" s="7">
        <f>ROUND(((+J66+J65+J64+J63+J61)/(J61)),2)</f>
        <v>2.8</v>
      </c>
      <c r="K36" s="7" t="s">
        <v>3</v>
      </c>
      <c r="L36" s="7">
        <f>ROUND(((+L66+L65+L64+L63+L61)/(L61)),2)</f>
        <v>2.73</v>
      </c>
      <c r="M36" s="7" t="s">
        <v>3</v>
      </c>
      <c r="N36" s="26">
        <f>AVERAGE(D36,F36,H36,J36,L36)</f>
        <v>2.79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2.9</v>
      </c>
      <c r="E37" s="7" t="s">
        <v>3</v>
      </c>
      <c r="F37" s="7">
        <f>ROUND(((+F66+F65+F64+F63+F61)/(F61+F63+F64+F65)),2)</f>
        <v>2.75</v>
      </c>
      <c r="G37" s="7" t="s">
        <v>3</v>
      </c>
      <c r="H37" s="7">
        <f>ROUND(((+H66+H65+H64+H63+H61)/(H61+H63+H64+H65)),2)</f>
        <v>2.77</v>
      </c>
      <c r="I37" s="7" t="s">
        <v>3</v>
      </c>
      <c r="J37" s="7">
        <f>ROUND(((+J66+J65+J64+J63+J61)/(J61+J63+J64+J65)),2)</f>
        <v>2.8</v>
      </c>
      <c r="K37" s="7" t="s">
        <v>3</v>
      </c>
      <c r="L37" s="7">
        <f>ROUND(((+L66+L65+L64+L63+L61)/(L61+L63+L64+L65)),2)</f>
        <v>2.73</v>
      </c>
      <c r="M37" s="7" t="s">
        <v>3</v>
      </c>
      <c r="N37" s="26">
        <f>AVERAGE(D37,F37,H37,J37,L37)</f>
        <v>2.79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2.7</v>
      </c>
      <c r="E40" s="7" t="s">
        <v>3</v>
      </c>
      <c r="F40" s="7">
        <f>ROUND(((+F66+F65+F64+F63-F62+F61+F59+F57)/F61),2)</f>
        <v>2.56</v>
      </c>
      <c r="G40" s="7" t="s">
        <v>3</v>
      </c>
      <c r="H40" s="7">
        <f>ROUND(((+H66+H65+H64+H63-H62+H61+H59+H57)/H61),2)</f>
        <v>2.79</v>
      </c>
      <c r="I40" s="7" t="s">
        <v>3</v>
      </c>
      <c r="J40" s="7">
        <f>ROUND(((+J66+J65+J64+J63-J62+J61+J59+J57)/J61),2)</f>
        <v>2.84</v>
      </c>
      <c r="K40" s="7" t="s">
        <v>3</v>
      </c>
      <c r="L40" s="7">
        <f>ROUND(((+L66+L65+L64+L63-L62+L61+L59+L57)/L61),2)</f>
        <v>3.38</v>
      </c>
      <c r="M40" s="7" t="s">
        <v>3</v>
      </c>
      <c r="N40" s="26">
        <f>AVERAGE(D40,F40,H40,J40,L40)</f>
        <v>2.8540000000000001</v>
      </c>
      <c r="O40" t="s">
        <v>3</v>
      </c>
    </row>
    <row r="41" spans="1:15" x14ac:dyDescent="0.4">
      <c r="B41" t="s">
        <v>21</v>
      </c>
      <c r="D41" s="7">
        <f>ROUND(((+D66+D65+D64+D63-D62+D61)/D61),2)</f>
        <v>2.78</v>
      </c>
      <c r="E41" s="7" t="s">
        <v>3</v>
      </c>
      <c r="F41" s="7">
        <f>ROUND(((+F66+F65+F64+F63-F62+F61)/F61),2)</f>
        <v>2.57</v>
      </c>
      <c r="G41" s="7" t="s">
        <v>3</v>
      </c>
      <c r="H41" s="7">
        <f>ROUND(((+H66+H65+H64+H63-H62+H61)/H61),2)</f>
        <v>2.63</v>
      </c>
      <c r="I41" s="7" t="s">
        <v>3</v>
      </c>
      <c r="J41" s="7">
        <f>ROUND(((+J66+J65+J64+J63-J62+J61)/J61),2)</f>
        <v>2.58</v>
      </c>
      <c r="K41" s="7" t="s">
        <v>3</v>
      </c>
      <c r="L41" s="7">
        <f>ROUND(((+L66+L65+L64+L63-L62+L61)/L61),2)</f>
        <v>2.57</v>
      </c>
      <c r="M41" s="7" t="s">
        <v>3</v>
      </c>
      <c r="N41" s="26">
        <f>AVERAGE(D41,F41,H41,J41,L41)</f>
        <v>2.6259999999999999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2.78</v>
      </c>
      <c r="E42" s="7" t="s">
        <v>3</v>
      </c>
      <c r="F42" s="7">
        <f>ROUND(((+F66+F65+F64+F63-F62+F61)/(F61+F63+F64+F65)),2)</f>
        <v>2.57</v>
      </c>
      <c r="G42" s="7" t="s">
        <v>3</v>
      </c>
      <c r="H42" s="7">
        <f>ROUND(((+H66+H65+H64+H63-H62+H61)/(H61+H63+H64+H65)),2)</f>
        <v>2.63</v>
      </c>
      <c r="I42" s="7" t="s">
        <v>3</v>
      </c>
      <c r="J42" s="7">
        <f>ROUND(((+J66+J65+J64+J63-J62+J61)/(J61+J63+J64+J65)),2)</f>
        <v>2.58</v>
      </c>
      <c r="K42" s="7" t="s">
        <v>3</v>
      </c>
      <c r="L42" s="7">
        <f>ROUND(((+L66+L65+L64+L63-L62+L61)/(L61+L63+L64+L65)),2)</f>
        <v>2.57</v>
      </c>
      <c r="M42" s="7" t="s">
        <v>3</v>
      </c>
      <c r="N42" s="26">
        <f>AVERAGE(D42,F42,H42,J42,L42)</f>
        <v>2.6259999999999999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6.2E-2</v>
      </c>
      <c r="E45" s="11"/>
      <c r="F45" s="11">
        <f>ROUND(F62/F66,3)</f>
        <v>0.107</v>
      </c>
      <c r="G45" s="11"/>
      <c r="H45" s="11">
        <f>ROUND(H62/H66,3)</f>
        <v>8.3000000000000004E-2</v>
      </c>
      <c r="I45" s="11"/>
      <c r="J45" s="11">
        <f>ROUND(J62/J66,3)</f>
        <v>0.124</v>
      </c>
      <c r="K45" s="11"/>
      <c r="L45" s="11">
        <f>ROUND(L62/L66,3)</f>
        <v>9.6000000000000002E-2</v>
      </c>
      <c r="M45" s="3"/>
      <c r="N45" s="3">
        <f t="shared" ref="N45:N50" si="0">AVERAGE(D45,F45,H45,J45,L45)</f>
        <v>9.4399999999999998E-2</v>
      </c>
    </row>
    <row r="46" spans="1:15" x14ac:dyDescent="0.4">
      <c r="B46" t="s">
        <v>17</v>
      </c>
      <c r="D46" s="17">
        <f>ROUND((D57+D59)/(D57+D59+D66+D63+D64+D65),3)</f>
        <v>-4.5999999999999999E-2</v>
      </c>
      <c r="E46" s="18"/>
      <c r="F46" s="17">
        <f>ROUND((F57+F59)/(F57+F59+F66+F63+F64+F65),3)</f>
        <v>-4.0000000000000001E-3</v>
      </c>
      <c r="G46" s="18"/>
      <c r="H46" s="17">
        <f>ROUND((H57+H59)/(H57+H59+H66+H63+H64+H65),3)</f>
        <v>8.5000000000000006E-2</v>
      </c>
      <c r="I46" s="18"/>
      <c r="J46" s="17">
        <f>ROUND((J57+J59)/(J57+J59+J66+J63+J64+J65),3)</f>
        <v>0.126</v>
      </c>
      <c r="K46" s="18"/>
      <c r="L46" s="17">
        <f>ROUND((L57+L59)/(L57+L59+L66+L63+L64+L65),3)</f>
        <v>0.32100000000000001</v>
      </c>
      <c r="N46" s="3">
        <f t="shared" si="0"/>
        <v>9.64E-2</v>
      </c>
    </row>
    <row r="47" spans="1:15" ht="17.25" x14ac:dyDescent="0.4">
      <c r="B47" s="33" t="s">
        <v>100</v>
      </c>
      <c r="D47" s="11">
        <f>ROUND(((+D82+D83+D84+D85+D86-D87+D88-D90-D91)/(+D89-D87)),3)</f>
        <v>0.64700000000000002</v>
      </c>
      <c r="E47" s="12"/>
      <c r="F47" s="11">
        <f>ROUND(((+F82+F83+F84+F85+F86-F87+F88-F90-F91)/(+F89-F87)),3)</f>
        <v>0.48499999999999999</v>
      </c>
      <c r="G47" s="12"/>
      <c r="H47" s="11">
        <f>ROUND(((+H82+H83+H84+H85+H86-H87+H88-H90-H91)/(+H89-H87)),3)</f>
        <v>0.66</v>
      </c>
      <c r="I47" s="12"/>
      <c r="J47" s="11">
        <f>ROUND(((+J82+J83+J84+J85+J86-J87+J88-J90-J91)/(+J89-J87)),3)</f>
        <v>0.622</v>
      </c>
      <c r="K47" s="12"/>
      <c r="L47" s="11">
        <f>ROUND(((+L82+L83+L84+L85+L86-L87+L88-L90-L91)/(+L89-L87)),3)</f>
        <v>0.83</v>
      </c>
      <c r="N47" s="3">
        <f t="shared" si="0"/>
        <v>0.64880000000000004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0.16500000000000001</v>
      </c>
      <c r="E48" s="12"/>
      <c r="F48" s="11">
        <f>ROUND(((+F82+F83+F84+F85+F86-F87+F88)/(AVERAGE(F76,H76)+AVERAGE(F79,H79)+AVERAGE(F80,H80))),3)</f>
        <v>0.17299999999999999</v>
      </c>
      <c r="G48" s="12"/>
      <c r="H48" s="11">
        <f>ROUND(((+H82+H83+H84+H85+H86-H87+H88)/(AVERAGE(H76,J76)+AVERAGE(H79,J79)+AVERAGE(H80,J80))),3)</f>
        <v>0.19600000000000001</v>
      </c>
      <c r="I48" s="12"/>
      <c r="J48" s="11">
        <f>ROUND(((+J82+J83+J84+J85+J86-J87+J88)/(AVERAGE(J76,L76)+AVERAGE(J79,L79)+AVERAGE(J80,L80))),3)</f>
        <v>0.193</v>
      </c>
      <c r="K48" s="12"/>
      <c r="L48" s="11">
        <f>ROUND(((+L82+L83+L84+L85+L86-L87+L88)/(AVERAGE(L76,N76)+AVERAGE(L79,N79)+AVERAGE(L80,N80))),3)</f>
        <v>0.223</v>
      </c>
      <c r="N48" s="3">
        <f t="shared" si="0"/>
        <v>0.19</v>
      </c>
    </row>
    <row r="49" spans="1:15" ht="17.25" x14ac:dyDescent="0.4">
      <c r="B49" s="33" t="s">
        <v>102</v>
      </c>
      <c r="D49" s="27">
        <f>ROUND(((+D82+D83+D84+D85+D86-D87+D88+D92)/D61),2)</f>
        <v>5.25</v>
      </c>
      <c r="E49" t="s">
        <v>3</v>
      </c>
      <c r="F49" s="27">
        <f>ROUND(((+F82+F83+F84+F85+F86-F87+F88+F92)/F61),2)</f>
        <v>4.95</v>
      </c>
      <c r="G49" t="s">
        <v>3</v>
      </c>
      <c r="H49" s="27">
        <f>ROUND(((+H82+H83+H84+H85+H86-H87+H88+H92)/H61),2)</f>
        <v>5.47</v>
      </c>
      <c r="I49" t="s">
        <v>3</v>
      </c>
      <c r="J49" s="27">
        <f>ROUND(((+J82+J83+J84+J85+J86-J87+J88+J92)/J61),2)</f>
        <v>5.46</v>
      </c>
      <c r="K49" t="s">
        <v>3</v>
      </c>
      <c r="L49" s="27">
        <f>ROUND(((+L82+L83+L84+L85+L86-L87+L88+L92)/L61),2)</f>
        <v>6.08</v>
      </c>
      <c r="M49" t="s">
        <v>3</v>
      </c>
      <c r="N49" s="27">
        <f t="shared" si="0"/>
        <v>5.4420000000000002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3.89</v>
      </c>
      <c r="E50" t="s">
        <v>3</v>
      </c>
      <c r="F50" s="27">
        <f>ROUND(((+F82+F83+F84+F85+F86-F87+F88-F91)/+F90),2)</f>
        <v>3.98</v>
      </c>
      <c r="G50" t="s">
        <v>3</v>
      </c>
      <c r="H50" s="27">
        <f>ROUND(((+H82+H83+H84+H85+H86-H87+H88-H91)/+H90),2)</f>
        <v>4.46</v>
      </c>
      <c r="I50" t="s">
        <v>3</v>
      </c>
      <c r="J50" s="27">
        <f>ROUND(((+J82+J83+J84+J85+J86-J87+J88-J91)/+J90),2)</f>
        <v>4.37</v>
      </c>
      <c r="K50" t="s">
        <v>3</v>
      </c>
      <c r="L50" s="27">
        <f>ROUND(((+L82+L83+L84+L85+L86-L87+L88-L91)/+L90),2)</f>
        <v>4.74</v>
      </c>
      <c r="M50" t="s">
        <v>3</v>
      </c>
      <c r="N50" s="27">
        <f t="shared" si="0"/>
        <v>4.2879999999999994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86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13431</v>
      </c>
      <c r="E56" s="22"/>
      <c r="F56" s="22">
        <v>11526</v>
      </c>
      <c r="G56" s="22"/>
      <c r="H56" s="22">
        <v>11529</v>
      </c>
      <c r="I56" s="22"/>
      <c r="J56" s="22">
        <v>11537</v>
      </c>
      <c r="K56" s="22"/>
      <c r="L56" s="22">
        <v>11404</v>
      </c>
      <c r="M56" s="22"/>
      <c r="N56" s="22">
        <v>11106.92</v>
      </c>
    </row>
    <row r="57" spans="1:15" x14ac:dyDescent="0.4">
      <c r="A57" s="20" t="s">
        <v>23</v>
      </c>
      <c r="B57" s="20"/>
      <c r="C57" s="20"/>
      <c r="D57" s="22">
        <v>-70</v>
      </c>
      <c r="E57" s="22"/>
      <c r="F57" s="22">
        <v>-6</v>
      </c>
      <c r="G57" s="22"/>
      <c r="H57" s="22">
        <v>128</v>
      </c>
      <c r="I57" s="22"/>
      <c r="J57" s="22">
        <v>181</v>
      </c>
      <c r="K57" s="22"/>
      <c r="L57" s="22">
        <v>542</v>
      </c>
      <c r="M57" s="22"/>
      <c r="N57" s="22">
        <v>581.21699999999998</v>
      </c>
    </row>
    <row r="58" spans="1:15" x14ac:dyDescent="0.4">
      <c r="A58" s="20" t="s">
        <v>24</v>
      </c>
      <c r="B58" s="20"/>
      <c r="C58" s="20"/>
      <c r="D58" s="22">
        <f>11228+D57</f>
        <v>11158</v>
      </c>
      <c r="E58" s="22"/>
      <c r="F58" s="22">
        <f>9410+F57</f>
        <v>9404</v>
      </c>
      <c r="G58" s="22"/>
      <c r="H58" s="22">
        <f>9425+H57</f>
        <v>9553</v>
      </c>
      <c r="I58" s="22"/>
      <c r="J58" s="22">
        <v>9753</v>
      </c>
      <c r="K58" s="22"/>
      <c r="L58" s="22">
        <v>9748</v>
      </c>
      <c r="M58" s="22"/>
      <c r="N58" s="22">
        <v>9474.2819999999992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2203-D57+5+62+D62</f>
        <v>2439</v>
      </c>
      <c r="E60" s="22"/>
      <c r="F60" s="22">
        <f>2116-F57-6+40+F62</f>
        <v>2313</v>
      </c>
      <c r="G60" s="22"/>
      <c r="H60" s="22">
        <f>2104-H57+16+39+H62</f>
        <v>2145</v>
      </c>
      <c r="I60" s="22"/>
      <c r="J60" s="22">
        <v>1913</v>
      </c>
      <c r="K60" s="22"/>
      <c r="L60" s="22">
        <v>1776</v>
      </c>
      <c r="M60" s="22"/>
      <c r="N60" s="22">
        <v>1743.258</v>
      </c>
    </row>
    <row r="61" spans="1:15" x14ac:dyDescent="0.4">
      <c r="A61" s="20" t="s">
        <v>27</v>
      </c>
      <c r="B61" s="20"/>
      <c r="C61" s="20"/>
      <c r="D61" s="22">
        <v>842</v>
      </c>
      <c r="E61" s="22"/>
      <c r="F61" s="22">
        <v>840</v>
      </c>
      <c r="G61" s="22"/>
      <c r="H61" s="22">
        <v>773</v>
      </c>
      <c r="I61" s="22"/>
      <c r="J61" s="22">
        <v>700</v>
      </c>
      <c r="K61" s="22"/>
      <c r="L61" s="22">
        <v>663</v>
      </c>
      <c r="M61" s="22"/>
      <c r="N61" s="22">
        <v>646.90700000000004</v>
      </c>
    </row>
    <row r="62" spans="1:15" x14ac:dyDescent="0.4">
      <c r="A62" s="20" t="s">
        <v>28</v>
      </c>
      <c r="B62" s="20"/>
      <c r="C62" s="20"/>
      <c r="D62" s="22">
        <f>73+26</f>
        <v>99</v>
      </c>
      <c r="E62" s="22"/>
      <c r="F62" s="22">
        <f>115+42</f>
        <v>157</v>
      </c>
      <c r="G62" s="22"/>
      <c r="H62" s="22">
        <f>77+37</f>
        <v>114</v>
      </c>
      <c r="I62" s="22"/>
      <c r="J62" s="22">
        <v>156</v>
      </c>
      <c r="K62" s="22"/>
      <c r="L62" s="22">
        <v>110</v>
      </c>
      <c r="M62" s="22"/>
      <c r="N62" s="22">
        <v>87.575000000000003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1597</v>
      </c>
      <c r="E66" s="22"/>
      <c r="F66" s="22">
        <v>1473</v>
      </c>
      <c r="G66" s="22"/>
      <c r="H66" s="22">
        <v>1372</v>
      </c>
      <c r="I66" s="22"/>
      <c r="J66" s="22">
        <v>1261</v>
      </c>
      <c r="K66" s="22"/>
      <c r="L66" s="22">
        <v>1148</v>
      </c>
      <c r="M66" s="22"/>
      <c r="N66" s="22">
        <v>1123.3789999999999</v>
      </c>
    </row>
    <row r="67" spans="1:14" x14ac:dyDescent="0.4">
      <c r="A67" s="20" t="s">
        <v>33</v>
      </c>
      <c r="B67" s="20"/>
      <c r="C67" s="20"/>
      <c r="D67" s="22">
        <v>2.96</v>
      </c>
      <c r="E67" s="22"/>
      <c r="F67" s="22">
        <v>2.79</v>
      </c>
      <c r="G67" s="22"/>
      <c r="H67" s="22">
        <v>2.64</v>
      </c>
      <c r="I67" s="22"/>
      <c r="J67" s="22">
        <v>2.4700000000000002</v>
      </c>
      <c r="K67" s="22"/>
      <c r="L67" s="22">
        <v>2.2599999999999998</v>
      </c>
      <c r="M67" s="22"/>
      <c r="N67" s="22">
        <v>2.21</v>
      </c>
    </row>
    <row r="68" spans="1:14" x14ac:dyDescent="0.4">
      <c r="A68" s="20" t="s">
        <v>34</v>
      </c>
      <c r="B68" s="20"/>
      <c r="C68" s="20"/>
      <c r="D68" s="22">
        <v>15612</v>
      </c>
      <c r="E68" s="22"/>
      <c r="F68" s="22">
        <v>14575</v>
      </c>
      <c r="G68" s="22"/>
      <c r="H68" s="22">
        <v>13239</v>
      </c>
      <c r="I68" s="22"/>
      <c r="J68" s="22">
        <v>12222</v>
      </c>
      <c r="K68" s="22"/>
      <c r="L68" s="22">
        <v>11455</v>
      </c>
      <c r="M68" s="22"/>
      <c r="N68" s="22">
        <v>11020.849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21779</v>
      </c>
      <c r="E76" s="22"/>
      <c r="F76" s="22">
        <v>19645</v>
      </c>
      <c r="G76" s="22"/>
      <c r="H76" s="22">
        <v>17407</v>
      </c>
      <c r="I76" s="22"/>
      <c r="J76" s="22">
        <v>15803</v>
      </c>
      <c r="K76" s="22"/>
      <c r="L76" s="22">
        <v>14520</v>
      </c>
      <c r="M76" s="22"/>
      <c r="N76" s="22">
        <v>14194.718000000001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37391</v>
      </c>
      <c r="E78" s="22"/>
      <c r="F78" s="22">
        <f>SUM(F68:F77)</f>
        <v>34220</v>
      </c>
      <c r="G78" s="22"/>
      <c r="H78" s="22">
        <f>SUM(H68:H77)</f>
        <v>30646</v>
      </c>
      <c r="I78" s="22"/>
      <c r="J78" s="22">
        <v>28025</v>
      </c>
      <c r="K78" s="22"/>
      <c r="L78" s="22">
        <v>25975</v>
      </c>
      <c r="M78" s="22"/>
      <c r="N78" s="22">
        <v>25215.566999999999</v>
      </c>
    </row>
    <row r="79" spans="1:14" x14ac:dyDescent="0.4">
      <c r="A79" s="20" t="s">
        <v>45</v>
      </c>
      <c r="B79" s="20"/>
      <c r="C79" s="20"/>
      <c r="D79" s="22">
        <v>601</v>
      </c>
      <c r="E79" s="22"/>
      <c r="F79" s="22">
        <v>421</v>
      </c>
      <c r="G79" s="22"/>
      <c r="H79" s="22">
        <v>702</v>
      </c>
      <c r="I79" s="22"/>
      <c r="J79" s="22">
        <v>406</v>
      </c>
      <c r="K79" s="22"/>
      <c r="L79" s="22">
        <v>457</v>
      </c>
      <c r="M79" s="22"/>
      <c r="N79" s="22">
        <v>255.529</v>
      </c>
    </row>
    <row r="80" spans="1:14" x14ac:dyDescent="0.4">
      <c r="A80" s="20" t="s">
        <v>46</v>
      </c>
      <c r="B80" s="20"/>
      <c r="C80" s="20"/>
      <c r="D80" s="22">
        <v>1005</v>
      </c>
      <c r="E80" s="22"/>
      <c r="F80" s="22">
        <v>584</v>
      </c>
      <c r="G80" s="22"/>
      <c r="H80" s="22">
        <v>595</v>
      </c>
      <c r="I80" s="22"/>
      <c r="J80" s="22">
        <v>1038</v>
      </c>
      <c r="K80" s="22"/>
      <c r="L80" s="22">
        <v>814</v>
      </c>
      <c r="M80" s="22"/>
      <c r="N80" s="22">
        <v>392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1597</v>
      </c>
      <c r="E82" s="22"/>
      <c r="F82" s="22">
        <v>1473</v>
      </c>
      <c r="G82" s="22"/>
      <c r="H82" s="22">
        <v>1372</v>
      </c>
      <c r="I82" s="22"/>
      <c r="J82" s="22">
        <v>1261</v>
      </c>
      <c r="K82" s="22"/>
      <c r="L82" s="22">
        <v>1148</v>
      </c>
      <c r="M82" s="22"/>
      <c r="N82" s="22">
        <v>1123.3789999999999</v>
      </c>
    </row>
    <row r="83" spans="1:14" x14ac:dyDescent="0.4">
      <c r="A83" s="20" t="s">
        <v>49</v>
      </c>
      <c r="B83" s="20"/>
      <c r="C83" s="20"/>
      <c r="D83" s="22">
        <v>2143</v>
      </c>
      <c r="E83" s="22"/>
      <c r="F83" s="22">
        <v>1959</v>
      </c>
      <c r="G83" s="22"/>
      <c r="H83" s="22">
        <v>1785</v>
      </c>
      <c r="I83" s="22"/>
      <c r="J83" s="22">
        <v>1781</v>
      </c>
      <c r="K83" s="22"/>
      <c r="L83" s="22">
        <v>1609</v>
      </c>
      <c r="M83" s="22"/>
      <c r="N83" s="22">
        <v>1435.7339999999999</v>
      </c>
    </row>
    <row r="84" spans="1:14" x14ac:dyDescent="0.4">
      <c r="A84" s="20" t="s">
        <v>50</v>
      </c>
      <c r="B84" s="20"/>
      <c r="C84" s="20"/>
      <c r="D84" s="22">
        <v>114</v>
      </c>
      <c r="E84" s="22"/>
      <c r="F84" s="22">
        <v>123</v>
      </c>
      <c r="G84" s="22"/>
      <c r="H84" s="22">
        <v>119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-79</v>
      </c>
      <c r="E85" s="22"/>
      <c r="F85" s="22">
        <v>-8</v>
      </c>
      <c r="G85" s="22"/>
      <c r="H85" s="22">
        <v>143</v>
      </c>
      <c r="I85" s="22"/>
      <c r="J85" s="22">
        <v>218</v>
      </c>
      <c r="K85" s="22"/>
      <c r="L85" s="22">
        <v>640</v>
      </c>
      <c r="M85" s="22"/>
      <c r="N85" s="22">
        <v>586.65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-5</v>
      </c>
      <c r="M86" s="22"/>
      <c r="N86" s="22">
        <v>-5.2030000000000003</v>
      </c>
    </row>
    <row r="87" spans="1:14" x14ac:dyDescent="0.4">
      <c r="A87" s="20" t="s">
        <v>53</v>
      </c>
      <c r="B87" s="20"/>
      <c r="C87" s="20"/>
      <c r="D87" s="22">
        <v>73</v>
      </c>
      <c r="E87" s="22"/>
      <c r="F87" s="22">
        <v>115</v>
      </c>
      <c r="G87" s="22"/>
      <c r="H87" s="22">
        <v>77</v>
      </c>
      <c r="I87" s="22"/>
      <c r="J87" s="22">
        <v>108</v>
      </c>
      <c r="K87" s="22"/>
      <c r="L87" s="22">
        <v>75</v>
      </c>
      <c r="M87" s="22"/>
      <c r="N87" s="22">
        <v>60.546999999999997</v>
      </c>
    </row>
    <row r="88" spans="1:14" x14ac:dyDescent="0.4">
      <c r="A88" s="20" t="s">
        <v>69</v>
      </c>
      <c r="B88" s="20"/>
      <c r="C88" s="20"/>
      <c r="D88" s="22">
        <f>-62+42+60+31-57-83</f>
        <v>-69</v>
      </c>
      <c r="E88" s="22"/>
      <c r="F88" s="22">
        <f>-40+42+60+73-27-137</f>
        <v>-29</v>
      </c>
      <c r="G88" s="22"/>
      <c r="H88" s="22">
        <f>-39+40+42+58+45+40</f>
        <v>186</v>
      </c>
      <c r="I88" s="22"/>
      <c r="J88" s="22">
        <v>38</v>
      </c>
      <c r="K88" s="22"/>
      <c r="L88" s="22">
        <v>97</v>
      </c>
      <c r="M88" s="22"/>
      <c r="N88" s="22">
        <v>91.034000000000006</v>
      </c>
    </row>
    <row r="89" spans="1:14" x14ac:dyDescent="0.4">
      <c r="A89" s="20" t="s">
        <v>54</v>
      </c>
      <c r="B89" s="20"/>
      <c r="C89" s="20"/>
      <c r="D89" s="22">
        <v>4244</v>
      </c>
      <c r="E89" s="22"/>
      <c r="F89" s="22">
        <v>5369</v>
      </c>
      <c r="G89" s="22"/>
      <c r="H89" s="22">
        <v>4225</v>
      </c>
      <c r="I89" s="22"/>
      <c r="J89" s="22">
        <v>4065</v>
      </c>
      <c r="K89" s="22"/>
      <c r="L89" s="22">
        <v>3319</v>
      </c>
      <c r="M89" s="22"/>
      <c r="N89" s="22">
        <v>3255.55</v>
      </c>
    </row>
    <row r="90" spans="1:14" x14ac:dyDescent="0.4">
      <c r="A90" s="20" t="s">
        <v>55</v>
      </c>
      <c r="B90" s="20"/>
      <c r="C90" s="20"/>
      <c r="D90" s="22">
        <v>935</v>
      </c>
      <c r="E90" s="22"/>
      <c r="F90" s="22">
        <v>856</v>
      </c>
      <c r="G90" s="22"/>
      <c r="H90" s="22">
        <v>791</v>
      </c>
      <c r="I90" s="22"/>
      <c r="J90" s="22">
        <v>730</v>
      </c>
      <c r="K90" s="22"/>
      <c r="L90" s="22">
        <v>721</v>
      </c>
      <c r="M90" s="22"/>
      <c r="N90" s="22">
        <v>680.52099999999996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788</v>
      </c>
      <c r="E92" s="22"/>
      <c r="F92" s="22">
        <v>758</v>
      </c>
      <c r="G92" s="22"/>
      <c r="H92" s="22">
        <v>698</v>
      </c>
      <c r="I92" s="22"/>
      <c r="J92" s="22">
        <v>633</v>
      </c>
      <c r="K92" s="22"/>
      <c r="L92" s="22">
        <v>616</v>
      </c>
      <c r="M92" s="22"/>
      <c r="N92" s="22">
        <v>591.99599999999998</v>
      </c>
    </row>
    <row r="93" spans="1:14" x14ac:dyDescent="0.4">
      <c r="A93" s="20" t="s">
        <v>58</v>
      </c>
      <c r="B93" s="20"/>
      <c r="C93" s="20"/>
      <c r="D93" s="22">
        <v>4</v>
      </c>
      <c r="E93" s="22"/>
      <c r="F93" s="22">
        <v>-12</v>
      </c>
      <c r="G93" s="22"/>
      <c r="H93" s="22">
        <v>-53</v>
      </c>
      <c r="I93" s="22"/>
      <c r="J93" s="22">
        <v>-27</v>
      </c>
      <c r="K93" s="22"/>
      <c r="L93" s="22">
        <v>-44</v>
      </c>
      <c r="M93" s="22"/>
      <c r="N93" s="22">
        <v>-61.933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989</v>
      </c>
      <c r="E96" s="22"/>
      <c r="F96" s="22">
        <v>909</v>
      </c>
      <c r="G96" s="22"/>
      <c r="H96" s="22">
        <v>846</v>
      </c>
      <c r="I96" s="22"/>
      <c r="J96" s="22">
        <v>780</v>
      </c>
      <c r="K96" s="22"/>
      <c r="L96" s="22">
        <v>736</v>
      </c>
      <c r="M96" s="22"/>
      <c r="N96" s="22">
        <v>694.88599999999997</v>
      </c>
    </row>
    <row r="97" spans="1:14" x14ac:dyDescent="0.4">
      <c r="A97" s="20" t="s">
        <v>60</v>
      </c>
      <c r="B97" s="20"/>
      <c r="C97" s="20"/>
      <c r="D97" s="22">
        <v>1.83</v>
      </c>
      <c r="E97" s="22"/>
      <c r="F97" s="22">
        <v>1.72</v>
      </c>
      <c r="G97" s="22"/>
      <c r="H97" s="22">
        <v>1.62</v>
      </c>
      <c r="I97" s="22"/>
      <c r="J97" s="22">
        <v>1.52</v>
      </c>
      <c r="K97" s="22"/>
      <c r="L97" s="22">
        <v>1.44</v>
      </c>
      <c r="M97" s="22"/>
      <c r="N97" s="22">
        <v>1.36</v>
      </c>
    </row>
    <row r="98" spans="1:14" x14ac:dyDescent="0.4">
      <c r="A98" s="20" t="s">
        <v>61</v>
      </c>
      <c r="B98" s="20"/>
      <c r="C98" s="20"/>
      <c r="D98" s="22">
        <v>1.83</v>
      </c>
      <c r="E98" s="22"/>
      <c r="F98" s="22">
        <v>1.72</v>
      </c>
      <c r="G98" s="22"/>
      <c r="H98" s="22">
        <v>1.62</v>
      </c>
      <c r="I98" s="22"/>
      <c r="J98" s="22">
        <v>1.5</v>
      </c>
      <c r="K98" s="22"/>
      <c r="L98" s="22">
        <v>1.42</v>
      </c>
      <c r="M98" s="22"/>
      <c r="N98" s="22">
        <v>1.34</v>
      </c>
    </row>
    <row r="99" spans="1:14" x14ac:dyDescent="0.4">
      <c r="A99" s="20" t="s">
        <v>62</v>
      </c>
      <c r="B99" s="20"/>
      <c r="C99" s="20"/>
      <c r="D99" s="22">
        <v>72.94</v>
      </c>
      <c r="E99" s="22"/>
      <c r="F99" s="22">
        <v>76.44</v>
      </c>
      <c r="G99" s="22"/>
      <c r="H99" s="22">
        <v>66.05</v>
      </c>
      <c r="I99" s="22"/>
      <c r="J99" s="22">
        <v>54.107999999999997</v>
      </c>
      <c r="K99" s="22"/>
      <c r="L99" s="22">
        <v>52.22</v>
      </c>
      <c r="M99" s="22"/>
      <c r="N99" s="22">
        <v>45.42</v>
      </c>
    </row>
    <row r="100" spans="1:14" x14ac:dyDescent="0.4">
      <c r="A100" s="20" t="s">
        <v>63</v>
      </c>
      <c r="B100" s="20"/>
      <c r="C100" s="20"/>
      <c r="D100" s="22">
        <v>57.23</v>
      </c>
      <c r="E100" s="22"/>
      <c r="F100" s="22">
        <v>46.58</v>
      </c>
      <c r="G100" s="22"/>
      <c r="H100" s="22">
        <v>47.7</v>
      </c>
      <c r="I100" s="22"/>
      <c r="J100" s="22">
        <v>41.51</v>
      </c>
      <c r="K100" s="22"/>
      <c r="L100" s="22">
        <v>40.04</v>
      </c>
      <c r="M100" s="22"/>
      <c r="N100" s="22">
        <v>35.19</v>
      </c>
    </row>
    <row r="101" spans="1:14" x14ac:dyDescent="0.4">
      <c r="A101" s="20" t="s">
        <v>64</v>
      </c>
      <c r="B101" s="20"/>
      <c r="C101" s="20"/>
      <c r="D101" s="22">
        <v>67.7</v>
      </c>
      <c r="E101" s="22"/>
      <c r="F101" s="22">
        <v>66.67</v>
      </c>
      <c r="G101" s="22"/>
      <c r="H101" s="22">
        <v>63.49</v>
      </c>
      <c r="I101" s="22"/>
      <c r="J101" s="22">
        <v>49.27</v>
      </c>
      <c r="K101" s="22"/>
      <c r="L101" s="22">
        <v>48.11</v>
      </c>
      <c r="M101" s="22"/>
      <c r="N101" s="22">
        <v>40.700000000000003</v>
      </c>
    </row>
    <row r="102" spans="1:14" x14ac:dyDescent="0.4">
      <c r="A102" s="20" t="s">
        <v>65</v>
      </c>
      <c r="B102" s="20"/>
      <c r="C102" s="20"/>
      <c r="D102" s="22">
        <v>544.02526899999998</v>
      </c>
      <c r="E102" s="22"/>
      <c r="F102" s="22">
        <v>537.43839400000002</v>
      </c>
      <c r="G102" s="22"/>
      <c r="H102" s="22">
        <v>524.53899999999999</v>
      </c>
      <c r="I102" s="22"/>
      <c r="J102" s="22">
        <v>514.03700000000003</v>
      </c>
      <c r="K102" s="22"/>
      <c r="L102" s="22">
        <v>507.76299999999998</v>
      </c>
      <c r="M102" s="22"/>
      <c r="N102" s="22">
        <v>507.22300000000001</v>
      </c>
    </row>
    <row r="103" spans="1:14" x14ac:dyDescent="0.4">
      <c r="A103" s="20" t="s">
        <v>91</v>
      </c>
      <c r="B103" s="20"/>
      <c r="C103" s="20"/>
      <c r="D103" s="22">
        <v>-123</v>
      </c>
      <c r="E103" s="22"/>
      <c r="F103" s="22">
        <v>-141</v>
      </c>
      <c r="G103" s="22"/>
      <c r="H103" s="22">
        <v>-141</v>
      </c>
      <c r="I103" s="22"/>
      <c r="J103" s="22">
        <v>-124</v>
      </c>
      <c r="K103" s="22"/>
      <c r="L103" s="22">
        <v>-125</v>
      </c>
      <c r="M103" s="22"/>
      <c r="N103" s="22">
        <v>-110.354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2.96</v>
      </c>
      <c r="F105" s="15">
        <f>F67/F94</f>
        <v>2.79</v>
      </c>
      <c r="H105" s="15">
        <f>H67/H94</f>
        <v>2.64</v>
      </c>
      <c r="J105" s="15">
        <f>J67/J94</f>
        <v>2.4700000000000002</v>
      </c>
      <c r="L105" s="15">
        <f>L67/L94</f>
        <v>2.2599999999999998</v>
      </c>
      <c r="N105" s="15">
        <f>N67/N94</f>
        <v>2.21</v>
      </c>
    </row>
    <row r="106" spans="1:14" x14ac:dyDescent="0.4">
      <c r="B106" t="s">
        <v>60</v>
      </c>
      <c r="D106" s="15">
        <f>D97/D94</f>
        <v>1.83</v>
      </c>
      <c r="F106" s="15">
        <f>F97/F94</f>
        <v>1.72</v>
      </c>
      <c r="H106" s="15">
        <f>H97/H94</f>
        <v>1.62</v>
      </c>
      <c r="J106" s="15">
        <f>J97/J94</f>
        <v>1.52</v>
      </c>
      <c r="L106" s="15">
        <f>L97/L94</f>
        <v>1.44</v>
      </c>
      <c r="N106" s="15">
        <f>N97/N94</f>
        <v>1.36</v>
      </c>
    </row>
    <row r="107" spans="1:14" x14ac:dyDescent="0.4">
      <c r="B107" t="s">
        <v>61</v>
      </c>
      <c r="D107" s="15">
        <f>D98/D94</f>
        <v>1.83</v>
      </c>
      <c r="F107" s="15">
        <f>F98/F94</f>
        <v>1.72</v>
      </c>
      <c r="H107" s="15">
        <f>H98/H94</f>
        <v>1.62</v>
      </c>
      <c r="J107" s="15">
        <f>J98/J94</f>
        <v>1.5</v>
      </c>
      <c r="L107" s="15">
        <f>L98/L94</f>
        <v>1.42</v>
      </c>
      <c r="N107" s="15">
        <f>N98/N94</f>
        <v>1.34</v>
      </c>
    </row>
    <row r="108" spans="1:14" x14ac:dyDescent="0.4">
      <c r="B108" t="s">
        <v>62</v>
      </c>
      <c r="D108" s="15">
        <f>D99/D94</f>
        <v>72.94</v>
      </c>
      <c r="F108" s="15">
        <f>F99/F94</f>
        <v>76.44</v>
      </c>
      <c r="H108" s="15">
        <f>H99/H94</f>
        <v>66.05</v>
      </c>
      <c r="J108" s="15">
        <f>J99/J94</f>
        <v>54.107999999999997</v>
      </c>
      <c r="L108" s="15">
        <f>L99/L94</f>
        <v>52.22</v>
      </c>
      <c r="N108" s="15">
        <f>N99/N94</f>
        <v>45.42</v>
      </c>
    </row>
    <row r="109" spans="1:14" x14ac:dyDescent="0.4">
      <c r="B109" t="s">
        <v>63</v>
      </c>
      <c r="D109" s="15">
        <f>D100/D94</f>
        <v>57.23</v>
      </c>
      <c r="F109" s="15">
        <f>F100/F94</f>
        <v>46.58</v>
      </c>
      <c r="H109" s="15">
        <f>H100/H94</f>
        <v>47.7</v>
      </c>
      <c r="J109" s="15">
        <f>J100/J94</f>
        <v>41.51</v>
      </c>
      <c r="L109" s="15">
        <f>L100/L94</f>
        <v>40.04</v>
      </c>
      <c r="N109" s="15">
        <f>N100/N94</f>
        <v>35.19</v>
      </c>
    </row>
    <row r="110" spans="1:14" x14ac:dyDescent="0.4">
      <c r="B110" t="s">
        <v>64</v>
      </c>
      <c r="D110" s="15">
        <f>D101/D94</f>
        <v>67.7</v>
      </c>
      <c r="F110" s="15">
        <f>F101/F94</f>
        <v>66.67</v>
      </c>
      <c r="H110" s="15">
        <f>H101/H94</f>
        <v>63.49</v>
      </c>
      <c r="J110" s="15">
        <f>J101/J94</f>
        <v>49.27</v>
      </c>
      <c r="L110" s="15">
        <f>L101/L94</f>
        <v>48.11</v>
      </c>
      <c r="N110" s="15">
        <f>N101/N94</f>
        <v>40.700000000000003</v>
      </c>
    </row>
    <row r="111" spans="1:14" x14ac:dyDescent="0.4">
      <c r="B111" t="s">
        <v>65</v>
      </c>
      <c r="D111" s="16">
        <f>D102*D94</f>
        <v>544.02526899999998</v>
      </c>
      <c r="E111" s="16"/>
      <c r="F111" s="16">
        <f>F102*F94</f>
        <v>537.43839400000002</v>
      </c>
      <c r="G111" s="16"/>
      <c r="H111" s="16">
        <f>H102*H94</f>
        <v>524.53899999999999</v>
      </c>
      <c r="I111" s="16"/>
      <c r="J111" s="16">
        <f>J102*J94</f>
        <v>514.03700000000003</v>
      </c>
      <c r="K111" s="16"/>
      <c r="L111" s="16">
        <f>L102*L94</f>
        <v>507.76299999999998</v>
      </c>
      <c r="M111" s="16"/>
      <c r="N111" s="16">
        <f>N102*N94</f>
        <v>507.22300000000001</v>
      </c>
    </row>
    <row r="112" spans="1:14" x14ac:dyDescent="0.4">
      <c r="B112" t="s">
        <v>66</v>
      </c>
      <c r="D112" s="15">
        <f>ROUND(D68/D111,2)</f>
        <v>28.7</v>
      </c>
      <c r="F112" s="15">
        <f>ROUND(F68/F111,2)</f>
        <v>27.12</v>
      </c>
      <c r="H112" s="15">
        <f>ROUND(H68/H111,2)</f>
        <v>25.24</v>
      </c>
      <c r="J112" s="15">
        <f>ROUND(J68/J111,2)</f>
        <v>23.78</v>
      </c>
      <c r="L112" s="15">
        <f>ROUND(L68/L111,2)</f>
        <v>22.56</v>
      </c>
      <c r="N112" s="15">
        <f>ROUND(N68/N111,2)</f>
        <v>21.73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AMEREN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22883</v>
      </c>
      <c r="F8" s="34">
        <f>F78+F79+F81-F103</f>
        <v>20167</v>
      </c>
      <c r="H8" s="34">
        <f>H78+H79+H81-H103</f>
        <v>17575</v>
      </c>
      <c r="J8" s="34">
        <f>J78+J79+J81-J103</f>
        <v>16234</v>
      </c>
      <c r="L8" s="34">
        <f>L78+L79+L81-L103</f>
        <v>15279</v>
      </c>
    </row>
    <row r="9" spans="1:15" x14ac:dyDescent="0.4">
      <c r="B9" t="s">
        <v>5</v>
      </c>
      <c r="D9" s="9">
        <f>D80</f>
        <v>545</v>
      </c>
      <c r="F9" s="9">
        <f>F80</f>
        <v>490</v>
      </c>
      <c r="H9" s="9">
        <f>H80</f>
        <v>440</v>
      </c>
      <c r="J9" s="9">
        <f>J80</f>
        <v>597</v>
      </c>
      <c r="L9" s="9">
        <f>L80</f>
        <v>484</v>
      </c>
    </row>
    <row r="10" spans="1:15" ht="15.4" thickBot="1" x14ac:dyDescent="0.45">
      <c r="B10" t="s">
        <v>7</v>
      </c>
      <c r="D10" s="10">
        <f>D8+D9</f>
        <v>23428</v>
      </c>
      <c r="F10" s="10">
        <f>F8+F9</f>
        <v>20657</v>
      </c>
      <c r="H10" s="10">
        <f>H8+H9</f>
        <v>18015</v>
      </c>
      <c r="J10" s="10">
        <f>J8+J9</f>
        <v>16831</v>
      </c>
      <c r="L10" s="10">
        <f>L8+L9</f>
        <v>15763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19</v>
      </c>
      <c r="E13" s="7" t="s">
        <v>3</v>
      </c>
      <c r="F13" s="30">
        <f>ROUND(AVERAGE(F108:F109)/F105,0)</f>
        <v>21</v>
      </c>
      <c r="G13" s="7" t="s">
        <v>3</v>
      </c>
      <c r="H13" s="30">
        <f>ROUND(AVERAGE(H108:H109)/H105,0)</f>
        <v>21</v>
      </c>
      <c r="I13" s="7" t="s">
        <v>3</v>
      </c>
      <c r="J13" s="30">
        <f>ROUND(AVERAGE(J108:J109)/J105,0)</f>
        <v>18</v>
      </c>
      <c r="K13" s="7" t="s">
        <v>3</v>
      </c>
      <c r="L13" s="30">
        <f>ROUND(AVERAGE(L108:L109)/L105,0)</f>
        <v>27</v>
      </c>
      <c r="M13" s="7" t="s">
        <v>3</v>
      </c>
      <c r="N13" s="30">
        <f>AVERAGE(D13,F13,H13,J13,L13)</f>
        <v>21.2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1.974</v>
      </c>
      <c r="E14" s="3"/>
      <c r="F14" s="3">
        <f>ROUND(AVERAGE(F108:F109)/AVERAGE(F112,H112),3)</f>
        <v>2.1520000000000001</v>
      </c>
      <c r="G14" s="3"/>
      <c r="H14" s="3">
        <f>ROUND(AVERAGE(H108:H109)/AVERAGE(H112,J112),3)</f>
        <v>2.2519999999999998</v>
      </c>
      <c r="I14" s="3"/>
      <c r="J14" s="3">
        <f>ROUND(AVERAGE(J108:J109)/AVERAGE(J112,L112),3)</f>
        <v>2.02</v>
      </c>
      <c r="K14" s="3"/>
      <c r="L14" s="3">
        <f>ROUND(AVERAGE(L108:L109)/AVERAGE(L112,N112),3)</f>
        <v>1.974</v>
      </c>
      <c r="M14" s="3"/>
      <c r="N14" s="3">
        <f>AVERAGE(D14,F14,H14,J14,L14)</f>
        <v>2.0743999999999998</v>
      </c>
    </row>
    <row r="15" spans="1:15" x14ac:dyDescent="0.4">
      <c r="B15" t="s">
        <v>9</v>
      </c>
      <c r="D15" s="3">
        <f>ROUND(D106/AVERAGE(D108:D109),3)</f>
        <v>3.1E-2</v>
      </c>
      <c r="E15" s="3"/>
      <c r="F15" s="3">
        <f>ROUND(F106/AVERAGE(F108:F109),3)</f>
        <v>2.7E-2</v>
      </c>
      <c r="G15" s="3"/>
      <c r="H15" s="3">
        <f>ROUND(H106/AVERAGE(H108:H109),3)</f>
        <v>2.7E-2</v>
      </c>
      <c r="I15" s="3"/>
      <c r="J15" s="3">
        <f>ROUND(J106/AVERAGE(J108:J109),3)</f>
        <v>0.03</v>
      </c>
      <c r="K15" s="3"/>
      <c r="L15" s="3">
        <f>ROUND(L106/AVERAGE(L108:L109),3)</f>
        <v>3.1E-2</v>
      </c>
      <c r="M15" s="3"/>
      <c r="N15" s="3">
        <f>AVERAGE(D15,F15,H15,J15,L15)</f>
        <v>2.9199999999999997E-2</v>
      </c>
    </row>
    <row r="16" spans="1:15" x14ac:dyDescent="0.4">
      <c r="B16" t="s">
        <v>10</v>
      </c>
      <c r="D16" s="3">
        <f>ROUND(D96/D66,3)</f>
        <v>0.57099999999999995</v>
      </c>
      <c r="E16" s="3"/>
      <c r="F16" s="3">
        <f>ROUND(F96/F66,3)</f>
        <v>0.56699999999999995</v>
      </c>
      <c r="G16" s="3"/>
      <c r="H16" s="3">
        <f>ROUND(H96/H66,3)</f>
        <v>0.56999999999999995</v>
      </c>
      <c r="I16" s="3"/>
      <c r="J16" s="3">
        <f>ROUND(J96/J66,3)</f>
        <v>0.55300000000000005</v>
      </c>
      <c r="K16" s="3"/>
      <c r="L16" s="3">
        <f>ROUND(L96/L66,3)</f>
        <v>0.82399999999999995</v>
      </c>
      <c r="M16" s="3"/>
      <c r="N16" s="3">
        <f>AVERAGE(D16,F16,H16,J16,L16)</f>
        <v>0.61699999999999988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0.57099999999999995</v>
      </c>
      <c r="E20" s="3"/>
      <c r="F20" s="3">
        <f>ROUND((+F76+F79)/F8,3)</f>
        <v>0.55000000000000004</v>
      </c>
      <c r="G20" s="3"/>
      <c r="H20" s="3">
        <f>ROUND((+H76+H79)/H8,3)</f>
        <v>0.53200000000000003</v>
      </c>
      <c r="I20" s="3"/>
      <c r="J20" s="3">
        <f>ROUND((+J76+J79)/J8,3)</f>
        <v>0.52</v>
      </c>
      <c r="K20" s="3"/>
      <c r="L20" s="3">
        <f>ROUND((+L76+L79)/L8,3)</f>
        <v>0.51900000000000002</v>
      </c>
      <c r="M20" s="3"/>
      <c r="N20" s="3">
        <f>AVERAGE(D20,F20,H20,J20,L20)</f>
        <v>0.53839999999999999</v>
      </c>
    </row>
    <row r="21" spans="1:14" x14ac:dyDescent="0.4">
      <c r="B21" s="31" t="s">
        <v>93</v>
      </c>
      <c r="D21" s="3">
        <f>ROUND((SUM(D69:D75)+D81)/D8,3)</f>
        <v>6.0000000000000001E-3</v>
      </c>
      <c r="E21" s="3"/>
      <c r="F21" s="3">
        <f>ROUND((SUM(F69:F75)+F81)/F8,3)</f>
        <v>7.0000000000000001E-3</v>
      </c>
      <c r="G21" s="3"/>
      <c r="H21" s="3">
        <f>ROUND((SUM(H69:H75)+H81)/H8,3)</f>
        <v>8.0000000000000002E-3</v>
      </c>
      <c r="I21" s="3"/>
      <c r="J21" s="3">
        <f>ROUND((SUM(J69:J75)+J81)/J8,3)</f>
        <v>8.9999999999999993E-3</v>
      </c>
      <c r="K21" s="3"/>
      <c r="L21" s="3">
        <f>ROUND((SUM(L69:L75)+L81)/L8,3)</f>
        <v>8.9999999999999993E-3</v>
      </c>
      <c r="M21" s="3"/>
      <c r="N21" s="3">
        <f>AVERAGE(D21,F21,H21,J21,L21)</f>
        <v>7.7999999999999996E-3</v>
      </c>
    </row>
    <row r="22" spans="1:14" ht="17.25" x14ac:dyDescent="0.4">
      <c r="B22" s="32" t="s">
        <v>94</v>
      </c>
      <c r="D22" s="4">
        <f>ROUND((D68-D103)/D8,3)</f>
        <v>0.42299999999999999</v>
      </c>
      <c r="E22" s="3"/>
      <c r="F22" s="4">
        <f>ROUND((F68-F103)/F8,3)</f>
        <v>0.443</v>
      </c>
      <c r="G22" s="3"/>
      <c r="H22" s="4">
        <f>ROUND((H68-H103)/H8,3)</f>
        <v>0.46</v>
      </c>
      <c r="I22" s="3"/>
      <c r="J22" s="4">
        <f>ROUND((J68-J103)/J8,3)</f>
        <v>0.47099999999999997</v>
      </c>
      <c r="K22" s="3"/>
      <c r="L22" s="4">
        <f>ROUND((L68-L103)/L8,3)</f>
        <v>0.47099999999999997</v>
      </c>
      <c r="M22" s="3"/>
      <c r="N22" s="4">
        <f>AVERAGE(D22,F22,H22,J22,L22)</f>
        <v>0.45360000000000006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0.999</v>
      </c>
      <c r="M23" s="3"/>
      <c r="N23" s="5">
        <f>AVERAGE(D23,F23,H23,J23,L23)</f>
        <v>0.99979999999999991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0.58099999999999996</v>
      </c>
      <c r="E25" s="3"/>
      <c r="F25" s="3">
        <f>ROUND((+F76+F79+F80)/F10,3)</f>
        <v>0.56000000000000005</v>
      </c>
      <c r="G25" s="3"/>
      <c r="H25" s="3">
        <f>ROUND((+H76+H79+H80)/H10,3)</f>
        <v>0.54400000000000004</v>
      </c>
      <c r="I25" s="3"/>
      <c r="J25" s="3">
        <f>ROUND((+J76+J79+J80)/J10,3)</f>
        <v>0.53700000000000003</v>
      </c>
      <c r="K25" s="3"/>
      <c r="L25" s="3">
        <f>ROUND((+L76+L79+L80)/L10,3)</f>
        <v>0.53400000000000003</v>
      </c>
      <c r="M25" s="3"/>
      <c r="N25" s="3">
        <f>AVERAGE(D25,F25,H25,J25,L25)</f>
        <v>0.55120000000000002</v>
      </c>
    </row>
    <row r="26" spans="1:14" x14ac:dyDescent="0.4">
      <c r="B26" s="31" t="s">
        <v>93</v>
      </c>
      <c r="D26" s="3">
        <f>ROUND((SUM(D69:D75)+D81)/D10,3)</f>
        <v>6.0000000000000001E-3</v>
      </c>
      <c r="E26" s="3"/>
      <c r="F26" s="3">
        <f>ROUND((SUM(F69:F75)+F81)/F10,3)</f>
        <v>7.0000000000000001E-3</v>
      </c>
      <c r="G26" s="3"/>
      <c r="H26" s="3">
        <f>ROUND((SUM(H69:H75)+H81)/H10,3)</f>
        <v>8.0000000000000002E-3</v>
      </c>
      <c r="I26" s="3"/>
      <c r="J26" s="3">
        <f>ROUND((SUM(J69:J75)+J81)/J10,3)</f>
        <v>8.0000000000000002E-3</v>
      </c>
      <c r="K26" s="3"/>
      <c r="L26" s="3">
        <f>ROUND((SUM(L69:L75)+L81)/L10,3)</f>
        <v>8.9999999999999993E-3</v>
      </c>
      <c r="M26" s="3"/>
      <c r="N26" s="3">
        <f>AVERAGE(D26,F26,H26,J26,L26)</f>
        <v>7.6E-3</v>
      </c>
    </row>
    <row r="27" spans="1:14" ht="17.25" x14ac:dyDescent="0.4">
      <c r="B27" s="32" t="s">
        <v>94</v>
      </c>
      <c r="D27" s="4">
        <f>ROUND((D68-D103)/D10,3)</f>
        <v>0.41299999999999998</v>
      </c>
      <c r="E27" s="3"/>
      <c r="F27" s="4">
        <f>ROUND((F68-F103)/F10,3)</f>
        <v>0.433</v>
      </c>
      <c r="G27" s="3"/>
      <c r="H27" s="4">
        <f>ROUND((H68-H103)/H10,3)</f>
        <v>0.44800000000000001</v>
      </c>
      <c r="I27" s="3"/>
      <c r="J27" s="4">
        <f>ROUND((J68-J103)/J10,3)</f>
        <v>0.45500000000000002</v>
      </c>
      <c r="K27" s="3"/>
      <c r="L27" s="4">
        <f>ROUND((L68-L103)/L10,3)</f>
        <v>0.45700000000000002</v>
      </c>
      <c r="M27" s="3"/>
      <c r="N27" s="4">
        <f>AVERAGE(D27,F27,H27,J27,L27)</f>
        <v>0.44119999999999998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0.106</v>
      </c>
      <c r="E30" s="3"/>
      <c r="F30" s="3">
        <f>ROUND(+F66/(((F68-F103)+(H68-H103))/2),3)</f>
        <v>0.10199999999999999</v>
      </c>
      <c r="G30" s="3"/>
      <c r="H30" s="3">
        <f>ROUND(+H66/(((H68-H103)+(J68-J103))/2),3)</f>
        <v>0.105</v>
      </c>
      <c r="I30" s="3"/>
      <c r="J30" s="3">
        <f>ROUND(+J66/(((J68-J103)+(L68-L103))/2),3)</f>
        <v>0.11</v>
      </c>
      <c r="K30" s="3"/>
      <c r="L30" s="3">
        <f>ROUND(+L66/(((L68-L103)+(N68-N103))/2),3)</f>
        <v>7.2999999999999995E-2</v>
      </c>
      <c r="M30" s="3"/>
      <c r="N30" s="3">
        <f>AVERAGE(D30,F30,H30,J30,L30)</f>
        <v>9.9199999999999997E-2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0.79200000000000004</v>
      </c>
      <c r="E32" s="3"/>
      <c r="F32" s="3">
        <f>ROUND((+F58-F57)/F56,3)</f>
        <v>0.77600000000000002</v>
      </c>
      <c r="G32" s="3"/>
      <c r="H32" s="3">
        <f>ROUND((+H58-H57)/H56,3)</f>
        <v>0.78600000000000003</v>
      </c>
      <c r="I32" s="3"/>
      <c r="J32" s="3">
        <f>ROUND((+J58-J57)/J56,3)</f>
        <v>0.78400000000000003</v>
      </c>
      <c r="K32" s="3"/>
      <c r="L32" s="3">
        <f>ROUND((+L58-L57)/L56,3)</f>
        <v>0.76400000000000001</v>
      </c>
      <c r="M32" s="3"/>
      <c r="N32" s="3">
        <f>AVERAGE(D32,F32,H32,J32,L32)</f>
        <v>0.78039999999999998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3.99</v>
      </c>
      <c r="E35" s="7" t="s">
        <v>3</v>
      </c>
      <c r="F35" s="7">
        <f>ROUND(((+F66+F65+F64+F63+F61+F59+F57)/F61),2)</f>
        <v>3.45</v>
      </c>
      <c r="G35" s="7" t="s">
        <v>3</v>
      </c>
      <c r="H35" s="7">
        <f>ROUND(((+H66+H65+H64+H63+H61+H59+H57)/H61),2)</f>
        <v>3.65</v>
      </c>
      <c r="I35" s="7" t="s">
        <v>3</v>
      </c>
      <c r="J35" s="7">
        <f>ROUND(((+J66+J65+J64+J63+J61+J59+J57)/J61),2)</f>
        <v>3.62</v>
      </c>
      <c r="K35" s="7" t="s">
        <v>3</v>
      </c>
      <c r="L35" s="7">
        <f>ROUND(((+L66+L65+L64+L63+L61+L59+L57)/L61),2)</f>
        <v>3.81</v>
      </c>
      <c r="M35" s="7" t="s">
        <v>3</v>
      </c>
      <c r="N35" s="26">
        <f>AVERAGE(D35,F35,H35,J35,L35)</f>
        <v>3.7039999999999997</v>
      </c>
      <c r="O35" t="s">
        <v>3</v>
      </c>
    </row>
    <row r="36" spans="1:15" x14ac:dyDescent="0.4">
      <c r="B36" t="s">
        <v>21</v>
      </c>
      <c r="D36" s="7">
        <f>ROUND(((+D66+D65+D64+D63+D61)/(D61)),2)</f>
        <v>3.58</v>
      </c>
      <c r="E36" s="7" t="s">
        <v>3</v>
      </c>
      <c r="F36" s="7">
        <f>ROUND(((+F66+F65+F64+F63+F61)/(F61)),2)</f>
        <v>3.08</v>
      </c>
      <c r="G36" s="7" t="s">
        <v>3</v>
      </c>
      <c r="H36" s="7">
        <f>ROUND(((+H66+H65+H64+H63+H61)/(H61)),2)</f>
        <v>3.17</v>
      </c>
      <c r="I36" s="7" t="s">
        <v>3</v>
      </c>
      <c r="J36" s="7">
        <f>ROUND(((+J66+J65+J64+J63+J61)/(J61)),2)</f>
        <v>3.03</v>
      </c>
      <c r="K36" s="7" t="s">
        <v>3</v>
      </c>
      <c r="L36" s="7">
        <f>ROUND(((+L66+L65+L64+L63+L61)/(L61)),2)</f>
        <v>2.34</v>
      </c>
      <c r="M36" s="7" t="s">
        <v>3</v>
      </c>
      <c r="N36" s="26">
        <f>AVERAGE(D36,F36,H36,J36,L36)</f>
        <v>3.04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3.58</v>
      </c>
      <c r="E37" s="7" t="s">
        <v>3</v>
      </c>
      <c r="F37" s="7">
        <f>ROUND(((+F66+F65+F64+F63+F61)/(F61+F63+F64+F65)),2)</f>
        <v>3.08</v>
      </c>
      <c r="G37" s="7" t="s">
        <v>3</v>
      </c>
      <c r="H37" s="7">
        <f>ROUND(((+H66+H65+H64+H63+H61)/(H61+H63+H64+H65)),2)</f>
        <v>3.17</v>
      </c>
      <c r="I37" s="7" t="s">
        <v>3</v>
      </c>
      <c r="J37" s="7">
        <f>ROUND(((+J66+J65+J64+J63+J61)/(J61+J63+J64+J65)),2)</f>
        <v>3.03</v>
      </c>
      <c r="K37" s="7" t="s">
        <v>3</v>
      </c>
      <c r="L37" s="7">
        <f>ROUND(((+L66+L65+L64+L63+L61)/(L61+L63+L64+L65)),2)</f>
        <v>2.34</v>
      </c>
      <c r="M37" s="7" t="s">
        <v>3</v>
      </c>
      <c r="N37" s="26">
        <f>AVERAGE(D37,F37,H37,J37,L37)</f>
        <v>3.04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3.99</v>
      </c>
      <c r="E40" s="7" t="s">
        <v>3</v>
      </c>
      <c r="F40" s="7">
        <f>ROUND(((+F66+F65+F64+F63-F62+F61+F59+F57)/F61),2)</f>
        <v>3.45</v>
      </c>
      <c r="G40" s="7" t="s">
        <v>3</v>
      </c>
      <c r="H40" s="7">
        <f>ROUND(((+H66+H65+H64+H63-H62+H61+H59+H57)/H61),2)</f>
        <v>3.65</v>
      </c>
      <c r="I40" s="7" t="s">
        <v>3</v>
      </c>
      <c r="J40" s="7">
        <f>ROUND(((+J66+J65+J64+J63-J62+J61+J59+J57)/J61),2)</f>
        <v>3.62</v>
      </c>
      <c r="K40" s="7" t="s">
        <v>3</v>
      </c>
      <c r="L40" s="7">
        <f>ROUND(((+L66+L65+L64+L63-L62+L61+L59+L57)/L61),2)</f>
        <v>3.81</v>
      </c>
      <c r="M40" s="7" t="s">
        <v>3</v>
      </c>
      <c r="N40" s="26">
        <f>AVERAGE(D40,F40,H40,J40,L40)</f>
        <v>3.7039999999999997</v>
      </c>
      <c r="O40" t="s">
        <v>3</v>
      </c>
    </row>
    <row r="41" spans="1:15" x14ac:dyDescent="0.4">
      <c r="B41" t="s">
        <v>21</v>
      </c>
      <c r="D41" s="7">
        <f>ROUND(((+D66+D65+D64+D63-D62+D61)/D61),2)</f>
        <v>3.58</v>
      </c>
      <c r="E41" s="7" t="s">
        <v>3</v>
      </c>
      <c r="F41" s="7">
        <f>ROUND(((+F66+F65+F64+F63-F62+F61)/F61),2)</f>
        <v>3.08</v>
      </c>
      <c r="G41" s="7" t="s">
        <v>3</v>
      </c>
      <c r="H41" s="7">
        <f>ROUND(((+H66+H65+H64+H63-H62+H61)/H61),2)</f>
        <v>3.17</v>
      </c>
      <c r="I41" s="7" t="s">
        <v>3</v>
      </c>
      <c r="J41" s="7">
        <f>ROUND(((+J66+J65+J64+J63-J62+J61)/J61),2)</f>
        <v>3.03</v>
      </c>
      <c r="K41" s="7" t="s">
        <v>3</v>
      </c>
      <c r="L41" s="7">
        <f>ROUND(((+L66+L65+L64+L63-L62+L61)/L61),2)</f>
        <v>2.34</v>
      </c>
      <c r="M41" s="7" t="s">
        <v>3</v>
      </c>
      <c r="N41" s="26">
        <f>AVERAGE(D41,F41,H41,J41,L41)</f>
        <v>3.04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3.58</v>
      </c>
      <c r="E42" s="7" t="s">
        <v>3</v>
      </c>
      <c r="F42" s="7">
        <f>ROUND(((+F66+F65+F64+F63-F62+F61)/(F61+F63+F64+F65)),2)</f>
        <v>3.08</v>
      </c>
      <c r="G42" s="7" t="s">
        <v>3</v>
      </c>
      <c r="H42" s="7">
        <f>ROUND(((+H66+H65+H64+H63-H62+H61)/(H61+H63+H64+H65)),2)</f>
        <v>3.17</v>
      </c>
      <c r="I42" s="7" t="s">
        <v>3</v>
      </c>
      <c r="J42" s="7">
        <f>ROUND(((+J66+J65+J64+J63-J62+J61)/(J61+J63+J64+J65)),2)</f>
        <v>3.03</v>
      </c>
      <c r="K42" s="7" t="s">
        <v>3</v>
      </c>
      <c r="L42" s="7">
        <f>ROUND(((+L66+L65+L64+L63-L62+L61)/(L61+L63+L64+L65)),2)</f>
        <v>2.34</v>
      </c>
      <c r="M42" s="7" t="s">
        <v>3</v>
      </c>
      <c r="N42" s="26">
        <f>AVERAGE(D42,F42,H42,J42,L42)</f>
        <v>3.04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</v>
      </c>
      <c r="E45" s="11"/>
      <c r="F45" s="11">
        <f>ROUND(F62/F66,3)</f>
        <v>0</v>
      </c>
      <c r="G45" s="11"/>
      <c r="H45" s="11">
        <f>ROUND(H62/H66,3)</f>
        <v>0</v>
      </c>
      <c r="I45" s="11"/>
      <c r="J45" s="11">
        <f>ROUND(J62/J66,3)</f>
        <v>0</v>
      </c>
      <c r="K45" s="11"/>
      <c r="L45" s="11">
        <f>ROUND(L62/L66,3)</f>
        <v>0</v>
      </c>
      <c r="M45" s="11"/>
      <c r="N45" s="3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0.13700000000000001</v>
      </c>
      <c r="E46" s="18"/>
      <c r="F46" s="17">
        <f>ROUND((F57+F59)/(F57+F59+F66+F63+F64+F65),3)</f>
        <v>0.151</v>
      </c>
      <c r="G46" s="18"/>
      <c r="H46" s="17">
        <f>ROUND((H57+H59)/(H57+H59+H66+H63+H64+H65),3)</f>
        <v>0.18</v>
      </c>
      <c r="I46" s="18"/>
      <c r="J46" s="17">
        <f>ROUND((J57+J59)/(J57+J59+J66+J63+J64+J65),3)</f>
        <v>0.22500000000000001</v>
      </c>
      <c r="K46" s="18"/>
      <c r="L46" s="17">
        <f>ROUND((L57+L59)/(L57+L59+L66+L63+L64+L65),3)</f>
        <v>0.52400000000000002</v>
      </c>
      <c r="M46" s="18"/>
      <c r="N46" s="3">
        <f t="shared" si="0"/>
        <v>0.24340000000000001</v>
      </c>
    </row>
    <row r="47" spans="1:15" ht="17.25" x14ac:dyDescent="0.4">
      <c r="B47" s="33" t="s">
        <v>100</v>
      </c>
      <c r="D47" s="11">
        <f>ROUND(((+D82+D83+D84+D85+D86-D87+D88-D90-D91)/(+D89-D87)),3)</f>
        <v>0.64500000000000002</v>
      </c>
      <c r="E47" s="12"/>
      <c r="F47" s="11">
        <f>ROUND(((+F82+F83+F84+F85+F86-F87+F88-F90-F91)/(+F89-F87)),3)</f>
        <v>0.64900000000000002</v>
      </c>
      <c r="G47" s="12"/>
      <c r="H47" s="11">
        <f>ROUND(((+H82+H83+H84+H85+H86-H87+H88-H90-H91)/(+H89-H87)),3)</f>
        <v>0.67200000000000004</v>
      </c>
      <c r="I47" s="12"/>
      <c r="J47" s="11">
        <f>ROUND(((+J82+J83+J84+J85+J86-J87+J88-J90-J91)/(+J89-J87)),3)</f>
        <v>0.71599999999999997</v>
      </c>
      <c r="K47" s="12"/>
      <c r="L47" s="11">
        <f>ROUND(((+L82+L83+L84+L85+L86-L87+L88-L90-L91)/(+L89-L87)),3)</f>
        <v>0.72599999999999998</v>
      </c>
      <c r="M47" s="12"/>
      <c r="N47" s="3">
        <f t="shared" si="0"/>
        <v>0.68160000000000009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0.19400000000000001</v>
      </c>
      <c r="E48" s="12"/>
      <c r="F48" s="11">
        <f>ROUND(((+F82+F83+F84+F85+F86-F87+F88)/(AVERAGE(F76,H76)+AVERAGE(F79,H79)+AVERAGE(F80,H80))),3)</f>
        <v>0.20699999999999999</v>
      </c>
      <c r="G48" s="12"/>
      <c r="H48" s="11">
        <f>ROUND(((+H82+H83+H84+H85+H86-H87+H88)/(AVERAGE(H76,J76)+AVERAGE(H79,J79)+AVERAGE(H80,J80))),3)</f>
        <v>0.221</v>
      </c>
      <c r="I48" s="12"/>
      <c r="J48" s="11">
        <f>ROUND(((+J82+J83+J84+J85+J86-J87+J88)/(AVERAGE(J76,L76)+AVERAGE(J79,L79)+AVERAGE(J80,L80))),3)</f>
        <v>0.24399999999999999</v>
      </c>
      <c r="K48" s="12"/>
      <c r="L48" s="11">
        <f>ROUND(((+L82+L83+L84+L85+L86-L87+L88)/(AVERAGE(L76,N76)+AVERAGE(L79,N79)+AVERAGE(L80,N80))),3)</f>
        <v>0.249</v>
      </c>
      <c r="M48" s="12"/>
      <c r="N48" s="3">
        <f t="shared" si="0"/>
        <v>0.223</v>
      </c>
    </row>
    <row r="49" spans="1:15" ht="17.25" x14ac:dyDescent="0.4">
      <c r="B49" s="33" t="s">
        <v>102</v>
      </c>
      <c r="D49" s="27">
        <f>ROUND(((+D82+D83+D84+D85+D86-D87+D88+D92)/D61),2)</f>
        <v>7.51</v>
      </c>
      <c r="E49" t="s">
        <v>3</v>
      </c>
      <c r="F49" s="27">
        <f>ROUND(((+F82+F83+F84+F85+F86-F87+F88+F92)/F61),2)</f>
        <v>6.19</v>
      </c>
      <c r="G49" t="s">
        <v>3</v>
      </c>
      <c r="H49" s="27">
        <f>ROUND(((+H82+H83+H84+H85+H86-H87+H88+H92)/H61),2)</f>
        <v>6.42</v>
      </c>
      <c r="I49" t="s">
        <v>3</v>
      </c>
      <c r="J49" s="27">
        <f>ROUND(((+J82+J83+J84+J85+J86-J87+J88+J92)/J61),2)</f>
        <v>6.27</v>
      </c>
      <c r="K49" t="s">
        <v>3</v>
      </c>
      <c r="L49" s="27">
        <f>ROUND(((+L82+L83+L84+L85+L86-L87+L88+L92)/L61),2)</f>
        <v>6.13</v>
      </c>
      <c r="M49" t="s">
        <v>3</v>
      </c>
      <c r="N49" s="27">
        <f t="shared" si="0"/>
        <v>6.5039999999999996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4.33</v>
      </c>
      <c r="E50" t="s">
        <v>3</v>
      </c>
      <c r="F50" s="27">
        <f>ROUND(((+F82+F83+F84+F85+F86-F87+F88-F91)/+F90),2)</f>
        <v>4.46</v>
      </c>
      <c r="G50" t="s">
        <v>3</v>
      </c>
      <c r="H50" s="27">
        <f>ROUND(((+H82+H83+H84+H85+H86-H87+H88-H91)/+H90),2)</f>
        <v>4.3899999999999997</v>
      </c>
      <c r="I50" t="s">
        <v>3</v>
      </c>
      <c r="J50" s="27">
        <f>ROUND(((+J82+J83+J84+J85+J86-J87+J88-J91)/+J90),2)</f>
        <v>4.71</v>
      </c>
      <c r="K50" t="s">
        <v>3</v>
      </c>
      <c r="L50" s="27">
        <f>ROUND(((+L82+L83+L84+L85+L86-L87+L88-L91)/+L90),2)</f>
        <v>4.7</v>
      </c>
      <c r="M50" t="s">
        <v>3</v>
      </c>
      <c r="N50" s="27">
        <f t="shared" si="0"/>
        <v>4.5179999999999998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73</v>
      </c>
      <c r="B54" s="19"/>
      <c r="C54" s="19"/>
      <c r="D54" s="35"/>
      <c r="F54" s="35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6394</v>
      </c>
      <c r="E56" s="22"/>
      <c r="F56" s="22">
        <v>5794</v>
      </c>
      <c r="G56" s="22"/>
      <c r="H56" s="22">
        <v>5910</v>
      </c>
      <c r="I56" s="22"/>
      <c r="J56" s="22">
        <v>6291</v>
      </c>
      <c r="K56" s="22"/>
      <c r="L56" s="22">
        <v>6177</v>
      </c>
      <c r="M56" s="22"/>
      <c r="N56" s="22">
        <v>6076</v>
      </c>
    </row>
    <row r="57" spans="1:15" x14ac:dyDescent="0.4">
      <c r="A57" s="20" t="s">
        <v>23</v>
      </c>
      <c r="B57" s="20"/>
      <c r="C57" s="20"/>
      <c r="D57" s="22">
        <v>157</v>
      </c>
      <c r="E57" s="22"/>
      <c r="F57" s="22">
        <v>155</v>
      </c>
      <c r="G57" s="22"/>
      <c r="H57" s="22">
        <v>182</v>
      </c>
      <c r="I57" s="22"/>
      <c r="J57" s="22">
        <v>237</v>
      </c>
      <c r="K57" s="22"/>
      <c r="L57" s="22">
        <v>576</v>
      </c>
      <c r="M57" s="22"/>
      <c r="N57" s="22">
        <v>382</v>
      </c>
    </row>
    <row r="58" spans="1:15" x14ac:dyDescent="0.4">
      <c r="A58" s="20" t="s">
        <v>24</v>
      </c>
      <c r="B58" s="20"/>
      <c r="C58" s="20"/>
      <c r="D58" s="22">
        <f>5061+D57</f>
        <v>5218</v>
      </c>
      <c r="E58" s="22"/>
      <c r="F58" s="22">
        <f>4494+F57</f>
        <v>4649</v>
      </c>
      <c r="G58" s="22"/>
      <c r="H58" s="22">
        <f>4643+H57</f>
        <v>4825</v>
      </c>
      <c r="I58" s="22"/>
      <c r="J58" s="22">
        <v>5171</v>
      </c>
      <c r="K58" s="22"/>
      <c r="L58" s="22">
        <v>5295</v>
      </c>
      <c r="M58" s="22"/>
      <c r="N58" s="22">
        <v>5077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1333-D57+202-5</f>
        <v>1373</v>
      </c>
      <c r="E60" s="22"/>
      <c r="F60" s="22">
        <f>1300-F57+151-6</f>
        <v>1290</v>
      </c>
      <c r="G60" s="22"/>
      <c r="H60" s="22">
        <f>1267-H57+130-6</f>
        <v>1209</v>
      </c>
      <c r="I60" s="22"/>
      <c r="J60" s="22">
        <v>1222</v>
      </c>
      <c r="K60" s="22"/>
      <c r="L60" s="22">
        <v>920</v>
      </c>
      <c r="M60" s="22"/>
      <c r="N60" s="22">
        <v>1041</v>
      </c>
    </row>
    <row r="61" spans="1:15" x14ac:dyDescent="0.4">
      <c r="A61" s="20" t="s">
        <v>27</v>
      </c>
      <c r="B61" s="20"/>
      <c r="C61" s="20"/>
      <c r="D61" s="22">
        <v>383</v>
      </c>
      <c r="E61" s="22"/>
      <c r="F61" s="22">
        <v>419</v>
      </c>
      <c r="G61" s="22"/>
      <c r="H61" s="22">
        <v>381</v>
      </c>
      <c r="I61" s="22"/>
      <c r="J61" s="22">
        <v>401</v>
      </c>
      <c r="K61" s="22"/>
      <c r="L61" s="22">
        <v>391</v>
      </c>
      <c r="M61" s="22"/>
      <c r="N61" s="22">
        <v>382</v>
      </c>
    </row>
    <row r="62" spans="1:15" x14ac:dyDescent="0.4">
      <c r="A62" s="20" t="s">
        <v>28</v>
      </c>
      <c r="B62" s="20"/>
      <c r="C62" s="20"/>
      <c r="D62" s="22">
        <v>0</v>
      </c>
      <c r="E62" s="22"/>
      <c r="F62" s="22">
        <v>0</v>
      </c>
      <c r="G62" s="22"/>
      <c r="H62" s="22">
        <v>0</v>
      </c>
      <c r="I62" s="22"/>
      <c r="J62" s="22">
        <v>0</v>
      </c>
      <c r="K62" s="22"/>
      <c r="L62" s="22">
        <v>0</v>
      </c>
      <c r="M62" s="22"/>
      <c r="N62" s="22">
        <v>0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990</v>
      </c>
      <c r="E66" s="22"/>
      <c r="F66" s="22">
        <v>871</v>
      </c>
      <c r="G66" s="22"/>
      <c r="H66" s="22">
        <v>828</v>
      </c>
      <c r="I66" s="22"/>
      <c r="J66" s="22">
        <v>815</v>
      </c>
      <c r="K66" s="22"/>
      <c r="L66" s="22">
        <v>523</v>
      </c>
      <c r="M66" s="22"/>
      <c r="N66" s="22">
        <v>653</v>
      </c>
    </row>
    <row r="67" spans="1:14" x14ac:dyDescent="0.4">
      <c r="A67" s="20" t="s">
        <v>33</v>
      </c>
      <c r="B67" s="20"/>
      <c r="C67" s="20"/>
      <c r="D67" s="22">
        <v>3.86</v>
      </c>
      <c r="E67" s="22"/>
      <c r="F67" s="22">
        <v>3.53</v>
      </c>
      <c r="G67" s="22"/>
      <c r="H67" s="22">
        <v>3.37</v>
      </c>
      <c r="I67" s="22"/>
      <c r="J67" s="22">
        <v>3.34</v>
      </c>
      <c r="K67" s="22"/>
      <c r="L67" s="22">
        <v>2.16</v>
      </c>
      <c r="M67" s="22"/>
      <c r="N67" s="22">
        <v>2.69</v>
      </c>
    </row>
    <row r="68" spans="1:14" x14ac:dyDescent="0.4">
      <c r="A68" s="20" t="s">
        <v>34</v>
      </c>
      <c r="B68" s="20"/>
      <c r="C68" s="20"/>
      <c r="D68" s="22">
        <v>9700</v>
      </c>
      <c r="E68" s="22"/>
      <c r="F68" s="22">
        <v>8938</v>
      </c>
      <c r="G68" s="22"/>
      <c r="H68" s="22">
        <v>8059</v>
      </c>
      <c r="I68" s="22"/>
      <c r="J68" s="22">
        <v>7631</v>
      </c>
      <c r="K68" s="22"/>
      <c r="L68" s="22">
        <v>7184</v>
      </c>
      <c r="M68" s="22"/>
      <c r="N68" s="22">
        <v>7103</v>
      </c>
    </row>
    <row r="69" spans="1:14" x14ac:dyDescent="0.4">
      <c r="A69" s="20" t="s">
        <v>35</v>
      </c>
      <c r="B69" s="20"/>
      <c r="C69" s="20"/>
      <c r="D69" s="22">
        <v>129</v>
      </c>
      <c r="E69" s="22"/>
      <c r="F69" s="22">
        <v>142</v>
      </c>
      <c r="G69" s="22"/>
      <c r="H69" s="22">
        <v>142</v>
      </c>
      <c r="I69" s="22"/>
      <c r="J69" s="22">
        <v>142</v>
      </c>
      <c r="K69" s="22"/>
      <c r="L69" s="22">
        <v>142</v>
      </c>
      <c r="M69" s="22"/>
      <c r="N69" s="22">
        <v>142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12562</v>
      </c>
      <c r="E76" s="22"/>
      <c r="F76" s="22">
        <v>11078</v>
      </c>
      <c r="G76" s="22"/>
      <c r="H76" s="22">
        <v>8915</v>
      </c>
      <c r="I76" s="22"/>
      <c r="J76" s="22">
        <v>7859</v>
      </c>
      <c r="K76" s="22"/>
      <c r="L76" s="22">
        <v>7094</v>
      </c>
      <c r="M76" s="22"/>
      <c r="N76" s="22">
        <v>6595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22391</v>
      </c>
      <c r="E78" s="22"/>
      <c r="F78" s="22">
        <f>SUM(F68:F77)</f>
        <v>20158</v>
      </c>
      <c r="G78" s="22"/>
      <c r="H78" s="22">
        <f>SUM(H68:H77)</f>
        <v>17116</v>
      </c>
      <c r="I78" s="22"/>
      <c r="J78" s="22">
        <v>15632</v>
      </c>
      <c r="K78" s="22"/>
      <c r="L78" s="22">
        <v>14420</v>
      </c>
      <c r="M78" s="22"/>
      <c r="N78" s="22">
        <v>13840</v>
      </c>
    </row>
    <row r="79" spans="1:14" x14ac:dyDescent="0.4">
      <c r="A79" s="20" t="s">
        <v>45</v>
      </c>
      <c r="B79" s="20"/>
      <c r="C79" s="20"/>
      <c r="D79" s="22">
        <v>505</v>
      </c>
      <c r="E79" s="22"/>
      <c r="F79" s="22">
        <v>8</v>
      </c>
      <c r="G79" s="22"/>
      <c r="H79" s="22">
        <v>442</v>
      </c>
      <c r="I79" s="22"/>
      <c r="J79" s="22">
        <v>580</v>
      </c>
      <c r="K79" s="22"/>
      <c r="L79" s="22">
        <v>841</v>
      </c>
      <c r="M79" s="22"/>
      <c r="N79" s="22">
        <v>681</v>
      </c>
    </row>
    <row r="80" spans="1:14" x14ac:dyDescent="0.4">
      <c r="A80" s="20" t="s">
        <v>46</v>
      </c>
      <c r="B80" s="20"/>
      <c r="C80" s="20"/>
      <c r="D80" s="22">
        <v>545</v>
      </c>
      <c r="E80" s="22"/>
      <c r="F80" s="22">
        <v>490</v>
      </c>
      <c r="G80" s="22"/>
      <c r="H80" s="22">
        <v>440</v>
      </c>
      <c r="I80" s="22"/>
      <c r="J80" s="22">
        <v>597</v>
      </c>
      <c r="K80" s="22"/>
      <c r="L80" s="22">
        <v>484</v>
      </c>
      <c r="M80" s="22"/>
      <c r="N80" s="22">
        <v>558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995</v>
      </c>
      <c r="E82" s="22"/>
      <c r="F82" s="22">
        <v>877</v>
      </c>
      <c r="G82" s="22"/>
      <c r="H82" s="22">
        <v>834</v>
      </c>
      <c r="I82" s="22"/>
      <c r="J82" s="22">
        <v>821</v>
      </c>
      <c r="K82" s="22"/>
      <c r="L82" s="22">
        <v>529</v>
      </c>
      <c r="M82" s="22"/>
      <c r="N82" s="22">
        <v>659</v>
      </c>
    </row>
    <row r="83" spans="1:14" x14ac:dyDescent="0.4">
      <c r="A83" s="20" t="s">
        <v>49</v>
      </c>
      <c r="B83" s="20"/>
      <c r="C83" s="20"/>
      <c r="D83" s="22">
        <v>1219</v>
      </c>
      <c r="E83" s="22"/>
      <c r="F83" s="22">
        <v>1085</v>
      </c>
      <c r="G83" s="22"/>
      <c r="H83" s="22">
        <v>1002</v>
      </c>
      <c r="I83" s="22"/>
      <c r="J83" s="22">
        <v>1053</v>
      </c>
      <c r="K83" s="22"/>
      <c r="L83" s="22">
        <v>974</v>
      </c>
      <c r="M83" s="22"/>
      <c r="N83" s="22">
        <v>945</v>
      </c>
    </row>
    <row r="84" spans="1:14" x14ac:dyDescent="0.4">
      <c r="A84" s="20" t="s">
        <v>50</v>
      </c>
      <c r="B84" s="20"/>
      <c r="C84" s="20"/>
      <c r="D84" s="22">
        <f>58+23</f>
        <v>81</v>
      </c>
      <c r="E84" s="22"/>
      <c r="F84" s="22">
        <f>68+22</f>
        <v>90</v>
      </c>
      <c r="G84" s="22"/>
      <c r="H84" s="22">
        <f>79+19</f>
        <v>98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156</v>
      </c>
      <c r="E85" s="22"/>
      <c r="F85" s="22">
        <v>148</v>
      </c>
      <c r="G85" s="22"/>
      <c r="H85" s="22">
        <v>167</v>
      </c>
      <c r="I85" s="22"/>
      <c r="J85" s="22">
        <v>229</v>
      </c>
      <c r="K85" s="22"/>
      <c r="L85" s="22">
        <v>545</v>
      </c>
      <c r="M85" s="22"/>
      <c r="N85" s="22">
        <v>391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-5</v>
      </c>
      <c r="K86" s="22"/>
      <c r="L86" s="22">
        <v>-6</v>
      </c>
      <c r="M86" s="22"/>
      <c r="N86" s="22">
        <v>-5</v>
      </c>
    </row>
    <row r="87" spans="1:14" x14ac:dyDescent="0.4">
      <c r="A87" s="20" t="s">
        <v>53</v>
      </c>
      <c r="B87" s="20"/>
      <c r="C87" s="20"/>
      <c r="D87" s="22">
        <v>43</v>
      </c>
      <c r="E87" s="22"/>
      <c r="F87" s="22">
        <v>32</v>
      </c>
      <c r="G87" s="22"/>
      <c r="H87" s="22">
        <v>28</v>
      </c>
      <c r="I87" s="22"/>
      <c r="J87" s="22">
        <v>36</v>
      </c>
      <c r="K87" s="22"/>
      <c r="L87" s="22">
        <v>24</v>
      </c>
      <c r="M87" s="22"/>
      <c r="N87" s="22">
        <v>27</v>
      </c>
    </row>
    <row r="88" spans="1:14" x14ac:dyDescent="0.4">
      <c r="A88" s="20" t="s">
        <v>69</v>
      </c>
      <c r="B88" s="20"/>
      <c r="C88" s="20"/>
      <c r="D88" s="22">
        <f>22+19</f>
        <v>41</v>
      </c>
      <c r="E88" s="22"/>
      <c r="F88" s="22">
        <f>21+22</f>
        <v>43</v>
      </c>
      <c r="G88" s="22"/>
      <c r="H88" s="22">
        <f>20-14</f>
        <v>6</v>
      </c>
      <c r="I88" s="22"/>
      <c r="J88" s="22">
        <v>64</v>
      </c>
      <c r="K88" s="22"/>
      <c r="L88" s="22">
        <v>7</v>
      </c>
      <c r="M88" s="22"/>
      <c r="N88" s="22">
        <v>21</v>
      </c>
    </row>
    <row r="89" spans="1:14" x14ac:dyDescent="0.4">
      <c r="A89" s="20" t="s">
        <v>54</v>
      </c>
      <c r="B89" s="20"/>
      <c r="C89" s="20"/>
      <c r="D89" s="22">
        <v>2954</v>
      </c>
      <c r="E89" s="22"/>
      <c r="F89" s="22">
        <v>2669</v>
      </c>
      <c r="G89" s="22"/>
      <c r="H89" s="22">
        <v>2411</v>
      </c>
      <c r="I89" s="22"/>
      <c r="J89" s="22">
        <v>2374</v>
      </c>
      <c r="K89" s="22"/>
      <c r="L89" s="22">
        <v>2219</v>
      </c>
      <c r="M89" s="22"/>
      <c r="N89" s="22">
        <v>2158</v>
      </c>
    </row>
    <row r="90" spans="1:14" x14ac:dyDescent="0.4">
      <c r="A90" s="20" t="s">
        <v>55</v>
      </c>
      <c r="B90" s="20"/>
      <c r="C90" s="20"/>
      <c r="D90" s="22">
        <v>565</v>
      </c>
      <c r="E90" s="22"/>
      <c r="F90" s="22">
        <v>494</v>
      </c>
      <c r="G90" s="22"/>
      <c r="H90" s="22">
        <v>472</v>
      </c>
      <c r="I90" s="22"/>
      <c r="J90" s="22">
        <v>451</v>
      </c>
      <c r="K90" s="22"/>
      <c r="L90" s="22">
        <v>431</v>
      </c>
      <c r="M90" s="22"/>
      <c r="N90" s="22">
        <v>416</v>
      </c>
    </row>
    <row r="91" spans="1:14" x14ac:dyDescent="0.4">
      <c r="A91" s="20" t="s">
        <v>56</v>
      </c>
      <c r="B91" s="20"/>
      <c r="C91" s="20"/>
      <c r="D91" s="22">
        <v>5</v>
      </c>
      <c r="E91" s="22"/>
      <c r="F91" s="22">
        <v>6</v>
      </c>
      <c r="G91" s="22"/>
      <c r="H91" s="22">
        <v>6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426</v>
      </c>
      <c r="E92" s="22"/>
      <c r="F92" s="22">
        <v>383</v>
      </c>
      <c r="G92" s="22"/>
      <c r="H92" s="22">
        <v>367</v>
      </c>
      <c r="I92" s="22"/>
      <c r="J92" s="22">
        <v>387</v>
      </c>
      <c r="K92" s="22"/>
      <c r="L92" s="22">
        <v>370</v>
      </c>
      <c r="M92" s="22"/>
      <c r="N92" s="22">
        <v>358</v>
      </c>
    </row>
    <row r="93" spans="1:14" x14ac:dyDescent="0.4">
      <c r="A93" s="20" t="s">
        <v>58</v>
      </c>
      <c r="B93" s="20"/>
      <c r="C93" s="20"/>
      <c r="D93" s="22">
        <v>-1</v>
      </c>
      <c r="E93" s="22"/>
      <c r="F93" s="22">
        <v>13</v>
      </c>
      <c r="G93" s="22"/>
      <c r="H93" s="22">
        <v>13</v>
      </c>
      <c r="I93" s="22"/>
      <c r="J93" s="22">
        <v>21</v>
      </c>
      <c r="K93" s="22"/>
      <c r="L93" s="22">
        <v>-19</v>
      </c>
      <c r="M93" s="22"/>
      <c r="N93" s="22">
        <v>-12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565</v>
      </c>
      <c r="E96" s="22"/>
      <c r="F96" s="22">
        <v>494</v>
      </c>
      <c r="G96" s="22"/>
      <c r="H96" s="22">
        <v>472</v>
      </c>
      <c r="I96" s="22"/>
      <c r="J96" s="22">
        <v>451</v>
      </c>
      <c r="K96" s="22"/>
      <c r="L96" s="22">
        <v>431</v>
      </c>
      <c r="M96" s="22"/>
      <c r="N96" s="22">
        <v>416</v>
      </c>
    </row>
    <row r="97" spans="1:14" x14ac:dyDescent="0.4">
      <c r="A97" s="20" t="s">
        <v>60</v>
      </c>
      <c r="B97" s="20"/>
      <c r="C97" s="20"/>
      <c r="D97" s="22">
        <v>2.2000000000000002</v>
      </c>
      <c r="E97" s="22"/>
      <c r="F97" s="22">
        <v>2</v>
      </c>
      <c r="G97" s="22"/>
      <c r="H97" s="22">
        <v>1.92</v>
      </c>
      <c r="I97" s="22"/>
      <c r="J97" s="22">
        <v>1.8480000000000001</v>
      </c>
      <c r="K97" s="22"/>
      <c r="L97" s="22">
        <v>1.778</v>
      </c>
      <c r="M97" s="22"/>
      <c r="N97" s="22">
        <v>1.7150000000000001</v>
      </c>
    </row>
    <row r="98" spans="1:14" x14ac:dyDescent="0.4">
      <c r="A98" s="20" t="s">
        <v>61</v>
      </c>
      <c r="B98" s="20"/>
      <c r="C98" s="20"/>
      <c r="D98" s="22">
        <v>2.2000000000000002</v>
      </c>
      <c r="E98" s="22"/>
      <c r="F98" s="22">
        <v>2</v>
      </c>
      <c r="G98" s="22"/>
      <c r="H98" s="22">
        <v>1.92</v>
      </c>
      <c r="I98" s="22"/>
      <c r="J98" s="22">
        <v>1.8480000000000001</v>
      </c>
      <c r="K98" s="22"/>
      <c r="L98" s="22">
        <v>1.778</v>
      </c>
      <c r="M98" s="22"/>
      <c r="N98" s="22">
        <v>1.7150000000000001</v>
      </c>
    </row>
    <row r="99" spans="1:14" x14ac:dyDescent="0.4">
      <c r="A99" s="20" t="s">
        <v>62</v>
      </c>
      <c r="B99" s="20"/>
      <c r="C99" s="20"/>
      <c r="D99" s="22">
        <v>90.77</v>
      </c>
      <c r="E99" s="22"/>
      <c r="F99" s="22">
        <v>87.66</v>
      </c>
      <c r="G99" s="22"/>
      <c r="H99" s="22">
        <v>80.849999999999994</v>
      </c>
      <c r="I99" s="22"/>
      <c r="J99" s="22">
        <v>70.95</v>
      </c>
      <c r="K99" s="22"/>
      <c r="L99" s="22">
        <v>64.89</v>
      </c>
      <c r="M99" s="22"/>
      <c r="N99" s="22">
        <v>54.08</v>
      </c>
    </row>
    <row r="100" spans="1:14" x14ac:dyDescent="0.4">
      <c r="A100" s="20" t="s">
        <v>63</v>
      </c>
      <c r="B100" s="20"/>
      <c r="C100" s="20"/>
      <c r="D100" s="22">
        <v>69.790000000000006</v>
      </c>
      <c r="E100" s="22"/>
      <c r="F100" s="22">
        <v>58.74</v>
      </c>
      <c r="G100" s="22"/>
      <c r="H100" s="22">
        <v>63.13</v>
      </c>
      <c r="I100" s="22"/>
      <c r="J100" s="22">
        <v>51.89</v>
      </c>
      <c r="K100" s="22"/>
      <c r="L100" s="22">
        <v>51.350999999999999</v>
      </c>
      <c r="M100" s="22"/>
      <c r="N100" s="22">
        <v>41.5</v>
      </c>
    </row>
    <row r="101" spans="1:14" x14ac:dyDescent="0.4">
      <c r="A101" s="20" t="s">
        <v>64</v>
      </c>
      <c r="B101" s="20"/>
      <c r="C101" s="20"/>
      <c r="D101" s="22">
        <v>89.01</v>
      </c>
      <c r="E101" s="22"/>
      <c r="F101" s="22">
        <v>78.06</v>
      </c>
      <c r="G101" s="22"/>
      <c r="H101" s="22">
        <v>76.8</v>
      </c>
      <c r="I101" s="22"/>
      <c r="J101" s="22">
        <v>65.23</v>
      </c>
      <c r="K101" s="22"/>
      <c r="L101" s="22">
        <v>58.99</v>
      </c>
      <c r="M101" s="22"/>
      <c r="N101" s="22">
        <v>52.46</v>
      </c>
    </row>
    <row r="102" spans="1:14" x14ac:dyDescent="0.4">
      <c r="A102" s="20" t="s">
        <v>65</v>
      </c>
      <c r="B102" s="20"/>
      <c r="C102" s="20"/>
      <c r="D102" s="22">
        <v>257.7</v>
      </c>
      <c r="E102" s="22"/>
      <c r="F102" s="22">
        <v>253.3</v>
      </c>
      <c r="G102" s="22"/>
      <c r="H102" s="22">
        <v>246.2</v>
      </c>
      <c r="I102" s="22"/>
      <c r="J102" s="22">
        <v>244.5</v>
      </c>
      <c r="K102" s="22"/>
      <c r="L102" s="22">
        <v>242.6</v>
      </c>
      <c r="M102" s="22"/>
      <c r="N102" s="22">
        <v>242.6</v>
      </c>
    </row>
    <row r="103" spans="1:14" x14ac:dyDescent="0.4">
      <c r="A103" s="20" t="s">
        <v>91</v>
      </c>
      <c r="B103" s="20"/>
      <c r="C103" s="20"/>
      <c r="D103" s="22">
        <v>13</v>
      </c>
      <c r="E103" s="22"/>
      <c r="F103" s="22">
        <v>-1</v>
      </c>
      <c r="G103" s="22"/>
      <c r="H103" s="22">
        <v>-17</v>
      </c>
      <c r="I103" s="22"/>
      <c r="J103" s="22">
        <v>-22</v>
      </c>
      <c r="K103" s="22"/>
      <c r="L103" s="22">
        <v>-18</v>
      </c>
      <c r="M103" s="22"/>
      <c r="N103" s="22">
        <v>-23</v>
      </c>
    </row>
    <row r="104" spans="1:14" x14ac:dyDescent="0.4">
      <c r="A104" t="s">
        <v>71</v>
      </c>
    </row>
    <row r="105" spans="1:14" x14ac:dyDescent="0.4">
      <c r="B105" t="s">
        <v>70</v>
      </c>
      <c r="D105" s="6">
        <f>D67/D94</f>
        <v>3.86</v>
      </c>
      <c r="F105" s="6">
        <f>F67/F94</f>
        <v>3.53</v>
      </c>
      <c r="H105" s="6">
        <f>H67/H94</f>
        <v>3.37</v>
      </c>
      <c r="J105" s="6">
        <f>J67/J94</f>
        <v>3.34</v>
      </c>
      <c r="L105" s="6">
        <f>L67/L94</f>
        <v>2.16</v>
      </c>
      <c r="N105" s="6">
        <f>N67/N94</f>
        <v>2.69</v>
      </c>
    </row>
    <row r="106" spans="1:14" x14ac:dyDescent="0.4">
      <c r="B106" t="s">
        <v>60</v>
      </c>
      <c r="D106" s="6">
        <f>D97/D94</f>
        <v>2.2000000000000002</v>
      </c>
      <c r="F106" s="6">
        <f>F97/F94</f>
        <v>2</v>
      </c>
      <c r="H106" s="6">
        <f>H97/H94</f>
        <v>1.92</v>
      </c>
      <c r="J106" s="6">
        <f>J97/J94</f>
        <v>1.8480000000000001</v>
      </c>
      <c r="L106" s="6">
        <f>L97/L94</f>
        <v>1.778</v>
      </c>
      <c r="N106" s="6">
        <f>N97/N94</f>
        <v>1.7150000000000001</v>
      </c>
    </row>
    <row r="107" spans="1:14" x14ac:dyDescent="0.4">
      <c r="B107" t="s">
        <v>61</v>
      </c>
      <c r="D107" s="6">
        <f>D98/D94</f>
        <v>2.2000000000000002</v>
      </c>
      <c r="F107" s="6">
        <f>F98/F94</f>
        <v>2</v>
      </c>
      <c r="H107" s="6">
        <f>H98/H94</f>
        <v>1.92</v>
      </c>
      <c r="J107" s="6">
        <f>J98/J94</f>
        <v>1.8480000000000001</v>
      </c>
      <c r="L107" s="6">
        <f>L98/L94</f>
        <v>1.778</v>
      </c>
      <c r="N107" s="6">
        <f>N98/N94</f>
        <v>1.7150000000000001</v>
      </c>
    </row>
    <row r="108" spans="1:14" x14ac:dyDescent="0.4">
      <c r="B108" t="s">
        <v>62</v>
      </c>
      <c r="D108" s="6">
        <v>80.849999999999994</v>
      </c>
      <c r="F108" s="6">
        <f>F99/F94</f>
        <v>87.66</v>
      </c>
      <c r="H108" s="6">
        <f>H99/H94</f>
        <v>80.849999999999994</v>
      </c>
      <c r="J108" s="6">
        <f>J99/J94</f>
        <v>70.95</v>
      </c>
      <c r="L108" s="6">
        <f>L99/L94</f>
        <v>64.89</v>
      </c>
      <c r="N108" s="6">
        <f>N99/N94</f>
        <v>54.08</v>
      </c>
    </row>
    <row r="109" spans="1:14" x14ac:dyDescent="0.4">
      <c r="B109" t="s">
        <v>63</v>
      </c>
      <c r="D109" s="6">
        <v>63.13</v>
      </c>
      <c r="F109" s="6">
        <f>F100/F94</f>
        <v>58.74</v>
      </c>
      <c r="H109" s="6">
        <f>H100/H94</f>
        <v>63.13</v>
      </c>
      <c r="J109" s="6">
        <f>J100/J94</f>
        <v>51.89</v>
      </c>
      <c r="L109" s="6">
        <f>L100/L94</f>
        <v>51.350999999999999</v>
      </c>
      <c r="N109" s="6">
        <f>N100/N94</f>
        <v>41.5</v>
      </c>
    </row>
    <row r="110" spans="1:14" x14ac:dyDescent="0.4">
      <c r="B110" t="s">
        <v>64</v>
      </c>
      <c r="D110" s="6">
        <v>76.8</v>
      </c>
      <c r="F110" s="6">
        <f>F101/F94</f>
        <v>78.06</v>
      </c>
      <c r="H110" s="6">
        <f>H101/H94</f>
        <v>76.8</v>
      </c>
      <c r="J110" s="6">
        <f>J101/J94</f>
        <v>65.23</v>
      </c>
      <c r="L110" s="6">
        <f>L101/L94</f>
        <v>58.99</v>
      </c>
      <c r="N110" s="6">
        <f>N101/N94</f>
        <v>52.46</v>
      </c>
    </row>
    <row r="111" spans="1:14" x14ac:dyDescent="0.4">
      <c r="B111" t="s">
        <v>65</v>
      </c>
      <c r="D111" s="14">
        <f>D102*D94</f>
        <v>257.7</v>
      </c>
      <c r="E111" s="14"/>
      <c r="F111" s="14">
        <f>F102*F94</f>
        <v>253.3</v>
      </c>
      <c r="G111" s="14"/>
      <c r="H111" s="14">
        <f>H102*H94</f>
        <v>246.2</v>
      </c>
      <c r="I111" s="14"/>
      <c r="J111" s="14">
        <f>J102*J94</f>
        <v>244.5</v>
      </c>
      <c r="K111" s="14"/>
      <c r="L111" s="14">
        <f>L102*L94</f>
        <v>242.6</v>
      </c>
      <c r="M111" s="14"/>
      <c r="N111" s="14">
        <f>N102*N94</f>
        <v>242.6</v>
      </c>
    </row>
    <row r="112" spans="1:14" x14ac:dyDescent="0.4">
      <c r="B112" t="s">
        <v>66</v>
      </c>
      <c r="D112" s="6">
        <f>ROUND(D68/D111,2)</f>
        <v>37.64</v>
      </c>
      <c r="F112" s="6">
        <f>ROUND(F68/F111,2)</f>
        <v>35.29</v>
      </c>
      <c r="H112" s="6">
        <f>ROUND(H68/H111,2)</f>
        <v>32.729999999999997</v>
      </c>
      <c r="J112" s="6">
        <f>ROUND(J68/J111,2)</f>
        <v>31.21</v>
      </c>
      <c r="L112" s="6">
        <f>ROUND(L68/L111,2)</f>
        <v>29.61</v>
      </c>
      <c r="N112" s="6">
        <f>ROUND(N68/N111,2)</f>
        <v>29.28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AMERICAN ELECTRIC POWER CO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55949.9</v>
      </c>
      <c r="F8" s="34">
        <f>F78+F79+F81-F103</f>
        <v>51932.1</v>
      </c>
      <c r="H8" s="34">
        <f>H78+H79+H81-H103</f>
        <v>46786.399999999994</v>
      </c>
      <c r="J8" s="34">
        <f>J78+J79+J81-J103</f>
        <v>42924.3</v>
      </c>
      <c r="L8" s="34">
        <f>L78+L79+L81-L103</f>
        <v>39864.400000000001</v>
      </c>
    </row>
    <row r="9" spans="1:15" x14ac:dyDescent="0.4">
      <c r="B9" t="s">
        <v>5</v>
      </c>
      <c r="D9" s="9">
        <f>D80</f>
        <v>2614</v>
      </c>
      <c r="F9" s="9">
        <f>F80</f>
        <v>2479.3000000000002</v>
      </c>
      <c r="H9" s="9">
        <f>H80</f>
        <v>2838.3</v>
      </c>
      <c r="J9" s="9">
        <f>J80</f>
        <v>1910</v>
      </c>
      <c r="L9" s="9">
        <f>L80</f>
        <v>1638.6</v>
      </c>
    </row>
    <row r="10" spans="1:15" ht="15.4" thickBot="1" x14ac:dyDescent="0.45">
      <c r="B10" t="s">
        <v>7</v>
      </c>
      <c r="D10" s="10">
        <f>D8+D9</f>
        <v>58563.9</v>
      </c>
      <c r="F10" s="10">
        <f>F8+F9</f>
        <v>54411.4</v>
      </c>
      <c r="H10" s="10">
        <f>H8+H9</f>
        <v>49624.7</v>
      </c>
      <c r="J10" s="10">
        <f>J8+J9</f>
        <v>44834.3</v>
      </c>
      <c r="L10" s="10">
        <f>L8+L9</f>
        <v>41503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17</v>
      </c>
      <c r="E13" s="7" t="s">
        <v>3</v>
      </c>
      <c r="F13" s="30">
        <f>ROUND(AVERAGE(F108:F109)/F105,0)</f>
        <v>19</v>
      </c>
      <c r="G13" s="7" t="s">
        <v>3</v>
      </c>
      <c r="H13" s="30">
        <f>ROUND(AVERAGE(H108:H109)/H105,0)</f>
        <v>22</v>
      </c>
      <c r="I13" s="7" t="s">
        <v>3</v>
      </c>
      <c r="J13" s="30">
        <f>ROUND(AVERAGE(J108:J109)/J105,0)</f>
        <v>18</v>
      </c>
      <c r="K13" s="7" t="s">
        <v>3</v>
      </c>
      <c r="L13" s="30">
        <f>ROUND(AVERAGE(L108:L109)/L105,0)</f>
        <v>18</v>
      </c>
      <c r="M13" s="7" t="s">
        <v>3</v>
      </c>
      <c r="N13" s="30">
        <f>AVERAGE(D13,F13,H13,J13,L13)</f>
        <v>18.8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1.9370000000000001</v>
      </c>
      <c r="E14" s="3"/>
      <c r="F14" s="3">
        <f>ROUND(AVERAGE(F108:F109)/AVERAGE(F112,H112),3)</f>
        <v>2.097</v>
      </c>
      <c r="G14" s="3"/>
      <c r="H14" s="3">
        <f>ROUND(AVERAGE(H108:H109)/AVERAGE(H112,J112),3)</f>
        <v>2.1509999999999998</v>
      </c>
      <c r="I14" s="3"/>
      <c r="J14" s="3">
        <f>ROUND(AVERAGE(J108:J109)/AVERAGE(J112,L112),3)</f>
        <v>1.8979999999999999</v>
      </c>
      <c r="K14" s="3"/>
      <c r="L14" s="3">
        <f>ROUND(AVERAGE(L108:L109)/AVERAGE(L112,N112),3)</f>
        <v>1.9279999999999999</v>
      </c>
      <c r="M14" s="3"/>
      <c r="N14" s="3">
        <f>AVERAGE(D14,F14,H14,J14,L14)</f>
        <v>2.0021999999999998</v>
      </c>
    </row>
    <row r="15" spans="1:15" x14ac:dyDescent="0.4">
      <c r="B15" t="s">
        <v>9</v>
      </c>
      <c r="D15" s="3">
        <f>ROUND(D106/AVERAGE(D108:D109),3)</f>
        <v>3.5999999999999997E-2</v>
      </c>
      <c r="E15" s="3"/>
      <c r="F15" s="3">
        <f>ROUND(F106/AVERAGE(F108:F109),3)</f>
        <v>3.3000000000000002E-2</v>
      </c>
      <c r="G15" s="3"/>
      <c r="H15" s="3">
        <f>ROUND(H106/AVERAGE(H108:H109),3)</f>
        <v>3.2000000000000001E-2</v>
      </c>
      <c r="I15" s="3"/>
      <c r="J15" s="3">
        <f>ROUND(J106/AVERAGE(J108:J109),3)</f>
        <v>3.5000000000000003E-2</v>
      </c>
      <c r="K15" s="3"/>
      <c r="L15" s="3">
        <f>ROUND(L106/AVERAGE(L108:L109),3)</f>
        <v>3.4000000000000002E-2</v>
      </c>
      <c r="M15" s="3"/>
      <c r="N15" s="3">
        <f>AVERAGE(D15,F15,H15,J15,L15)</f>
        <v>3.4000000000000002E-2</v>
      </c>
    </row>
    <row r="16" spans="1:15" x14ac:dyDescent="0.4">
      <c r="B16" t="s">
        <v>10</v>
      </c>
      <c r="D16" s="3">
        <f>ROUND(D96/D66,3)</f>
        <v>0.61099999999999999</v>
      </c>
      <c r="E16" s="3"/>
      <c r="F16" s="3">
        <f>ROUND(F96/F66,3)</f>
        <v>0.64800000000000002</v>
      </c>
      <c r="G16" s="3"/>
      <c r="H16" s="3">
        <f>ROUND(H96/H66,3)</f>
        <v>0.70299999999999996</v>
      </c>
      <c r="I16" s="3"/>
      <c r="J16" s="3">
        <f>ROUND(J96/J66,3)</f>
        <v>0.65300000000000002</v>
      </c>
      <c r="K16" s="3"/>
      <c r="L16" s="3">
        <f>ROUND(L96/L66,3)</f>
        <v>0.623</v>
      </c>
      <c r="M16" s="3"/>
      <c r="N16" s="3">
        <f>AVERAGE(D16,F16,H16,J16,L16)</f>
        <v>0.64759999999999995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0.59799999999999998</v>
      </c>
      <c r="E20" s="3"/>
      <c r="F20" s="3">
        <f>ROUND((+F76+F79)/F8,3)</f>
        <v>0.59799999999999998</v>
      </c>
      <c r="G20" s="3"/>
      <c r="H20" s="3">
        <f>ROUND((+H76+H79)/H8,3)</f>
        <v>0.57099999999999995</v>
      </c>
      <c r="I20" s="3"/>
      <c r="J20" s="3">
        <f>ROUND((+J76+J79)/J8,3)</f>
        <v>0.55100000000000005</v>
      </c>
      <c r="K20" s="3"/>
      <c r="L20" s="3">
        <f>ROUND((+L76+L79)/L8,3)</f>
        <v>0.53900000000000003</v>
      </c>
      <c r="M20" s="3"/>
      <c r="N20" s="3">
        <f>AVERAGE(D20,F20,H20,J20,L20)</f>
        <v>0.57140000000000002</v>
      </c>
    </row>
    <row r="21" spans="1:14" x14ac:dyDescent="0.4">
      <c r="B21" s="31" t="s">
        <v>93</v>
      </c>
      <c r="D21" s="3">
        <f>ROUND((SUM(D69:D75)+D81)/D8,3)</f>
        <v>4.0000000000000001E-3</v>
      </c>
      <c r="E21" s="3"/>
      <c r="F21" s="3">
        <f>ROUND((SUM(F69:F75)+F81)/F8,3)</f>
        <v>4.0000000000000001E-3</v>
      </c>
      <c r="G21" s="3"/>
      <c r="H21" s="3">
        <f>ROUND((SUM(H69:H75)+H81)/H8,3)</f>
        <v>6.0000000000000001E-3</v>
      </c>
      <c r="I21" s="3"/>
      <c r="J21" s="3">
        <f>ROUND((SUM(J69:J75)+J81)/J8,3)</f>
        <v>3.0000000000000001E-3</v>
      </c>
      <c r="K21" s="3"/>
      <c r="L21" s="3">
        <f>ROUND((SUM(L69:L75)+L81)/L8,3)</f>
        <v>1E-3</v>
      </c>
      <c r="M21" s="3"/>
      <c r="N21" s="3">
        <f>AVERAGE(D21,F21,H21,J21,L21)</f>
        <v>3.6000000000000003E-3</v>
      </c>
    </row>
    <row r="22" spans="1:14" ht="17.25" x14ac:dyDescent="0.4">
      <c r="B22" s="32" t="s">
        <v>94</v>
      </c>
      <c r="D22" s="4">
        <f>ROUND((D68-D103)/D8,3)</f>
        <v>0.39800000000000002</v>
      </c>
      <c r="E22" s="3"/>
      <c r="F22" s="4">
        <f>ROUND((F68-F103)/F8,3)</f>
        <v>0.39700000000000002</v>
      </c>
      <c r="G22" s="3"/>
      <c r="H22" s="4">
        <f>ROUND((H68-H103)/H8,3)</f>
        <v>0.42299999999999999</v>
      </c>
      <c r="I22" s="3"/>
      <c r="J22" s="4">
        <f>ROUND((J68-J103)/J8,3)</f>
        <v>0.44600000000000001</v>
      </c>
      <c r="K22" s="3"/>
      <c r="L22" s="4">
        <f>ROUND((L68-L103)/L8,3)</f>
        <v>0.46</v>
      </c>
      <c r="M22" s="3"/>
      <c r="N22" s="4">
        <f>AVERAGE(D22,F22,H22,J22,L22)</f>
        <v>0.42480000000000001</v>
      </c>
    </row>
    <row r="23" spans="1:14" ht="15.4" thickBot="1" x14ac:dyDescent="0.45">
      <c r="D23" s="5">
        <f>SUM(D20:D22)</f>
        <v>1</v>
      </c>
      <c r="E23" s="3"/>
      <c r="F23" s="5">
        <f>SUM(F20:F22)</f>
        <v>0.999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0.99980000000000013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0.61599999999999999</v>
      </c>
      <c r="E25" s="3"/>
      <c r="F25" s="3">
        <f>ROUND((+F76+F79+F80)/F10,3)</f>
        <v>0.61699999999999999</v>
      </c>
      <c r="G25" s="3"/>
      <c r="H25" s="3">
        <f>ROUND((+H76+H79+H80)/H10,3)</f>
        <v>0.59599999999999997</v>
      </c>
      <c r="I25" s="3"/>
      <c r="J25" s="3">
        <f>ROUND((+J76+J79+J80)/J10,3)</f>
        <v>0.56999999999999995</v>
      </c>
      <c r="K25" s="3"/>
      <c r="L25" s="3">
        <f>ROUND((+L76+L79+L80)/L10,3)</f>
        <v>0.55700000000000005</v>
      </c>
      <c r="M25" s="3"/>
      <c r="N25" s="3">
        <f>AVERAGE(D25,F25,H25,J25,L25)</f>
        <v>0.59119999999999995</v>
      </c>
    </row>
    <row r="26" spans="1:14" x14ac:dyDescent="0.4">
      <c r="B26" s="31" t="s">
        <v>93</v>
      </c>
      <c r="D26" s="3">
        <f>ROUND((SUM(D69:D75)+D81)/D10,3)</f>
        <v>4.0000000000000001E-3</v>
      </c>
      <c r="E26" s="3"/>
      <c r="F26" s="3">
        <f>ROUND((SUM(F69:F75)+F81)/F10,3)</f>
        <v>4.0000000000000001E-3</v>
      </c>
      <c r="G26" s="3"/>
      <c r="H26" s="3">
        <f>ROUND((SUM(H69:H75)+H81)/H10,3)</f>
        <v>6.0000000000000001E-3</v>
      </c>
      <c r="I26" s="3"/>
      <c r="J26" s="3">
        <f>ROUND((SUM(J69:J75)+J81)/J10,3)</f>
        <v>3.0000000000000001E-3</v>
      </c>
      <c r="K26" s="3"/>
      <c r="L26" s="3">
        <f>ROUND((SUM(L69:L75)+L81)/L10,3)</f>
        <v>1E-3</v>
      </c>
      <c r="M26" s="3"/>
      <c r="N26" s="3">
        <f>AVERAGE(D26,F26,H26,J26,L26)</f>
        <v>3.6000000000000003E-3</v>
      </c>
    </row>
    <row r="27" spans="1:14" ht="17.25" x14ac:dyDescent="0.4">
      <c r="B27" s="32" t="s">
        <v>94</v>
      </c>
      <c r="D27" s="4">
        <f>ROUND((D68-D103)/D10,3)</f>
        <v>0.38</v>
      </c>
      <c r="E27" s="3"/>
      <c r="F27" s="4">
        <f>ROUND((F68-F103)/F10,3)</f>
        <v>0.379</v>
      </c>
      <c r="G27" s="3"/>
      <c r="H27" s="4">
        <f>ROUND((H68-H103)/H10,3)</f>
        <v>0.39900000000000002</v>
      </c>
      <c r="I27" s="3"/>
      <c r="J27" s="4">
        <f>ROUND((J68-J103)/J10,3)</f>
        <v>0.42699999999999999</v>
      </c>
      <c r="K27" s="3"/>
      <c r="L27" s="4">
        <f>ROUND((L68-L103)/L10,3)</f>
        <v>0.442</v>
      </c>
      <c r="M27" s="3"/>
      <c r="N27" s="4">
        <f>AVERAGE(D27,F27,H27,J27,L27)</f>
        <v>0.40540000000000004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1.0009999999999999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0.11600000000000001</v>
      </c>
      <c r="E30" s="3"/>
      <c r="F30" s="3">
        <f>ROUND(+F66/(((F68-F103)+(H68-H103))/2),3)</f>
        <v>0.109</v>
      </c>
      <c r="G30" s="3"/>
      <c r="H30" s="3">
        <f>ROUND(+H66/(((H68-H103)+(J68-J103))/2),3)</f>
        <v>9.9000000000000005E-2</v>
      </c>
      <c r="I30" s="3"/>
      <c r="J30" s="3">
        <f>ROUND(+J66/(((J68-J103)+(L68-L103))/2),3)</f>
        <v>0.10299999999999999</v>
      </c>
      <c r="K30" s="3"/>
      <c r="L30" s="3">
        <f>ROUND(+L66/(((L68-L103)+(N68-N103))/2),3)</f>
        <v>0.107</v>
      </c>
      <c r="M30" s="3"/>
      <c r="N30" s="3">
        <f>AVERAGE(D30,F30,H30,J30,L30)</f>
        <v>0.10680000000000001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0.79700000000000004</v>
      </c>
      <c r="E32" s="3"/>
      <c r="F32" s="3">
        <f>ROUND((+F58-F57)/F56,3)</f>
        <v>0.8</v>
      </c>
      <c r="G32" s="3"/>
      <c r="H32" s="3">
        <f>ROUND((+H58-H57)/H56,3)</f>
        <v>0.83299999999999996</v>
      </c>
      <c r="I32" s="3"/>
      <c r="J32" s="3">
        <f>ROUND((+J58-J57)/J56,3)</f>
        <v>0.83099999999999996</v>
      </c>
      <c r="K32" s="3"/>
      <c r="L32" s="3">
        <f>ROUND((+L58-L57)/L56,3)</f>
        <v>0.77800000000000002</v>
      </c>
      <c r="M32" s="3"/>
      <c r="N32" s="3">
        <f>AVERAGE(D32,F32,H32,J32,L32)</f>
        <v>0.80779999999999996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3.17</v>
      </c>
      <c r="E35" s="7" t="s">
        <v>3</v>
      </c>
      <c r="F35" s="7">
        <f>ROUND(((+F66+F65+F64+F63+F61+F59+F57)/F61),2)</f>
        <v>2.92</v>
      </c>
      <c r="G35" s="7" t="s">
        <v>3</v>
      </c>
      <c r="H35" s="7">
        <f>ROUND(((+H66+H65+H64+H63+H61+H59+H57)/H61),2)</f>
        <v>2.78</v>
      </c>
      <c r="I35" s="7" t="s">
        <v>3</v>
      </c>
      <c r="J35" s="7">
        <f>ROUND(((+J66+J65+J64+J63+J61+J59+J57)/J61),2)</f>
        <v>2.93</v>
      </c>
      <c r="K35" s="7" t="s">
        <v>3</v>
      </c>
      <c r="L35" s="7">
        <f>ROUND(((+L66+L65+L64+L63+L61+L59+L57)/L61),2)</f>
        <v>4.05</v>
      </c>
      <c r="M35" s="7" t="s">
        <v>3</v>
      </c>
      <c r="N35" s="26">
        <f>AVERAGE(D35,F35,H35,J35,L35)</f>
        <v>3.1699999999999995</v>
      </c>
      <c r="O35" t="s">
        <v>3</v>
      </c>
    </row>
    <row r="36" spans="1:15" x14ac:dyDescent="0.4">
      <c r="B36" t="s">
        <v>21</v>
      </c>
      <c r="D36" s="7">
        <f>ROUND(((+D66+D65+D64+D63+D61)/(D61)),2)</f>
        <v>3.07</v>
      </c>
      <c r="E36" s="7" t="s">
        <v>3</v>
      </c>
      <c r="F36" s="7">
        <f>ROUND(((+F66+F65+F64+F63+F61)/(F61)),2)</f>
        <v>2.89</v>
      </c>
      <c r="G36" s="7" t="s">
        <v>3</v>
      </c>
      <c r="H36" s="7">
        <f>ROUND(((+H66+H65+H64+H63+H61)/(H61)),2)</f>
        <v>2.79</v>
      </c>
      <c r="I36" s="7" t="s">
        <v>3</v>
      </c>
      <c r="J36" s="7">
        <f>ROUND(((+J66+J65+J64+J63+J61)/(J61)),2)</f>
        <v>2.82</v>
      </c>
      <c r="K36" s="7" t="s">
        <v>3</v>
      </c>
      <c r="L36" s="7">
        <f>ROUND(((+L66+L65+L64+L63+L61)/(L61)),2)</f>
        <v>3.03</v>
      </c>
      <c r="M36" s="7" t="s">
        <v>3</v>
      </c>
      <c r="N36" s="26">
        <f>AVERAGE(D36,F36,H36,J36,L36)</f>
        <v>2.92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3.07</v>
      </c>
      <c r="E37" s="7" t="s">
        <v>3</v>
      </c>
      <c r="F37" s="7">
        <f>ROUND(((+F66+F65+F64+F63+F61)/(F61+F63+F64+F65)),2)</f>
        <v>2.89</v>
      </c>
      <c r="G37" s="7" t="s">
        <v>3</v>
      </c>
      <c r="H37" s="7">
        <f>ROUND(((+H66+H65+H64+H63+H61)/(H61+H63+H64+H65)),2)</f>
        <v>2.79</v>
      </c>
      <c r="I37" s="7" t="s">
        <v>3</v>
      </c>
      <c r="J37" s="7">
        <f>ROUND(((+J66+J65+J64+J63+J61)/(J61+J63+J64+J65)),2)</f>
        <v>2.82</v>
      </c>
      <c r="K37" s="7" t="s">
        <v>3</v>
      </c>
      <c r="L37" s="7">
        <f>ROUND(((+L66+L65+L64+L63+L61)/(L61+L63+L64+L65)),2)</f>
        <v>3.03</v>
      </c>
      <c r="M37" s="7" t="s">
        <v>3</v>
      </c>
      <c r="N37" s="26">
        <f>AVERAGE(D37,F37,H37,J37,L37)</f>
        <v>2.92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3.05</v>
      </c>
      <c r="E40" s="7" t="s">
        <v>3</v>
      </c>
      <c r="F40" s="7">
        <f>ROUND(((+F66+F65+F64+F63-F62+F61+F59+F57)/F61),2)</f>
        <v>2.8</v>
      </c>
      <c r="G40" s="7" t="s">
        <v>3</v>
      </c>
      <c r="H40" s="7">
        <f>ROUND(((+H66+H65+H64+H63-H62+H61+H59+H57)/H61),2)</f>
        <v>2.62</v>
      </c>
      <c r="I40" s="7" t="s">
        <v>3</v>
      </c>
      <c r="J40" s="7">
        <f>ROUND(((+J66+J65+J64+J63-J62+J61+J59+J57)/J61),2)</f>
        <v>2.73</v>
      </c>
      <c r="K40" s="7" t="s">
        <v>3</v>
      </c>
      <c r="L40" s="7">
        <f>ROUND(((+L66+L65+L64+L63-L62+L61+L59+L57)/L61),2)</f>
        <v>3.9</v>
      </c>
      <c r="M40" s="7" t="s">
        <v>3</v>
      </c>
      <c r="N40" s="26">
        <f>AVERAGE(D40,F40,H40,J40,L40)</f>
        <v>3.02</v>
      </c>
      <c r="O40" t="s">
        <v>3</v>
      </c>
    </row>
    <row r="41" spans="1:15" x14ac:dyDescent="0.4">
      <c r="B41" t="s">
        <v>21</v>
      </c>
      <c r="D41" s="7">
        <f>ROUND(((+D66+D65+D64+D63-D62+D61)/D61),2)</f>
        <v>2.96</v>
      </c>
      <c r="E41" s="7" t="s">
        <v>3</v>
      </c>
      <c r="F41" s="7">
        <f>ROUND(((+F66+F65+F64+F63-F62+F61)/F61),2)</f>
        <v>2.76</v>
      </c>
      <c r="G41" s="7" t="s">
        <v>3</v>
      </c>
      <c r="H41" s="7">
        <f>ROUND(((+H66+H65+H64+H63-H62+H61)/H61),2)</f>
        <v>2.63</v>
      </c>
      <c r="I41" s="7" t="s">
        <v>3</v>
      </c>
      <c r="J41" s="7">
        <f>ROUND(((+J66+J65+J64+J63-J62+J61)/J61),2)</f>
        <v>2.62</v>
      </c>
      <c r="K41" s="7" t="s">
        <v>3</v>
      </c>
      <c r="L41" s="7">
        <f>ROUND(((+L66+L65+L64+L63-L62+L61)/L61),2)</f>
        <v>2.88</v>
      </c>
      <c r="M41" s="7" t="s">
        <v>3</v>
      </c>
      <c r="N41" s="26">
        <f>AVERAGE(D41,F41,H41,J41,L41)</f>
        <v>2.7699999999999996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2.96</v>
      </c>
      <c r="E42" s="7" t="s">
        <v>3</v>
      </c>
      <c r="F42" s="7">
        <f>ROUND(((+F66+F65+F64+F63-F62+F61)/(F61+F63+F64+F65)),2)</f>
        <v>2.76</v>
      </c>
      <c r="G42" s="7" t="s">
        <v>3</v>
      </c>
      <c r="H42" s="7">
        <f>ROUND(((+H66+H65+H64+H63-H62+H61)/(H61+H63+H64+H65)),2)</f>
        <v>2.63</v>
      </c>
      <c r="I42" s="7" t="s">
        <v>3</v>
      </c>
      <c r="J42" s="7">
        <f>ROUND(((+J66+J65+J64+J63-J62+J61)/(J61+J63+J64+J65)),2)</f>
        <v>2.62</v>
      </c>
      <c r="K42" s="7" t="s">
        <v>3</v>
      </c>
      <c r="L42" s="7">
        <f>ROUND(((+L66+L65+L64+L63-L62+L61)/(L61+L63+L64+L65)),2)</f>
        <v>2.88</v>
      </c>
      <c r="M42" s="7" t="s">
        <v>3</v>
      </c>
      <c r="N42" s="26">
        <f>AVERAGE(D42,F42,H42,J42,L42)</f>
        <v>2.7699999999999996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5.6000000000000001E-2</v>
      </c>
      <c r="E45" s="11"/>
      <c r="F45" s="11">
        <f>ROUND(F62/F66,3)</f>
        <v>6.7000000000000004E-2</v>
      </c>
      <c r="G45" s="11"/>
      <c r="H45" s="11">
        <f>ROUND(H62/H66,3)</f>
        <v>8.7999999999999995E-2</v>
      </c>
      <c r="I45" s="11"/>
      <c r="J45" s="11">
        <f>ROUND(J62/J66,3)</f>
        <v>0.107</v>
      </c>
      <c r="K45" s="11"/>
      <c r="L45" s="11">
        <f>ROUND(L62/L66,3)</f>
        <v>7.3999999999999996E-2</v>
      </c>
      <c r="M45" s="3"/>
      <c r="N45" s="3">
        <f t="shared" ref="N45:N50" si="0">AVERAGE(D45,F45,H45,J45,L45)</f>
        <v>7.8399999999999997E-2</v>
      </c>
    </row>
    <row r="46" spans="1:15" x14ac:dyDescent="0.4">
      <c r="B46" t="s">
        <v>17</v>
      </c>
      <c r="D46" s="17">
        <f>ROUND((D57+D59)/(D57+D59+D66+D63+D64+D65),3)</f>
        <v>4.3999999999999997E-2</v>
      </c>
      <c r="E46" s="18"/>
      <c r="F46" s="17">
        <f>ROUND((F57+F59)/(F57+F59+F66+F63+F64+F65),3)</f>
        <v>1.7999999999999999E-2</v>
      </c>
      <c r="G46" s="18"/>
      <c r="H46" s="17">
        <f>ROUND((H57+H59)/(H57+H59+H66+H63+H64+H65),3)</f>
        <v>-7.0000000000000001E-3</v>
      </c>
      <c r="I46" s="18"/>
      <c r="J46" s="17">
        <f>ROUND((J57+J59)/(J57+J59+J66+J63+J64+J65),3)</f>
        <v>5.7000000000000002E-2</v>
      </c>
      <c r="K46" s="18"/>
      <c r="L46" s="17">
        <f>ROUND((L57+L59)/(L57+L59+L66+L63+L64+L65),3)</f>
        <v>0.33600000000000002</v>
      </c>
      <c r="N46" s="3">
        <f t="shared" si="0"/>
        <v>8.9599999999999999E-2</v>
      </c>
    </row>
    <row r="47" spans="1:15" ht="17.25" x14ac:dyDescent="0.4">
      <c r="B47" s="33" t="s">
        <v>100</v>
      </c>
      <c r="D47" s="11">
        <f>ROUND(((+D82+D83+D84+D85+D86-D87+D88-D90-D91)/(+D89-D87)),3)</f>
        <v>0.745</v>
      </c>
      <c r="E47" s="12"/>
      <c r="F47" s="11">
        <f>ROUND(((+F82+F83+F84+F85+F86-F87+F88-F90-F91)/(+F89-F87)),3)</f>
        <v>0.60299999999999998</v>
      </c>
      <c r="G47" s="12"/>
      <c r="H47" s="11">
        <f>ROUND(((+H82+H83+H84+H85+H86-H87+H88-H90-H91)/(+H89-H87)),3)</f>
        <v>0.54800000000000004</v>
      </c>
      <c r="I47" s="12"/>
      <c r="J47" s="11">
        <f>ROUND(((+J82+J83+J84+J85+J86-J87+J88-J90-J91)/(+J89-J87)),3)</f>
        <v>0.504</v>
      </c>
      <c r="K47" s="12"/>
      <c r="L47" s="11">
        <f>ROUND(((+L82+L83+L84+L85+L86-L87+L88-L90-L91)/(+L89-L87)),3)</f>
        <v>0.64</v>
      </c>
      <c r="N47" s="3">
        <f t="shared" si="0"/>
        <v>0.60799999999999998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0.16200000000000001</v>
      </c>
      <c r="E48" s="12"/>
      <c r="F48" s="11">
        <f>ROUND(((+F82+F83+F84+F85+F86-F87+F88)/(AVERAGE(F76,H76)+AVERAGE(F79,H79)+AVERAGE(F80,H80))),3)</f>
        <v>0.16200000000000001</v>
      </c>
      <c r="G48" s="12"/>
      <c r="H48" s="11">
        <f>ROUND(((+H82+H83+H84+H85+H86-H87+H88)/(AVERAGE(H76,J76)+AVERAGE(H79,J79)+AVERAGE(H80,J80))),3)</f>
        <v>0.16600000000000001</v>
      </c>
      <c r="I48" s="12"/>
      <c r="J48" s="11">
        <f>ROUND(((+J82+J83+J84+J85+J86-J87+J88)/(AVERAGE(J76,L76)+AVERAGE(J79,L79)+AVERAGE(J80,L80))),3)</f>
        <v>0.183</v>
      </c>
      <c r="K48" s="12"/>
      <c r="L48" s="11">
        <f>ROUND(((+L82+L83+L84+L85+L86-L87+L88)/(AVERAGE(L76,N76)+AVERAGE(L79,N79)+AVERAGE(L80,N80))),3)</f>
        <v>0.216</v>
      </c>
      <c r="N48" s="3">
        <f t="shared" si="0"/>
        <v>0.17780000000000001</v>
      </c>
    </row>
    <row r="49" spans="1:15" ht="17.25" x14ac:dyDescent="0.4">
      <c r="B49" s="33" t="s">
        <v>102</v>
      </c>
      <c r="D49" s="27">
        <f>ROUND(((+D82+D83+D84+D85+D86-D87+D88+D92)/D61),2)</f>
        <v>5.65</v>
      </c>
      <c r="E49" t="s">
        <v>3</v>
      </c>
      <c r="F49" s="27">
        <f>ROUND(((+F82+F83+F84+F85+F86-F87+F88+F92)/F61),2)</f>
        <v>5.26</v>
      </c>
      <c r="G49" t="s">
        <v>3</v>
      </c>
      <c r="H49" s="27">
        <f>ROUND(((+H82+H83+H84+H85+H86-H87+H88+H92)/H61),2)</f>
        <v>5.22</v>
      </c>
      <c r="I49" t="s">
        <v>3</v>
      </c>
      <c r="J49" s="27">
        <f>ROUND(((+J82+J83+J84+J85+J86-J87+J88+J92)/J61),2)</f>
        <v>5.0999999999999996</v>
      </c>
      <c r="K49" t="s">
        <v>3</v>
      </c>
      <c r="L49" s="27">
        <f>ROUND(((+L82+L83+L84+L85+L86-L87+L88+L92)/L61),2)</f>
        <v>6.1</v>
      </c>
      <c r="M49" t="s">
        <v>3</v>
      </c>
      <c r="N49" s="27">
        <f t="shared" si="0"/>
        <v>5.4659999999999993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3.71</v>
      </c>
      <c r="E50" t="s">
        <v>3</v>
      </c>
      <c r="F50" s="27">
        <f>ROUND(((+F82+F83+F84+F85+F86-F87+F88-F91)/+F90),2)</f>
        <v>3.58</v>
      </c>
      <c r="G50" t="s">
        <v>3</v>
      </c>
      <c r="H50" s="27">
        <f>ROUND(((+H82+H83+H84+H85+H86-H87+H88-H91)/+H90),2)</f>
        <v>3.39</v>
      </c>
      <c r="I50" t="s">
        <v>3</v>
      </c>
      <c r="J50" s="27">
        <f>ROUND(((+J82+J83+J84+J85+J86-J87+J88-J91)/+J90),2)</f>
        <v>3.55</v>
      </c>
      <c r="K50" t="s">
        <v>3</v>
      </c>
      <c r="L50" s="27">
        <f>ROUND(((+L82+L83+L84+L85+L86-L87+L88-L91)/+L90),2)</f>
        <v>4.1100000000000003</v>
      </c>
      <c r="M50" t="s">
        <v>3</v>
      </c>
      <c r="N50" s="27">
        <f t="shared" si="0"/>
        <v>3.6680000000000001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  <c r="H53" s="35"/>
    </row>
    <row r="54" spans="1:15" x14ac:dyDescent="0.4">
      <c r="A54" s="19" t="s">
        <v>109</v>
      </c>
      <c r="B54" s="19"/>
      <c r="C54" s="19"/>
      <c r="D54" s="35"/>
      <c r="E54" s="20"/>
      <c r="F54" s="35"/>
      <c r="G54" s="20"/>
      <c r="H54" s="35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16792</v>
      </c>
      <c r="E56" s="22"/>
      <c r="F56" s="22">
        <v>14918.5</v>
      </c>
      <c r="G56" s="22"/>
      <c r="H56" s="22">
        <v>15561.4</v>
      </c>
      <c r="I56" s="22"/>
      <c r="J56" s="22">
        <v>16195.7</v>
      </c>
      <c r="K56" s="22"/>
      <c r="L56" s="22">
        <v>15424.9</v>
      </c>
      <c r="M56" s="22"/>
      <c r="N56" s="22">
        <v>16380.1</v>
      </c>
    </row>
    <row r="57" spans="1:15" x14ac:dyDescent="0.4">
      <c r="A57" s="20" t="s">
        <v>23</v>
      </c>
      <c r="B57" s="20"/>
      <c r="C57" s="20"/>
      <c r="D57" s="22">
        <v>115.5</v>
      </c>
      <c r="E57" s="22"/>
      <c r="F57" s="22">
        <v>40.5</v>
      </c>
      <c r="G57" s="22"/>
      <c r="H57" s="22">
        <v>-12.9</v>
      </c>
      <c r="I57" s="22"/>
      <c r="J57" s="22">
        <v>115.3</v>
      </c>
      <c r="K57" s="22"/>
      <c r="L57" s="22">
        <v>969.7</v>
      </c>
      <c r="M57" s="22"/>
      <c r="N57" s="22">
        <v>-73.7</v>
      </c>
    </row>
    <row r="58" spans="1:15" x14ac:dyDescent="0.4">
      <c r="A58" s="20" t="s">
        <v>24</v>
      </c>
      <c r="B58" s="20"/>
      <c r="C58" s="20"/>
      <c r="D58" s="22">
        <f>13380.7+D57</f>
        <v>13496.2</v>
      </c>
      <c r="E58" s="22"/>
      <c r="F58" s="22">
        <f>11930.8+F57</f>
        <v>11971.3</v>
      </c>
      <c r="G58" s="22"/>
      <c r="H58" s="22">
        <f>12969.1+H57</f>
        <v>12956.2</v>
      </c>
      <c r="I58" s="22"/>
      <c r="J58" s="22">
        <v>13572.3</v>
      </c>
      <c r="K58" s="22"/>
      <c r="L58" s="22">
        <v>12963.4</v>
      </c>
      <c r="M58" s="22"/>
      <c r="N58" s="22">
        <v>12831.5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3411.3-D57+41.4+D62+118.6+91.7</f>
        <v>3687.2</v>
      </c>
      <c r="E60" s="22"/>
      <c r="F60" s="22">
        <f>2987.7-F57+57+F62+119+91.1+3.4</f>
        <v>3365.7999999999997</v>
      </c>
      <c r="G60" s="22"/>
      <c r="H60" s="22">
        <f>2592.3-H57+26.6+H62+120+72.1+1.3</f>
        <v>2993.6000000000004</v>
      </c>
      <c r="I60" s="22"/>
      <c r="J60" s="22">
        <v>2915.7</v>
      </c>
      <c r="K60" s="22"/>
      <c r="L60" s="22">
        <v>2823.9</v>
      </c>
      <c r="M60" s="22"/>
      <c r="N60" s="22">
        <v>1497.7</v>
      </c>
    </row>
    <row r="61" spans="1:15" x14ac:dyDescent="0.4">
      <c r="A61" s="20" t="s">
        <v>27</v>
      </c>
      <c r="B61" s="20"/>
      <c r="C61" s="20"/>
      <c r="D61" s="22">
        <v>1199.0999999999999</v>
      </c>
      <c r="E61" s="22"/>
      <c r="F61" s="22">
        <v>1165.7</v>
      </c>
      <c r="G61" s="22"/>
      <c r="H61" s="22">
        <v>1072.5</v>
      </c>
      <c r="I61" s="22"/>
      <c r="J61" s="22">
        <v>1058</v>
      </c>
      <c r="K61" s="22"/>
      <c r="L61" s="22">
        <v>943.6</v>
      </c>
      <c r="M61" s="22"/>
      <c r="N61" s="22">
        <v>928.9</v>
      </c>
    </row>
    <row r="62" spans="1:15" x14ac:dyDescent="0.4">
      <c r="A62" s="20" t="s">
        <v>28</v>
      </c>
      <c r="B62" s="20"/>
      <c r="C62" s="20"/>
      <c r="D62" s="22">
        <v>139.69999999999999</v>
      </c>
      <c r="E62" s="22"/>
      <c r="F62" s="22">
        <v>148.1</v>
      </c>
      <c r="G62" s="22"/>
      <c r="H62" s="22">
        <v>168.4</v>
      </c>
      <c r="I62" s="22"/>
      <c r="J62" s="22">
        <v>206.1</v>
      </c>
      <c r="K62" s="22"/>
      <c r="L62" s="22">
        <v>142.30000000000001</v>
      </c>
      <c r="M62" s="22"/>
      <c r="N62" s="22">
        <v>164.9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2488.1</v>
      </c>
      <c r="E66" s="22"/>
      <c r="F66" s="22">
        <v>2200.1</v>
      </c>
      <c r="G66" s="22"/>
      <c r="H66" s="22">
        <v>1921.1</v>
      </c>
      <c r="I66" s="22"/>
      <c r="J66" s="22">
        <v>1923.8</v>
      </c>
      <c r="K66" s="22"/>
      <c r="L66" s="22">
        <v>1912.6</v>
      </c>
      <c r="M66" s="22"/>
      <c r="N66" s="22">
        <v>613.4</v>
      </c>
    </row>
    <row r="67" spans="1:14" x14ac:dyDescent="0.4">
      <c r="A67" s="20" t="s">
        <v>33</v>
      </c>
      <c r="B67" s="20"/>
      <c r="C67" s="20"/>
      <c r="D67" s="22">
        <v>4.97</v>
      </c>
      <c r="E67" s="22"/>
      <c r="F67" s="22">
        <v>4.4400000000000004</v>
      </c>
      <c r="G67" s="22"/>
      <c r="H67" s="22">
        <v>3.89</v>
      </c>
      <c r="I67" s="22"/>
      <c r="J67" s="22">
        <v>3.9</v>
      </c>
      <c r="K67" s="22"/>
      <c r="L67" s="22">
        <v>3.89</v>
      </c>
      <c r="M67" s="22"/>
      <c r="N67" s="22">
        <v>1.25</v>
      </c>
    </row>
    <row r="68" spans="1:14" x14ac:dyDescent="0.4">
      <c r="A68" s="20" t="s">
        <v>34</v>
      </c>
      <c r="B68" s="20"/>
      <c r="C68" s="20"/>
      <c r="D68" s="22">
        <v>22433.200000000001</v>
      </c>
      <c r="E68" s="22"/>
      <c r="F68" s="22">
        <v>20550.900000000001</v>
      </c>
      <c r="G68" s="22"/>
      <c r="H68" s="22">
        <v>19632.2</v>
      </c>
      <c r="I68" s="22"/>
      <c r="J68" s="22">
        <v>19028.400000000001</v>
      </c>
      <c r="K68" s="22"/>
      <c r="L68" s="22">
        <v>18287</v>
      </c>
      <c r="M68" s="22"/>
      <c r="N68" s="22">
        <v>17397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39.4</v>
      </c>
      <c r="K71" s="22"/>
      <c r="L71" s="22">
        <v>11.9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247</v>
      </c>
      <c r="E75" s="22"/>
      <c r="F75" s="22">
        <v>223.6</v>
      </c>
      <c r="G75" s="22"/>
      <c r="H75" s="22">
        <v>281</v>
      </c>
      <c r="I75" s="22"/>
      <c r="J75" s="22">
        <v>100.4</v>
      </c>
      <c r="K75" s="22"/>
      <c r="L75" s="22">
        <v>26.6</v>
      </c>
      <c r="M75" s="22"/>
      <c r="N75" s="22">
        <v>23.1</v>
      </c>
    </row>
    <row r="76" spans="1:14" x14ac:dyDescent="0.4">
      <c r="A76" s="20" t="s">
        <v>42</v>
      </c>
      <c r="B76" s="20"/>
      <c r="C76" s="20"/>
      <c r="D76" s="22">
        <v>31300.7</v>
      </c>
      <c r="E76" s="22"/>
      <c r="F76" s="22">
        <v>28986.400000000001</v>
      </c>
      <c r="G76" s="22"/>
      <c r="H76" s="22">
        <v>25126.799999999999</v>
      </c>
      <c r="I76" s="22"/>
      <c r="J76" s="22">
        <v>21881.7</v>
      </c>
      <c r="K76" s="22"/>
      <c r="L76" s="22">
        <v>19658.400000000001</v>
      </c>
      <c r="M76" s="22"/>
      <c r="N76" s="22">
        <v>17620.5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53980.9</v>
      </c>
      <c r="E78" s="22"/>
      <c r="F78" s="22">
        <f>SUM(F68:F77)</f>
        <v>49760.9</v>
      </c>
      <c r="G78" s="22"/>
      <c r="H78" s="22">
        <f>SUM(H68:H77)</f>
        <v>45040</v>
      </c>
      <c r="I78" s="22"/>
      <c r="J78" s="22">
        <v>41049.9</v>
      </c>
      <c r="K78" s="22"/>
      <c r="L78" s="22">
        <v>37983.9</v>
      </c>
      <c r="M78" s="22"/>
      <c r="N78" s="22">
        <v>35040.6</v>
      </c>
    </row>
    <row r="79" spans="1:14" x14ac:dyDescent="0.4">
      <c r="A79" s="20" t="s">
        <v>45</v>
      </c>
      <c r="B79" s="20"/>
      <c r="C79" s="20"/>
      <c r="D79" s="22">
        <v>2153.8000000000002</v>
      </c>
      <c r="E79" s="22"/>
      <c r="F79" s="22">
        <v>2086.1</v>
      </c>
      <c r="G79" s="22"/>
      <c r="H79" s="22">
        <v>1598.7</v>
      </c>
      <c r="I79" s="22"/>
      <c r="J79" s="22">
        <v>1754</v>
      </c>
      <c r="K79" s="22"/>
      <c r="L79" s="22">
        <v>1812.7</v>
      </c>
      <c r="M79" s="22"/>
      <c r="N79" s="22">
        <v>2941.4</v>
      </c>
    </row>
    <row r="80" spans="1:14" x14ac:dyDescent="0.4">
      <c r="A80" s="20" t="s">
        <v>46</v>
      </c>
      <c r="B80" s="20"/>
      <c r="C80" s="20"/>
      <c r="D80" s="22">
        <v>2614</v>
      </c>
      <c r="E80" s="22"/>
      <c r="F80" s="22">
        <v>2479.3000000000002</v>
      </c>
      <c r="G80" s="22"/>
      <c r="H80" s="22">
        <v>2838.3</v>
      </c>
      <c r="I80" s="22"/>
      <c r="J80" s="22">
        <v>1910</v>
      </c>
      <c r="K80" s="22"/>
      <c r="L80" s="22">
        <v>1638.6</v>
      </c>
      <c r="M80" s="22"/>
      <c r="N80" s="22">
        <v>1713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2488.1</v>
      </c>
      <c r="E82" s="22"/>
      <c r="F82" s="22">
        <v>2196.6999999999998</v>
      </c>
      <c r="G82" s="22"/>
      <c r="H82" s="22">
        <v>1919.8</v>
      </c>
      <c r="I82" s="22"/>
      <c r="J82" s="22">
        <v>1931.3</v>
      </c>
      <c r="K82" s="22"/>
      <c r="L82" s="22">
        <v>1928.9</v>
      </c>
      <c r="M82" s="22"/>
      <c r="N82" s="22">
        <v>620.5</v>
      </c>
    </row>
    <row r="83" spans="1:14" x14ac:dyDescent="0.4">
      <c r="A83" s="20" t="s">
        <v>49</v>
      </c>
      <c r="B83" s="20"/>
      <c r="C83" s="20"/>
      <c r="D83" s="22">
        <v>2825.7</v>
      </c>
      <c r="E83" s="22"/>
      <c r="F83" s="22">
        <v>2682.8</v>
      </c>
      <c r="G83" s="22"/>
      <c r="H83" s="22">
        <f>2514.5</f>
        <v>2514.5</v>
      </c>
      <c r="I83" s="22"/>
      <c r="J83" s="22">
        <v>2400.4</v>
      </c>
      <c r="K83" s="22"/>
      <c r="L83" s="22">
        <v>2126.3000000000002</v>
      </c>
      <c r="M83" s="22"/>
      <c r="N83" s="22">
        <v>2090.9</v>
      </c>
    </row>
    <row r="84" spans="1:14" x14ac:dyDescent="0.4">
      <c r="A84" s="20" t="s">
        <v>50</v>
      </c>
      <c r="B84" s="20"/>
      <c r="C84" s="20"/>
      <c r="D84" s="22">
        <f>135.4+85.3</f>
        <v>220.7</v>
      </c>
      <c r="E84" s="22"/>
      <c r="F84" s="22">
        <f>136.5+87.5</f>
        <v>224</v>
      </c>
      <c r="G84" s="22"/>
      <c r="H84" s="22">
        <f>136.5+89.1</f>
        <v>225.6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107.6</v>
      </c>
      <c r="E85" s="22"/>
      <c r="F85" s="22">
        <v>196.1</v>
      </c>
      <c r="G85" s="22"/>
      <c r="H85" s="22">
        <v>-17.8</v>
      </c>
      <c r="I85" s="22"/>
      <c r="J85" s="22">
        <v>104.3</v>
      </c>
      <c r="K85" s="22"/>
      <c r="L85" s="22">
        <v>901.5</v>
      </c>
      <c r="M85" s="22"/>
      <c r="N85" s="22">
        <v>-50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139.69999999999999</v>
      </c>
      <c r="E87" s="22"/>
      <c r="F87" s="22">
        <v>148.1</v>
      </c>
      <c r="G87" s="22"/>
      <c r="H87" s="22">
        <v>168.4</v>
      </c>
      <c r="I87" s="22"/>
      <c r="J87" s="22">
        <v>132.5</v>
      </c>
      <c r="K87" s="22"/>
      <c r="L87" s="22">
        <v>93.7</v>
      </c>
      <c r="M87" s="22"/>
      <c r="N87" s="22">
        <v>113.2</v>
      </c>
    </row>
    <row r="88" spans="1:14" x14ac:dyDescent="0.4">
      <c r="A88" s="20" t="s">
        <v>69</v>
      </c>
      <c r="B88" s="20"/>
      <c r="C88" s="20"/>
      <c r="D88" s="22">
        <f>11.6+112.3+6.1</f>
        <v>130</v>
      </c>
      <c r="E88" s="22"/>
      <c r="F88" s="22">
        <f>66.5-8.5-110.3</f>
        <v>-52.3</v>
      </c>
      <c r="G88" s="22"/>
      <c r="H88" s="22">
        <f>156.4-29.2-24.6</f>
        <v>102.6</v>
      </c>
      <c r="I88" s="22"/>
      <c r="J88" s="22">
        <v>154.19999999999999</v>
      </c>
      <c r="K88" s="22"/>
      <c r="L88" s="22">
        <v>38.200000000000003</v>
      </c>
      <c r="M88" s="22"/>
      <c r="N88" s="22">
        <v>2463.1</v>
      </c>
    </row>
    <row r="89" spans="1:14" x14ac:dyDescent="0.4">
      <c r="A89" s="20" t="s">
        <v>54</v>
      </c>
      <c r="B89" s="20"/>
      <c r="C89" s="20"/>
      <c r="D89" s="22">
        <v>5659.6</v>
      </c>
      <c r="E89" s="22"/>
      <c r="F89" s="22">
        <v>6246.3</v>
      </c>
      <c r="G89" s="22"/>
      <c r="H89" s="22">
        <v>6051.4</v>
      </c>
      <c r="I89" s="22"/>
      <c r="J89" s="22">
        <v>6489.5</v>
      </c>
      <c r="K89" s="22"/>
      <c r="L89" s="22">
        <v>5893</v>
      </c>
      <c r="M89" s="22"/>
      <c r="N89" s="22">
        <v>5022.8</v>
      </c>
    </row>
    <row r="90" spans="1:14" x14ac:dyDescent="0.4">
      <c r="A90" s="20" t="s">
        <v>55</v>
      </c>
      <c r="B90" s="20"/>
      <c r="C90" s="20"/>
      <c r="D90" s="22">
        <v>1519.5</v>
      </c>
      <c r="E90" s="22"/>
      <c r="F90" s="22">
        <v>1424.9</v>
      </c>
      <c r="G90" s="22"/>
      <c r="H90" s="22">
        <v>1350</v>
      </c>
      <c r="I90" s="22"/>
      <c r="J90" s="22">
        <v>1255.5</v>
      </c>
      <c r="K90" s="22"/>
      <c r="L90" s="22">
        <v>1191.9000000000001</v>
      </c>
      <c r="M90" s="22"/>
      <c r="N90" s="22">
        <v>1121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1137.2</v>
      </c>
      <c r="E92" s="22"/>
      <c r="F92" s="22">
        <v>1029.0999999999999</v>
      </c>
      <c r="G92" s="22"/>
      <c r="H92" s="22">
        <v>1022.5</v>
      </c>
      <c r="I92" s="22"/>
      <c r="J92" s="22">
        <v>939.3</v>
      </c>
      <c r="K92" s="22"/>
      <c r="L92" s="22">
        <v>858.3</v>
      </c>
      <c r="M92" s="22"/>
      <c r="N92" s="22">
        <v>848.5</v>
      </c>
    </row>
    <row r="93" spans="1:14" x14ac:dyDescent="0.4">
      <c r="A93" s="20" t="s">
        <v>58</v>
      </c>
      <c r="B93" s="20"/>
      <c r="C93" s="20"/>
      <c r="D93" s="22" t="s">
        <v>119</v>
      </c>
      <c r="E93" s="22"/>
      <c r="F93" s="22">
        <v>-49.1</v>
      </c>
      <c r="G93" s="22"/>
      <c r="H93" s="22">
        <v>6.1</v>
      </c>
      <c r="I93" s="22"/>
      <c r="J93" s="22">
        <v>-24.7</v>
      </c>
      <c r="K93" s="22"/>
      <c r="L93" s="22">
        <v>-1.1000000000000001</v>
      </c>
      <c r="M93" s="22"/>
      <c r="N93" s="22">
        <v>29.5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1519.5</v>
      </c>
      <c r="E96" s="22"/>
      <c r="F96" s="22">
        <v>1424.9</v>
      </c>
      <c r="G96" s="22"/>
      <c r="H96" s="22">
        <v>1350</v>
      </c>
      <c r="I96" s="22"/>
      <c r="J96" s="22">
        <v>1255.5</v>
      </c>
      <c r="K96" s="22"/>
      <c r="L96" s="22">
        <v>1191.9000000000001</v>
      </c>
      <c r="M96" s="22"/>
      <c r="N96" s="22">
        <v>1121</v>
      </c>
    </row>
    <row r="97" spans="1:14" x14ac:dyDescent="0.4">
      <c r="A97" s="20" t="s">
        <v>60</v>
      </c>
      <c r="B97" s="20"/>
      <c r="C97" s="20"/>
      <c r="D97" s="7">
        <v>3</v>
      </c>
      <c r="E97" s="22"/>
      <c r="F97">
        <v>2.84</v>
      </c>
      <c r="G97" s="22"/>
      <c r="H97">
        <v>2.71</v>
      </c>
      <c r="I97" s="22"/>
      <c r="J97" s="22">
        <v>2.5299999999999998</v>
      </c>
      <c r="K97" s="22"/>
      <c r="L97" s="22">
        <v>2.39</v>
      </c>
      <c r="M97" s="22"/>
      <c r="N97" s="22">
        <v>2.27</v>
      </c>
    </row>
    <row r="98" spans="1:14" x14ac:dyDescent="0.4">
      <c r="A98" s="20" t="s">
        <v>61</v>
      </c>
      <c r="B98" s="20"/>
      <c r="C98" s="20"/>
      <c r="D98" s="7">
        <v>3</v>
      </c>
      <c r="E98" s="22"/>
      <c r="F98">
        <v>2.84</v>
      </c>
      <c r="G98" s="22"/>
      <c r="H98">
        <v>2.71</v>
      </c>
      <c r="I98" s="22"/>
      <c r="J98" s="22">
        <v>2.5299999999999998</v>
      </c>
      <c r="K98" s="22"/>
      <c r="L98" s="22">
        <v>2.39</v>
      </c>
      <c r="M98" s="22"/>
      <c r="N98" s="22">
        <v>2.27</v>
      </c>
    </row>
    <row r="99" spans="1:14" x14ac:dyDescent="0.4">
      <c r="A99" s="20" t="s">
        <v>62</v>
      </c>
      <c r="B99" s="20"/>
      <c r="C99" s="20"/>
      <c r="D99">
        <v>91.49</v>
      </c>
      <c r="E99" s="22"/>
      <c r="F99">
        <v>104.97</v>
      </c>
      <c r="G99" s="22"/>
      <c r="H99">
        <v>96.22</v>
      </c>
      <c r="I99" s="22"/>
      <c r="J99" s="22">
        <v>81.05</v>
      </c>
      <c r="K99" s="22"/>
      <c r="L99" s="22">
        <v>78.069999999999993</v>
      </c>
      <c r="M99" s="22"/>
      <c r="N99" s="22">
        <v>71.319999999999993</v>
      </c>
    </row>
    <row r="100" spans="1:14" x14ac:dyDescent="0.4">
      <c r="A100" s="20" t="s">
        <v>63</v>
      </c>
      <c r="B100" s="20"/>
      <c r="C100" s="20"/>
      <c r="D100">
        <v>74.8</v>
      </c>
      <c r="E100" s="22"/>
      <c r="F100">
        <v>65.14</v>
      </c>
      <c r="G100" s="22"/>
      <c r="H100">
        <v>72.260000000000005</v>
      </c>
      <c r="I100" s="22"/>
      <c r="J100" s="22">
        <v>62.704999999999998</v>
      </c>
      <c r="K100" s="22"/>
      <c r="L100" s="22">
        <v>61.82</v>
      </c>
      <c r="M100" s="22"/>
      <c r="N100" s="22">
        <v>56.75</v>
      </c>
    </row>
    <row r="101" spans="1:14" x14ac:dyDescent="0.4">
      <c r="A101" s="20" t="s">
        <v>64</v>
      </c>
      <c r="B101" s="20"/>
      <c r="C101" s="20"/>
      <c r="D101">
        <v>88.97</v>
      </c>
      <c r="E101" s="22"/>
      <c r="F101">
        <v>83.27</v>
      </c>
      <c r="G101" s="22"/>
      <c r="H101">
        <v>94.51</v>
      </c>
      <c r="I101" s="22"/>
      <c r="J101" s="22">
        <v>74.739999999999995</v>
      </c>
      <c r="K101" s="22"/>
      <c r="L101" s="22">
        <v>73.569999999999993</v>
      </c>
      <c r="M101" s="22"/>
      <c r="N101" s="22">
        <v>62.96</v>
      </c>
    </row>
    <row r="102" spans="1:14" x14ac:dyDescent="0.4">
      <c r="A102" s="20" t="s">
        <v>65</v>
      </c>
      <c r="B102" s="20"/>
      <c r="C102" s="20"/>
      <c r="D102" s="22">
        <f>524.416175-20.20416</f>
        <v>504.21201499999995</v>
      </c>
      <c r="E102" s="22"/>
      <c r="F102" s="22">
        <f>516.808354-20.20416</f>
        <v>496.60419400000001</v>
      </c>
      <c r="G102" s="22"/>
      <c r="H102" s="22">
        <f>514.373631-20.20416</f>
        <v>494.16947100000004</v>
      </c>
      <c r="I102" s="22"/>
      <c r="J102" s="22">
        <v>493.24599999999998</v>
      </c>
      <c r="K102" s="22"/>
      <c r="L102" s="22">
        <v>492.00599999999997</v>
      </c>
      <c r="M102" s="22"/>
      <c r="N102" s="22">
        <v>491.71199999999999</v>
      </c>
    </row>
    <row r="103" spans="1:14" x14ac:dyDescent="0.4">
      <c r="A103" s="20" t="s">
        <v>91</v>
      </c>
      <c r="B103" s="20"/>
      <c r="C103" s="20"/>
      <c r="D103" s="22">
        <v>184.8</v>
      </c>
      <c r="E103" s="22"/>
      <c r="F103" s="22">
        <v>-85.1</v>
      </c>
      <c r="G103" s="22"/>
      <c r="H103" s="22">
        <v>-147.69999999999999</v>
      </c>
      <c r="I103" s="22"/>
      <c r="J103" s="22">
        <v>-120.4</v>
      </c>
      <c r="K103" s="22"/>
      <c r="L103" s="22">
        <v>-67.8</v>
      </c>
      <c r="M103" s="22"/>
      <c r="N103" s="22">
        <v>-156.30000000000001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4.97</v>
      </c>
      <c r="F105" s="15">
        <f>F67/F94</f>
        <v>4.4400000000000004</v>
      </c>
      <c r="H105" s="15">
        <f>H67/H94</f>
        <v>3.89</v>
      </c>
      <c r="J105" s="15">
        <f>J67/J94</f>
        <v>3.9</v>
      </c>
      <c r="L105" s="15">
        <f>L67/L94</f>
        <v>3.89</v>
      </c>
      <c r="N105" s="15">
        <f>N67/N94</f>
        <v>1.25</v>
      </c>
    </row>
    <row r="106" spans="1:14" x14ac:dyDescent="0.4">
      <c r="B106" t="s">
        <v>60</v>
      </c>
      <c r="D106" s="15">
        <f>D97/D94</f>
        <v>3</v>
      </c>
      <c r="F106" s="15">
        <f>F97/F94</f>
        <v>2.84</v>
      </c>
      <c r="H106" s="15">
        <f>H97/H94</f>
        <v>2.71</v>
      </c>
      <c r="J106" s="15">
        <f>J97/J94</f>
        <v>2.5299999999999998</v>
      </c>
      <c r="L106" s="15">
        <f>L97/L94</f>
        <v>2.39</v>
      </c>
      <c r="N106" s="15">
        <f>N97/N94</f>
        <v>2.27</v>
      </c>
    </row>
    <row r="107" spans="1:14" x14ac:dyDescent="0.4">
      <c r="B107" t="s">
        <v>61</v>
      </c>
      <c r="D107" s="15">
        <f>D98/D94</f>
        <v>3</v>
      </c>
      <c r="F107" s="15">
        <f>F98/F94</f>
        <v>2.84</v>
      </c>
      <c r="H107" s="15">
        <f>H98/H94</f>
        <v>2.71</v>
      </c>
      <c r="J107" s="15">
        <f>J98/J94</f>
        <v>2.5299999999999998</v>
      </c>
      <c r="L107" s="15">
        <f>L98/L94</f>
        <v>2.39</v>
      </c>
      <c r="N107" s="15">
        <f>N98/N94</f>
        <v>2.27</v>
      </c>
    </row>
    <row r="108" spans="1:14" x14ac:dyDescent="0.4">
      <c r="B108" t="s">
        <v>62</v>
      </c>
      <c r="D108" s="15">
        <f>D99/D94</f>
        <v>91.49</v>
      </c>
      <c r="F108" s="15">
        <f>F99/F94</f>
        <v>104.97</v>
      </c>
      <c r="H108" s="15">
        <f>H99/H94</f>
        <v>96.22</v>
      </c>
      <c r="J108" s="15">
        <f>J99/J94</f>
        <v>81.05</v>
      </c>
      <c r="L108" s="15">
        <f>L99/L94</f>
        <v>78.069999999999993</v>
      </c>
      <c r="N108" s="15">
        <f>N99/N94</f>
        <v>71.319999999999993</v>
      </c>
    </row>
    <row r="109" spans="1:14" x14ac:dyDescent="0.4">
      <c r="B109" t="s">
        <v>63</v>
      </c>
      <c r="D109" s="15">
        <f>D100/D94</f>
        <v>74.8</v>
      </c>
      <c r="F109" s="15">
        <f>F100/F94</f>
        <v>65.14</v>
      </c>
      <c r="H109" s="15">
        <f>H100/H94</f>
        <v>72.260000000000005</v>
      </c>
      <c r="J109" s="15">
        <f>J100/J94</f>
        <v>62.704999999999998</v>
      </c>
      <c r="L109" s="15">
        <f>L100/L94</f>
        <v>61.82</v>
      </c>
      <c r="N109" s="15">
        <f>N100/N94</f>
        <v>56.75</v>
      </c>
    </row>
    <row r="110" spans="1:14" x14ac:dyDescent="0.4">
      <c r="B110" t="s">
        <v>64</v>
      </c>
      <c r="D110" s="15">
        <f>D101/D94</f>
        <v>88.97</v>
      </c>
      <c r="F110" s="15">
        <f>F101/F94</f>
        <v>83.27</v>
      </c>
      <c r="H110" s="15">
        <f>H101/H94</f>
        <v>94.51</v>
      </c>
      <c r="J110" s="15">
        <f>J101/J94</f>
        <v>74.739999999999995</v>
      </c>
      <c r="L110" s="15">
        <f>L101/L94</f>
        <v>73.569999999999993</v>
      </c>
      <c r="N110" s="15">
        <f>N101/N94</f>
        <v>62.96</v>
      </c>
    </row>
    <row r="111" spans="1:14" x14ac:dyDescent="0.4">
      <c r="B111" t="s">
        <v>65</v>
      </c>
      <c r="D111" s="16">
        <f>D102*D94</f>
        <v>504.21201499999995</v>
      </c>
      <c r="E111" s="16"/>
      <c r="F111" s="16">
        <f>F102*F94</f>
        <v>496.60419400000001</v>
      </c>
      <c r="G111" s="16"/>
      <c r="H111" s="16">
        <f>H102*H94</f>
        <v>494.16947100000004</v>
      </c>
      <c r="I111" s="16"/>
      <c r="J111" s="16">
        <f>J102*J94</f>
        <v>493.24599999999998</v>
      </c>
      <c r="K111" s="16"/>
      <c r="L111" s="16">
        <f>L102*L94</f>
        <v>492.00599999999997</v>
      </c>
      <c r="M111" s="16"/>
      <c r="N111" s="16">
        <f>N102*N94</f>
        <v>491.71199999999999</v>
      </c>
    </row>
    <row r="112" spans="1:14" x14ac:dyDescent="0.4">
      <c r="B112" t="s">
        <v>66</v>
      </c>
      <c r="D112" s="15">
        <f>ROUND(D68/D111,2)</f>
        <v>44.49</v>
      </c>
      <c r="F112" s="15">
        <f>ROUND(F68/F111,2)</f>
        <v>41.38</v>
      </c>
      <c r="H112" s="15">
        <f>ROUND(H68/H111,2)</f>
        <v>39.729999999999997</v>
      </c>
      <c r="J112" s="15">
        <f>ROUND(J68/J111,2)</f>
        <v>38.58</v>
      </c>
      <c r="L112" s="15">
        <f>ROUND(L68/L111,2)</f>
        <v>37.17</v>
      </c>
      <c r="N112" s="15">
        <f>ROUND(N68/N111,2)</f>
        <v>35.380000000000003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AMERICAN WATER WORKS CO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17744</v>
      </c>
      <c r="F8" s="34">
        <f>F78+F79+F81-F103</f>
        <v>16165</v>
      </c>
      <c r="H8" s="34">
        <f>H78+H79+H81-H103</f>
        <v>14829</v>
      </c>
      <c r="J8" s="34">
        <f>J78+J79+J81-J103</f>
        <v>13545</v>
      </c>
      <c r="L8" s="34">
        <f>L78+L79+L81-L103</f>
        <v>12284</v>
      </c>
    </row>
    <row r="9" spans="1:15" x14ac:dyDescent="0.4">
      <c r="B9" t="s">
        <v>5</v>
      </c>
      <c r="D9" s="9">
        <f>D80</f>
        <v>584</v>
      </c>
      <c r="F9" s="9">
        <f>F80</f>
        <v>1282</v>
      </c>
      <c r="H9" s="9">
        <f>H80</f>
        <v>786</v>
      </c>
      <c r="J9" s="9">
        <f>J80</f>
        <v>964</v>
      </c>
      <c r="L9" s="9">
        <f>L80</f>
        <v>905</v>
      </c>
    </row>
    <row r="10" spans="1:15" ht="15.4" thickBot="1" x14ac:dyDescent="0.45">
      <c r="B10" t="s">
        <v>7</v>
      </c>
      <c r="D10" s="10">
        <f>D8+D9</f>
        <v>18328</v>
      </c>
      <c r="F10" s="10">
        <f>F8+F9</f>
        <v>17447</v>
      </c>
      <c r="H10" s="10">
        <f>H8+H9</f>
        <v>15615</v>
      </c>
      <c r="J10" s="10">
        <f>J8+J9</f>
        <v>14509</v>
      </c>
      <c r="L10" s="10">
        <f>L8+L9</f>
        <v>13189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23</v>
      </c>
      <c r="E13" s="7" t="s">
        <v>3</v>
      </c>
      <c r="F13" s="30">
        <f>ROUND(AVERAGE(F108:F109)/F105,0)</f>
        <v>34</v>
      </c>
      <c r="G13" s="7" t="s">
        <v>3</v>
      </c>
      <c r="H13" s="30">
        <f>ROUND(AVERAGE(H108:H109)/H105,0)</f>
        <v>32</v>
      </c>
      <c r="I13" s="7" t="s">
        <v>3</v>
      </c>
      <c r="J13" s="30">
        <f>ROUND(AVERAGE(J108:J109)/J105,0)</f>
        <v>28</v>
      </c>
      <c r="K13" s="7" t="s">
        <v>3</v>
      </c>
      <c r="L13" s="30">
        <f>ROUND(AVERAGE(L108:L109)/L105,0)</f>
        <v>34</v>
      </c>
      <c r="M13" s="7" t="s">
        <v>3</v>
      </c>
      <c r="N13" s="30">
        <f>AVERAGE(D13,F13,H13,J13,L13)</f>
        <v>30.2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4.2309999999999999</v>
      </c>
      <c r="E14" s="3"/>
      <c r="F14" s="3">
        <f>ROUND(AVERAGE(F108:F109)/AVERAGE(F112,H112),3)</f>
        <v>3.8090000000000002</v>
      </c>
      <c r="G14" s="3"/>
      <c r="H14" s="3">
        <f>ROUND(AVERAGE(H108:H109)/AVERAGE(H112,J112),3)</f>
        <v>3.286</v>
      </c>
      <c r="I14" s="3"/>
      <c r="J14" s="3">
        <f>ROUND(AVERAGE(J108:J109)/AVERAGE(J112,L112),3)</f>
        <v>2.782</v>
      </c>
      <c r="K14" s="3"/>
      <c r="L14" s="3">
        <f>ROUND(AVERAGE(L108:L109)/AVERAGE(L112,N112),3)</f>
        <v>2.7290000000000001</v>
      </c>
      <c r="M14" s="3"/>
      <c r="N14" s="3">
        <f>AVERAGE(D14,F14,H14,J14,L14)</f>
        <v>3.3673999999999999</v>
      </c>
    </row>
    <row r="15" spans="1:15" x14ac:dyDescent="0.4">
      <c r="B15" t="s">
        <v>9</v>
      </c>
      <c r="D15" s="3">
        <f>ROUND(D106/AVERAGE(D108:D109),3)</f>
        <v>1.4999999999999999E-2</v>
      </c>
      <c r="E15" s="3"/>
      <c r="F15" s="3">
        <f>ROUND(F106/AVERAGE(F108:F109),3)</f>
        <v>1.7000000000000001E-2</v>
      </c>
      <c r="G15" s="3"/>
      <c r="H15" s="3">
        <f>ROUND(H106/AVERAGE(H108:H109),3)</f>
        <v>1.7999999999999999E-2</v>
      </c>
      <c r="I15" s="3"/>
      <c r="J15" s="3">
        <f>ROUND(J106/AVERAGE(J108:J109),3)</f>
        <v>0.02</v>
      </c>
      <c r="K15" s="3"/>
      <c r="L15" s="3">
        <f>ROUND(L106/AVERAGE(L108:L109),3)</f>
        <v>0.02</v>
      </c>
      <c r="M15" s="3"/>
      <c r="N15" s="3">
        <f>AVERAGE(D15,F15,H15,J15,L15)</f>
        <v>1.8000000000000002E-2</v>
      </c>
    </row>
    <row r="16" spans="1:15" x14ac:dyDescent="0.4">
      <c r="B16" t="s">
        <v>10</v>
      </c>
      <c r="D16" s="3">
        <f>ROUND(D96/D66,3)</f>
        <v>0.34799999999999998</v>
      </c>
      <c r="E16" s="3"/>
      <c r="F16" s="3">
        <f>ROUND(F96/F66,3)</f>
        <v>0.56399999999999995</v>
      </c>
      <c r="G16" s="3"/>
      <c r="H16" s="3">
        <f>ROUND(H96/H66,3)</f>
        <v>0.58299999999999996</v>
      </c>
      <c r="I16" s="3"/>
      <c r="J16" s="3">
        <f>ROUND(J96/J66,3)</f>
        <v>0.57699999999999996</v>
      </c>
      <c r="K16" s="3"/>
      <c r="L16" s="3">
        <f>ROUND(L96/L66,3)</f>
        <v>0.69699999999999995</v>
      </c>
      <c r="M16" s="3"/>
      <c r="N16" s="3">
        <f>AVERAGE(D16,F16,H16,J16,L16)</f>
        <v>0.55380000000000007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0.58599999999999997</v>
      </c>
      <c r="E20" s="3"/>
      <c r="F20" s="3">
        <f>ROUND((+F76+F79)/F8,3)</f>
        <v>0.59699999999999998</v>
      </c>
      <c r="G20" s="3"/>
      <c r="H20" s="3">
        <f>ROUND((+H76+H79)/H8,3)</f>
        <v>0.58399999999999996</v>
      </c>
      <c r="I20" s="3"/>
      <c r="J20" s="3">
        <f>ROUND((+J76+J79)/J8,3)</f>
        <v>0.56499999999999995</v>
      </c>
      <c r="K20" s="3"/>
      <c r="L20" s="3">
        <f>ROUND((+L76+L79)/L8,3)</f>
        <v>0.55500000000000005</v>
      </c>
      <c r="M20" s="3"/>
      <c r="N20" s="3">
        <f>AVERAGE(D20,F20,H20,J20,L20)</f>
        <v>0.57740000000000002</v>
      </c>
    </row>
    <row r="21" spans="1:14" x14ac:dyDescent="0.4">
      <c r="B21" s="31" t="s">
        <v>93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3">
        <f>AVERAGE(D21,F21,H21,J21,L21)</f>
        <v>0</v>
      </c>
    </row>
    <row r="22" spans="1:14" ht="17.25" x14ac:dyDescent="0.4">
      <c r="B22" s="32" t="s">
        <v>94</v>
      </c>
      <c r="D22" s="4">
        <f>ROUND((D68-D103)/D8,3)</f>
        <v>0.41399999999999998</v>
      </c>
      <c r="E22" s="3"/>
      <c r="F22" s="4">
        <f>ROUND((F68-F103)/F8,3)</f>
        <v>0.40200000000000002</v>
      </c>
      <c r="G22" s="3"/>
      <c r="H22" s="4">
        <f>ROUND((H68-H103)/H8,3)</f>
        <v>0.41499999999999998</v>
      </c>
      <c r="I22" s="3"/>
      <c r="J22" s="4">
        <f>ROUND((J68-J103)/J8,3)</f>
        <v>0.435</v>
      </c>
      <c r="K22" s="3"/>
      <c r="L22" s="4">
        <f>ROUND((L68-L103)/L8,3)</f>
        <v>0.44500000000000001</v>
      </c>
      <c r="M22" s="3"/>
      <c r="N22" s="4">
        <f>AVERAGE(D22,F22,H22,J22,L22)</f>
        <v>0.42220000000000002</v>
      </c>
    </row>
    <row r="23" spans="1:14" ht="15.4" thickBot="1" x14ac:dyDescent="0.45">
      <c r="D23" s="5">
        <f>SUM(D20:D22)</f>
        <v>1</v>
      </c>
      <c r="E23" s="3"/>
      <c r="F23" s="5">
        <f>SUM(F20:F22)</f>
        <v>0.999</v>
      </c>
      <c r="G23" s="3"/>
      <c r="H23" s="5">
        <f>SUM(H20:H22)</f>
        <v>0.99899999999999989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0.99960000000000004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0.59899999999999998</v>
      </c>
      <c r="E25" s="3"/>
      <c r="F25" s="3">
        <f>ROUND((+F76+F79+F80)/F10,3)</f>
        <v>0.627</v>
      </c>
      <c r="G25" s="3"/>
      <c r="H25" s="3">
        <f>ROUND((+H76+H79+H80)/H10,3)</f>
        <v>0.60499999999999998</v>
      </c>
      <c r="I25" s="3"/>
      <c r="J25" s="3">
        <f>ROUND((+J76+J79+J80)/J10,3)</f>
        <v>0.59299999999999997</v>
      </c>
      <c r="K25" s="3"/>
      <c r="L25" s="3">
        <f>ROUND((+L76+L79+L80)/L10,3)</f>
        <v>0.58599999999999997</v>
      </c>
      <c r="M25" s="3"/>
      <c r="N25" s="3">
        <f>AVERAGE(D25,F25,H25,J25,L25)</f>
        <v>0.60199999999999998</v>
      </c>
    </row>
    <row r="26" spans="1:14" x14ac:dyDescent="0.4">
      <c r="B26" s="31" t="s">
        <v>93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3">
        <f>AVERAGE(D26,F26,H26,J26,L26)</f>
        <v>0</v>
      </c>
    </row>
    <row r="27" spans="1:14" ht="17.25" x14ac:dyDescent="0.4">
      <c r="B27" s="32" t="s">
        <v>94</v>
      </c>
      <c r="D27" s="4">
        <f>ROUND((D68-D103)/D10,3)</f>
        <v>0.40100000000000002</v>
      </c>
      <c r="E27" s="3"/>
      <c r="F27" s="4">
        <f>ROUND((F68-F103)/F10,3)</f>
        <v>0.373</v>
      </c>
      <c r="G27" s="3"/>
      <c r="H27" s="4">
        <f>ROUND((H68-H103)/H10,3)</f>
        <v>0.39400000000000002</v>
      </c>
      <c r="I27" s="3"/>
      <c r="J27" s="4">
        <f>ROUND((J68-J103)/J10,3)</f>
        <v>0.40699999999999997</v>
      </c>
      <c r="K27" s="3"/>
      <c r="L27" s="4">
        <f>ROUND((L68-L103)/L10,3)</f>
        <v>0.41399999999999998</v>
      </c>
      <c r="M27" s="3"/>
      <c r="N27" s="4">
        <f>AVERAGE(D27,F27,H27,J27,L27)</f>
        <v>0.39780000000000004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0.999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0.99980000000000013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0.182</v>
      </c>
      <c r="E30" s="3"/>
      <c r="F30" s="3">
        <f>ROUND(+F66/(((F68-F103)+(H68-H103))/2),3)</f>
        <v>0.112</v>
      </c>
      <c r="G30" s="3"/>
      <c r="H30" s="3">
        <f>ROUND(+H66/(((H68-H103)+(J68-J103))/2),3)</f>
        <v>0.10299999999999999</v>
      </c>
      <c r="I30" s="3"/>
      <c r="J30" s="3">
        <f>ROUND(+J66/(((J68-J103)+(L68-L103))/2),3)</f>
        <v>0.1</v>
      </c>
      <c r="K30" s="3"/>
      <c r="L30" s="3">
        <f>ROUND(+L66/(((L68-L103)+(N68-N103))/2),3)</f>
        <v>7.9000000000000001E-2</v>
      </c>
      <c r="M30" s="3"/>
      <c r="N30" s="3">
        <f>AVERAGE(D30,F30,H30,J30,L30)</f>
        <v>0.1152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0.69599999999999995</v>
      </c>
      <c r="E32" s="3"/>
      <c r="F32" s="3">
        <f>ROUND((+F58-F57)/F56,3)</f>
        <v>0.67</v>
      </c>
      <c r="G32" s="3"/>
      <c r="H32" s="3">
        <f>ROUND((+H58-H57)/H56,3)</f>
        <v>0.67600000000000005</v>
      </c>
      <c r="I32" s="3"/>
      <c r="J32" s="3">
        <f>ROUND((+J58-J57)/J56,3)</f>
        <v>0.66900000000000004</v>
      </c>
      <c r="K32" s="3"/>
      <c r="L32" s="3">
        <f>ROUND((+L58-L57)/L56,3)</f>
        <v>0.63600000000000001</v>
      </c>
      <c r="M32" s="3"/>
      <c r="N32" s="3">
        <f>AVERAGE(D32,F32,H32,J32,L32)</f>
        <v>0.66940000000000011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5.07</v>
      </c>
      <c r="E35" s="7" t="s">
        <v>3</v>
      </c>
      <c r="F35" s="7">
        <f>ROUND(((+F66+F65+F64+F63+F61+F59+F57)/F61),2)</f>
        <v>3.33</v>
      </c>
      <c r="G35" s="7" t="s">
        <v>3</v>
      </c>
      <c r="H35" s="7">
        <f>ROUND(((+H66+H65+H64+H63+H61+H59+H57)/H61),2)</f>
        <v>3.18</v>
      </c>
      <c r="I35" s="7" t="s">
        <v>3</v>
      </c>
      <c r="J35" s="7">
        <f>ROUND(((+J66+J65+J64+J63+J61+J59+J57)/J61),2)</f>
        <v>3.17</v>
      </c>
      <c r="K35" s="7" t="s">
        <v>3</v>
      </c>
      <c r="L35" s="7">
        <f>ROUND(((+L66+L65+L64+L63+L61+L59+L57)/L61),2)</f>
        <v>3.61</v>
      </c>
      <c r="M35" s="7" t="s">
        <v>3</v>
      </c>
      <c r="N35" s="26">
        <f>AVERAGE(D35,F35,H35,J35,L35)</f>
        <v>3.6719999999999997</v>
      </c>
      <c r="O35" t="s">
        <v>3</v>
      </c>
    </row>
    <row r="36" spans="1:15" x14ac:dyDescent="0.4">
      <c r="B36" t="s">
        <v>21</v>
      </c>
      <c r="D36" s="7">
        <f>ROUND(((+D66+D65+D64+D63+D61)/(D61)),2)</f>
        <v>4.13</v>
      </c>
      <c r="E36" s="7" t="s">
        <v>3</v>
      </c>
      <c r="F36" s="7">
        <f>ROUND(((+F66+F65+F64+F63+F61)/(F61)),2)</f>
        <v>2.79</v>
      </c>
      <c r="G36" s="7" t="s">
        <v>3</v>
      </c>
      <c r="H36" s="7">
        <f>ROUND(((+H66+H65+H64+H63+H61)/(H61)),2)</f>
        <v>2.63</v>
      </c>
      <c r="I36" s="7" t="s">
        <v>3</v>
      </c>
      <c r="J36" s="7">
        <f>ROUND(((+J66+J65+J64+J63+J61)/(J61)),2)</f>
        <v>2.56</v>
      </c>
      <c r="K36" s="7" t="s">
        <v>3</v>
      </c>
      <c r="L36" s="7">
        <f>ROUND(((+L66+L65+L64+L63+L61)/(L61)),2)</f>
        <v>2.2200000000000002</v>
      </c>
      <c r="M36" s="7" t="s">
        <v>3</v>
      </c>
      <c r="N36" s="26">
        <f>AVERAGE(D36,F36,H36,J36,L36)</f>
        <v>2.8660000000000005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4.13</v>
      </c>
      <c r="E37" s="7" t="s">
        <v>3</v>
      </c>
      <c r="F37" s="7">
        <f>ROUND(((+F66+F65+F64+F63+F61)/(F61+F63+F64+F65)),2)</f>
        <v>2.79</v>
      </c>
      <c r="G37" s="7" t="s">
        <v>3</v>
      </c>
      <c r="H37" s="7">
        <f>ROUND(((+H66+H65+H64+H63+H61)/(H61+H63+H64+H65)),2)</f>
        <v>2.63</v>
      </c>
      <c r="I37" s="7" t="s">
        <v>3</v>
      </c>
      <c r="J37" s="7">
        <f>ROUND(((+J66+J65+J64+J63+J61)/(J61+J63+J64+J65)),2)</f>
        <v>2.56</v>
      </c>
      <c r="K37" s="7" t="s">
        <v>3</v>
      </c>
      <c r="L37" s="7">
        <f>ROUND(((+L66+L65+L64+L63+L61)/(L61+L63+L64+L65)),2)</f>
        <v>2.2200000000000002</v>
      </c>
      <c r="M37" s="7" t="s">
        <v>3</v>
      </c>
      <c r="N37" s="26">
        <f>AVERAGE(D37,F37,H37,J37,L37)</f>
        <v>2.8660000000000005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4.9800000000000004</v>
      </c>
      <c r="E40" s="7" t="s">
        <v>3</v>
      </c>
      <c r="F40" s="7">
        <f>ROUND(((+F66+F65+F64+F63-F62+F61+F59+F57)/F61),2)</f>
        <v>3.22</v>
      </c>
      <c r="G40" s="7" t="s">
        <v>3</v>
      </c>
      <c r="H40" s="7">
        <f>ROUND(((+H66+H65+H64+H63-H62+H61+H59+H57)/H61),2)</f>
        <v>3.07</v>
      </c>
      <c r="I40" s="7" t="s">
        <v>3</v>
      </c>
      <c r="J40" s="7">
        <f>ROUND(((+J66+J65+J64+J63-J62+J61+J59+J57)/J61),2)</f>
        <v>3.07</v>
      </c>
      <c r="K40" s="7" t="s">
        <v>3</v>
      </c>
      <c r="L40" s="7">
        <f>ROUND(((+L66+L65+L64+L63-L62+L61+L59+L57)/L61),2)</f>
        <v>3.53</v>
      </c>
      <c r="M40" s="7" t="s">
        <v>3</v>
      </c>
      <c r="N40" s="26">
        <f>AVERAGE(D40,F40,H40,J40,L40)</f>
        <v>3.5740000000000003</v>
      </c>
      <c r="O40" t="s">
        <v>3</v>
      </c>
    </row>
    <row r="41" spans="1:15" x14ac:dyDescent="0.4">
      <c r="B41" t="s">
        <v>21</v>
      </c>
      <c r="D41" s="7">
        <f>ROUND(((+D66+D65+D64+D63-D62+D61)/D61),2)</f>
        <v>4.04</v>
      </c>
      <c r="E41" s="7" t="s">
        <v>3</v>
      </c>
      <c r="F41" s="7">
        <f>ROUND(((+F66+F65+F64+F63-F62+F61)/F61),2)</f>
        <v>2.68</v>
      </c>
      <c r="G41" s="7" t="s">
        <v>3</v>
      </c>
      <c r="H41" s="7">
        <f>ROUND(((+H66+H65+H64+H63-H62+H61)/H61),2)</f>
        <v>2.52</v>
      </c>
      <c r="I41" s="7" t="s">
        <v>3</v>
      </c>
      <c r="J41" s="7">
        <f>ROUND(((+J66+J65+J64+J63-J62+J61)/J61),2)</f>
        <v>2.46</v>
      </c>
      <c r="K41" s="7" t="s">
        <v>3</v>
      </c>
      <c r="L41" s="7">
        <f>ROUND(((+L66+L65+L64+L63-L62+L61)/L61),2)</f>
        <v>2.14</v>
      </c>
      <c r="M41" s="7" t="s">
        <v>3</v>
      </c>
      <c r="N41" s="26">
        <f>AVERAGE(D41,F41,H41,J41,L41)</f>
        <v>2.7679999999999998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4.04</v>
      </c>
      <c r="E42" s="7" t="s">
        <v>3</v>
      </c>
      <c r="F42" s="7">
        <f>ROUND(((+F66+F65+F64+F63-F62+F61)/(F61+F63+F64+F65)),2)</f>
        <v>2.68</v>
      </c>
      <c r="G42" s="7" t="s">
        <v>3</v>
      </c>
      <c r="H42" s="7">
        <f>ROUND(((+H66+H65+H64+H63-H62+H61)/(H61+H63+H64+H65)),2)</f>
        <v>2.52</v>
      </c>
      <c r="I42" s="7" t="s">
        <v>3</v>
      </c>
      <c r="J42" s="7">
        <f>ROUND(((+J66+J65+J64+J63-J62+J61)/(J61+J63+J64+J65)),2)</f>
        <v>2.46</v>
      </c>
      <c r="K42" s="7" t="s">
        <v>3</v>
      </c>
      <c r="L42" s="7">
        <f>ROUND(((+L66+L65+L64+L63-L62+L61)/(L61+L63+L64+L65)),2)</f>
        <v>2.14</v>
      </c>
      <c r="M42" s="7" t="s">
        <v>3</v>
      </c>
      <c r="N42" s="26">
        <f>AVERAGE(D42,F42,H42,J42,L42)</f>
        <v>2.7679999999999998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2.9000000000000001E-2</v>
      </c>
      <c r="E45" s="11"/>
      <c r="F45" s="11">
        <f>ROUND(F62/F66,3)</f>
        <v>6.0999999999999999E-2</v>
      </c>
      <c r="G45" s="11"/>
      <c r="H45" s="11">
        <f>ROUND(H62/H66,3)</f>
        <v>6.6000000000000003E-2</v>
      </c>
      <c r="I45" s="11"/>
      <c r="J45" s="11">
        <f>ROUND(J62/J66,3)</f>
        <v>6.5000000000000002E-2</v>
      </c>
      <c r="K45" s="11"/>
      <c r="L45" s="11">
        <f>ROUND(L62/L66,3)</f>
        <v>6.3E-2</v>
      </c>
      <c r="M45" s="3"/>
      <c r="N45" s="3">
        <f t="shared" ref="N45:N50" si="0">AVERAGE(D45,F45,H45,J45,L45)</f>
        <v>5.6800000000000003E-2</v>
      </c>
    </row>
    <row r="46" spans="1:15" x14ac:dyDescent="0.4">
      <c r="B46" t="s">
        <v>17</v>
      </c>
      <c r="D46" s="17">
        <f>ROUND((D57+D59)/(D57+D59+D66+D63+D64+D65),3)</f>
        <v>0.23</v>
      </c>
      <c r="E46" s="18"/>
      <c r="F46" s="17">
        <f>ROUND((F57+F59)/(F57+F59+F66+F63+F64+F65),3)</f>
        <v>0.23300000000000001</v>
      </c>
      <c r="G46" s="18"/>
      <c r="H46" s="17">
        <f>ROUND((H57+H59)/(H57+H59+H66+H63+H64+H65),3)</f>
        <v>0.255</v>
      </c>
      <c r="I46" s="18"/>
      <c r="J46" s="17">
        <f>ROUND((J57+J59)/(J57+J59+J66+J63+J64+J65),3)</f>
        <v>0.28100000000000003</v>
      </c>
      <c r="K46" s="18"/>
      <c r="L46" s="17">
        <f>ROUND((L57+L59)/(L57+L59+L66+L63+L64+L65),3)</f>
        <v>0.53300000000000003</v>
      </c>
      <c r="N46" s="3">
        <f t="shared" si="0"/>
        <v>0.30640000000000001</v>
      </c>
    </row>
    <row r="47" spans="1:15" ht="17.25" x14ac:dyDescent="0.4">
      <c r="B47" s="33" t="s">
        <v>100</v>
      </c>
      <c r="D47" s="11">
        <f>ROUND(((+D82+D83+D84+D85+D86-D87+D88-D90-D91)/(+D89-D87)),3)</f>
        <v>0.52600000000000002</v>
      </c>
      <c r="E47" s="12"/>
      <c r="F47" s="11">
        <f>ROUND(((+F82+F83+F84+F85+F86-F87+F88-F90-F91)/(+F89-F87)),3)</f>
        <v>0.621</v>
      </c>
      <c r="G47" s="12"/>
      <c r="H47" s="11">
        <f>ROUND(((+H82+H83+H84+H85+H86-H87+H88-H90-H91)/(+H89-H87)),3)</f>
        <v>0.66300000000000003</v>
      </c>
      <c r="I47" s="12"/>
      <c r="J47" s="11">
        <f>ROUND(((+J82+J83+J84+J85+J86-J87+J88-J90-J91)/(+J89-J87)),3)</f>
        <v>0.70599999999999996</v>
      </c>
      <c r="K47" s="12"/>
      <c r="L47" s="11">
        <f>ROUND(((+L82+L83+L84+L85+L86-L87+L88-L90-L91)/(+L89-L87)),3)</f>
        <v>0.78300000000000003</v>
      </c>
      <c r="N47" s="3">
        <f t="shared" si="0"/>
        <v>0.65979999999999994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0.124</v>
      </c>
      <c r="E48" s="12"/>
      <c r="F48" s="11">
        <f>ROUND(((+F82+F83+F84+F85+F86-F87+F88)/(AVERAGE(F76,H76)+AVERAGE(F79,H79)+AVERAGE(F80,H80))),3)</f>
        <v>0.14899999999999999</v>
      </c>
      <c r="G48" s="12"/>
      <c r="H48" s="11">
        <f>ROUND(((+H82+H83+H84+H85+H86-H87+H88)/(AVERAGE(H76,J76)+AVERAGE(H79,J79)+AVERAGE(H80,J80))),3)</f>
        <v>0.16</v>
      </c>
      <c r="I48" s="12"/>
      <c r="J48" s="11">
        <f>ROUND(((+J82+J83+J84+J85+J86-J87+J88)/(AVERAGE(J76,L76)+AVERAGE(J79,L79)+AVERAGE(J80,L80))),3)</f>
        <v>0.17599999999999999</v>
      </c>
      <c r="K48" s="12"/>
      <c r="L48" s="11">
        <f>ROUND(((+L82+L83+L84+L85+L86-L87+L88)/(AVERAGE(L76,N76)+AVERAGE(L79,N79)+AVERAGE(L80,N80))),3)</f>
        <v>0.189</v>
      </c>
      <c r="N48" s="3">
        <f t="shared" si="0"/>
        <v>0.15960000000000002</v>
      </c>
    </row>
    <row r="49" spans="1:15" ht="17.25" x14ac:dyDescent="0.4">
      <c r="B49" s="33" t="s">
        <v>102</v>
      </c>
      <c r="D49" s="27">
        <f>ROUND(((+D82+D83+D84+D85+D86-D87+D88+D92)/D61),2)</f>
        <v>4.33</v>
      </c>
      <c r="E49" t="s">
        <v>3</v>
      </c>
      <c r="F49" s="27">
        <f>ROUND(((+F82+F83+F84+F85+F86-F87+F88+F92)/F61),2)</f>
        <v>4.79</v>
      </c>
      <c r="G49" t="s">
        <v>3</v>
      </c>
      <c r="H49" s="27">
        <f>ROUND(((+H82+H83+H84+H85+H86-H87+H88+H92)/H61),2)</f>
        <v>4.8</v>
      </c>
      <c r="I49" t="s">
        <v>3</v>
      </c>
      <c r="J49" s="27">
        <f>ROUND(((+J82+J83+J84+J85+J86-J87+J88+J92)/J61),2)</f>
        <v>4.88</v>
      </c>
      <c r="K49" t="s">
        <v>3</v>
      </c>
      <c r="L49" s="27">
        <f>ROUND(((+L82+L83+L84+L85+L86-L87+L88+L92)/L61),2)</f>
        <v>5</v>
      </c>
      <c r="M49" t="s">
        <v>3</v>
      </c>
      <c r="N49" s="27">
        <f t="shared" si="0"/>
        <v>4.76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3.17</v>
      </c>
      <c r="E50" t="s">
        <v>3</v>
      </c>
      <c r="F50" s="27">
        <f>ROUND(((+F82+F83+F84+F85+F86-F87+F88-F91)/+F90),2)</f>
        <v>3.91</v>
      </c>
      <c r="G50" t="s">
        <v>3</v>
      </c>
      <c r="H50" s="27">
        <f>ROUND(((+H82+H83+H84+H85+H86-H87+H88-H91)/+H90),2)</f>
        <v>4.0999999999999996</v>
      </c>
      <c r="I50" t="s">
        <v>3</v>
      </c>
      <c r="J50" s="27">
        <f>ROUND(((+J82+J83+J84+J85+J86-J87+J88-J91)/+J90),2)</f>
        <v>4.51</v>
      </c>
      <c r="K50" t="s">
        <v>3</v>
      </c>
      <c r="L50" s="27">
        <f>ROUND(((+L82+L83+L84+L85+L86-L87+L88-L91)/+L90),2)</f>
        <v>4.8899999999999997</v>
      </c>
      <c r="M50" t="s">
        <v>3</v>
      </c>
      <c r="N50" s="27">
        <f t="shared" si="0"/>
        <v>4.1159999999999997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116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3930</v>
      </c>
      <c r="E56" s="22"/>
      <c r="F56" s="22">
        <v>3777</v>
      </c>
      <c r="G56" s="22"/>
      <c r="H56" s="22">
        <v>3610</v>
      </c>
      <c r="I56" s="22"/>
      <c r="J56" s="22">
        <v>3440</v>
      </c>
      <c r="K56" s="22"/>
      <c r="L56" s="22">
        <v>3357</v>
      </c>
      <c r="M56" s="22"/>
      <c r="N56" s="22">
        <v>3302</v>
      </c>
    </row>
    <row r="57" spans="1:15" x14ac:dyDescent="0.4">
      <c r="A57" s="20" t="s">
        <v>23</v>
      </c>
      <c r="B57" s="20"/>
      <c r="C57" s="20"/>
      <c r="D57" s="22">
        <v>377</v>
      </c>
      <c r="E57" s="22"/>
      <c r="F57" s="22">
        <v>215</v>
      </c>
      <c r="G57" s="22"/>
      <c r="H57" s="22">
        <v>212</v>
      </c>
      <c r="I57" s="22"/>
      <c r="J57" s="22">
        <v>222</v>
      </c>
      <c r="K57" s="22"/>
      <c r="L57" s="22">
        <v>486</v>
      </c>
      <c r="M57" s="22"/>
      <c r="N57" s="22">
        <v>302</v>
      </c>
    </row>
    <row r="58" spans="1:15" x14ac:dyDescent="0.4">
      <c r="A58" s="20" t="s">
        <v>24</v>
      </c>
      <c r="B58" s="20"/>
      <c r="C58" s="20"/>
      <c r="D58" s="22">
        <f>2734+D57</f>
        <v>3111</v>
      </c>
      <c r="E58" s="22"/>
      <c r="F58" s="22">
        <f>2529+F57</f>
        <v>2744</v>
      </c>
      <c r="G58" s="22"/>
      <c r="H58" s="22">
        <f>2440+H57</f>
        <v>2652</v>
      </c>
      <c r="I58" s="22"/>
      <c r="J58" s="22">
        <v>2523</v>
      </c>
      <c r="K58" s="22"/>
      <c r="L58" s="22">
        <v>2621</v>
      </c>
      <c r="M58" s="22"/>
      <c r="N58" s="22">
        <v>2459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1196-D57+4+78+747+18</f>
        <v>1666</v>
      </c>
      <c r="E60" s="22"/>
      <c r="F60" s="22">
        <f>1248-F57+2+49+22</f>
        <v>1106</v>
      </c>
      <c r="G60" s="22"/>
      <c r="H60" s="22">
        <f>1170-H57+16-4+33</f>
        <v>1003</v>
      </c>
      <c r="I60" s="22"/>
      <c r="J60" s="22">
        <v>915</v>
      </c>
      <c r="K60" s="22"/>
      <c r="L60" s="22">
        <v>768</v>
      </c>
      <c r="M60" s="22"/>
      <c r="N60" s="22">
        <v>793</v>
      </c>
    </row>
    <row r="61" spans="1:15" x14ac:dyDescent="0.4">
      <c r="A61" s="20" t="s">
        <v>27</v>
      </c>
      <c r="B61" s="20"/>
      <c r="C61" s="20"/>
      <c r="D61" s="22">
        <v>403</v>
      </c>
      <c r="E61" s="22"/>
      <c r="F61" s="22">
        <v>397</v>
      </c>
      <c r="G61" s="22"/>
      <c r="H61" s="22">
        <v>382</v>
      </c>
      <c r="I61" s="22"/>
      <c r="J61" s="22">
        <v>363</v>
      </c>
      <c r="K61" s="22"/>
      <c r="L61" s="22">
        <v>350</v>
      </c>
      <c r="M61" s="22"/>
      <c r="N61" s="22">
        <v>331</v>
      </c>
    </row>
    <row r="62" spans="1:15" x14ac:dyDescent="0.4">
      <c r="A62" s="20" t="s">
        <v>28</v>
      </c>
      <c r="B62" s="20"/>
      <c r="C62" s="20"/>
      <c r="D62" s="22">
        <f>27+10</f>
        <v>37</v>
      </c>
      <c r="E62" s="22"/>
      <c r="F62" s="22">
        <f>30+13</f>
        <v>43</v>
      </c>
      <c r="G62" s="22"/>
      <c r="H62" s="22">
        <f>28+13</f>
        <v>41</v>
      </c>
      <c r="I62" s="22"/>
      <c r="J62" s="22">
        <v>37</v>
      </c>
      <c r="K62" s="22"/>
      <c r="L62" s="22">
        <v>27</v>
      </c>
      <c r="M62" s="22"/>
      <c r="N62" s="22">
        <v>21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1263</v>
      </c>
      <c r="E66" s="22"/>
      <c r="F66" s="22">
        <v>709</v>
      </c>
      <c r="G66" s="22"/>
      <c r="H66" s="22">
        <v>621</v>
      </c>
      <c r="I66" s="22"/>
      <c r="J66" s="22">
        <v>567</v>
      </c>
      <c r="K66" s="22"/>
      <c r="L66" s="22">
        <v>426</v>
      </c>
      <c r="M66" s="22"/>
      <c r="N66" s="22">
        <v>468</v>
      </c>
    </row>
    <row r="67" spans="1:14" x14ac:dyDescent="0.4">
      <c r="A67" s="20" t="s">
        <v>33</v>
      </c>
      <c r="B67" s="20"/>
      <c r="C67" s="20"/>
      <c r="D67" s="22">
        <v>6.96</v>
      </c>
      <c r="E67" s="22"/>
      <c r="F67" s="22">
        <v>3.91</v>
      </c>
      <c r="G67" s="22"/>
      <c r="H67" s="22">
        <v>3.44</v>
      </c>
      <c r="I67" s="22"/>
      <c r="J67" s="22">
        <v>3.16</v>
      </c>
      <c r="K67" s="22"/>
      <c r="L67" s="22">
        <v>2.39</v>
      </c>
      <c r="M67" s="22"/>
      <c r="N67" s="22">
        <v>2.63</v>
      </c>
    </row>
    <row r="68" spans="1:14" x14ac:dyDescent="0.4">
      <c r="A68" s="20" t="s">
        <v>34</v>
      </c>
      <c r="B68" s="20"/>
      <c r="C68" s="20"/>
      <c r="D68" s="22">
        <v>7298</v>
      </c>
      <c r="E68" s="22"/>
      <c r="F68" s="22">
        <v>6454</v>
      </c>
      <c r="G68" s="22"/>
      <c r="H68" s="22">
        <v>6121</v>
      </c>
      <c r="I68" s="22"/>
      <c r="J68" s="22">
        <v>5864</v>
      </c>
      <c r="K68" s="22"/>
      <c r="L68" s="22">
        <v>5385</v>
      </c>
      <c r="M68" s="22"/>
      <c r="N68" s="22">
        <v>5218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3</v>
      </c>
      <c r="E71" s="22"/>
      <c r="F71" s="22">
        <v>4</v>
      </c>
      <c r="G71" s="22"/>
      <c r="H71" s="22">
        <v>5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10341</v>
      </c>
      <c r="E76" s="22"/>
      <c r="F76" s="22">
        <v>9329</v>
      </c>
      <c r="G76" s="22"/>
      <c r="H76" s="22">
        <v>8639</v>
      </c>
      <c r="I76" s="22"/>
      <c r="J76" s="22">
        <v>7576</v>
      </c>
      <c r="K76" s="22"/>
      <c r="L76" s="22">
        <v>6498</v>
      </c>
      <c r="M76" s="22"/>
      <c r="N76" s="22">
        <v>5759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17642</v>
      </c>
      <c r="E78" s="22"/>
      <c r="F78" s="22">
        <f>SUM(F68:F77)</f>
        <v>15787</v>
      </c>
      <c r="G78" s="22"/>
      <c r="H78" s="22">
        <v>14765</v>
      </c>
      <c r="I78" s="22"/>
      <c r="J78" s="22">
        <v>13440</v>
      </c>
      <c r="K78" s="22"/>
      <c r="L78" s="22">
        <v>11883</v>
      </c>
      <c r="M78" s="22"/>
      <c r="N78" s="22">
        <v>10977</v>
      </c>
    </row>
    <row r="79" spans="1:14" x14ac:dyDescent="0.4">
      <c r="A79" s="20" t="s">
        <v>45</v>
      </c>
      <c r="B79" s="20"/>
      <c r="C79" s="20"/>
      <c r="D79" s="22">
        <v>57</v>
      </c>
      <c r="E79" s="22"/>
      <c r="F79" s="22">
        <v>329</v>
      </c>
      <c r="G79" s="22"/>
      <c r="H79" s="22">
        <v>28</v>
      </c>
      <c r="I79" s="22"/>
      <c r="J79" s="22">
        <v>71</v>
      </c>
      <c r="K79" s="22"/>
      <c r="L79" s="22">
        <v>322</v>
      </c>
      <c r="M79" s="22"/>
      <c r="N79" s="22">
        <v>574</v>
      </c>
    </row>
    <row r="80" spans="1:14" x14ac:dyDescent="0.4">
      <c r="A80" s="20" t="s">
        <v>46</v>
      </c>
      <c r="B80" s="20"/>
      <c r="C80" s="20"/>
      <c r="D80" s="22">
        <v>584</v>
      </c>
      <c r="E80" s="22"/>
      <c r="F80" s="22">
        <v>1282</v>
      </c>
      <c r="G80" s="22"/>
      <c r="H80" s="22">
        <v>786</v>
      </c>
      <c r="I80" s="22"/>
      <c r="J80" s="22">
        <v>964</v>
      </c>
      <c r="K80" s="22"/>
      <c r="L80" s="22">
        <v>905</v>
      </c>
      <c r="M80" s="22"/>
      <c r="N80" s="22">
        <v>849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1263</v>
      </c>
      <c r="E82" s="22"/>
      <c r="F82" s="22">
        <v>709</v>
      </c>
      <c r="G82" s="22"/>
      <c r="H82" s="22">
        <v>621</v>
      </c>
      <c r="I82" s="22"/>
      <c r="J82" s="22">
        <v>565</v>
      </c>
      <c r="K82" s="22"/>
      <c r="L82" s="22">
        <v>426</v>
      </c>
      <c r="M82" s="22"/>
      <c r="N82" s="22">
        <v>468</v>
      </c>
    </row>
    <row r="83" spans="1:14" x14ac:dyDescent="0.4">
      <c r="A83" s="20" t="s">
        <v>49</v>
      </c>
      <c r="B83" s="20"/>
      <c r="C83" s="20"/>
      <c r="D83" s="22">
        <v>636</v>
      </c>
      <c r="E83" s="22"/>
      <c r="F83" s="22">
        <v>604</v>
      </c>
      <c r="G83" s="22"/>
      <c r="H83" s="22">
        <v>582</v>
      </c>
      <c r="I83" s="22"/>
      <c r="J83" s="22">
        <v>545</v>
      </c>
      <c r="K83" s="22"/>
      <c r="L83" s="22">
        <v>492</v>
      </c>
      <c r="M83" s="22"/>
      <c r="N83" s="22">
        <v>470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230</v>
      </c>
      <c r="E85" s="22"/>
      <c r="F85" s="22">
        <v>207</v>
      </c>
      <c r="G85" s="22"/>
      <c r="H85" s="22">
        <v>208</v>
      </c>
      <c r="I85" s="22"/>
      <c r="J85" s="22">
        <v>196</v>
      </c>
      <c r="K85" s="22"/>
      <c r="L85" s="22">
        <v>463</v>
      </c>
      <c r="M85" s="22"/>
      <c r="N85" s="22">
        <v>283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-1</v>
      </c>
      <c r="K86" s="22"/>
      <c r="L86" s="22">
        <v>-1</v>
      </c>
      <c r="M86" s="22"/>
      <c r="N86" s="22">
        <v>-1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37-747-41-23</f>
        <v>-774</v>
      </c>
      <c r="E88" s="22"/>
      <c r="F88" s="22">
        <f>34-14-20</f>
        <v>0</v>
      </c>
      <c r="G88" s="22"/>
      <c r="H88" s="22">
        <f>28+34+17-41</f>
        <v>38</v>
      </c>
      <c r="I88" s="22"/>
      <c r="J88" s="22">
        <v>133</v>
      </c>
      <c r="K88" s="22"/>
      <c r="L88" s="22">
        <v>32</v>
      </c>
      <c r="M88" s="22"/>
      <c r="N88" s="22">
        <v>45</v>
      </c>
    </row>
    <row r="89" spans="1:14" x14ac:dyDescent="0.4">
      <c r="A89" s="20" t="s">
        <v>54</v>
      </c>
      <c r="B89" s="20"/>
      <c r="C89" s="20"/>
      <c r="D89" s="22">
        <v>1764</v>
      </c>
      <c r="E89" s="22"/>
      <c r="F89" s="22">
        <v>1822</v>
      </c>
      <c r="G89" s="22"/>
      <c r="H89" s="22">
        <v>1654</v>
      </c>
      <c r="I89" s="22"/>
      <c r="J89" s="22">
        <v>1586</v>
      </c>
      <c r="K89" s="22"/>
      <c r="L89" s="22">
        <v>1434</v>
      </c>
      <c r="M89" s="22"/>
      <c r="N89" s="22">
        <v>1311</v>
      </c>
    </row>
    <row r="90" spans="1:14" x14ac:dyDescent="0.4">
      <c r="A90" s="20" t="s">
        <v>55</v>
      </c>
      <c r="B90" s="20"/>
      <c r="C90" s="20"/>
      <c r="D90" s="22">
        <v>428</v>
      </c>
      <c r="E90" s="22"/>
      <c r="F90" s="22">
        <v>389</v>
      </c>
      <c r="G90" s="22"/>
      <c r="H90" s="22">
        <v>353</v>
      </c>
      <c r="I90" s="22"/>
      <c r="J90" s="22">
        <v>319</v>
      </c>
      <c r="K90" s="22"/>
      <c r="L90" s="22">
        <v>289</v>
      </c>
      <c r="M90" s="22"/>
      <c r="N90" s="22">
        <v>261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389</v>
      </c>
      <c r="E92" s="22"/>
      <c r="F92" s="22">
        <v>382</v>
      </c>
      <c r="G92" s="22"/>
      <c r="H92" s="22">
        <v>383</v>
      </c>
      <c r="I92" s="22"/>
      <c r="J92" s="22">
        <v>332</v>
      </c>
      <c r="K92" s="22"/>
      <c r="L92" s="22">
        <v>338</v>
      </c>
      <c r="M92" s="22"/>
      <c r="N92" s="22">
        <v>327</v>
      </c>
    </row>
    <row r="93" spans="1:14" x14ac:dyDescent="0.4">
      <c r="A93" s="20" t="s">
        <v>58</v>
      </c>
      <c r="B93" s="20"/>
      <c r="C93" s="20"/>
      <c r="D93" s="22">
        <v>1</v>
      </c>
      <c r="E93" s="22"/>
      <c r="F93" s="22">
        <v>7</v>
      </c>
      <c r="G93" s="22"/>
      <c r="H93" s="22">
        <v>12</v>
      </c>
      <c r="I93" s="22"/>
      <c r="J93" s="22">
        <v>38</v>
      </c>
      <c r="K93" s="22"/>
      <c r="L93" s="22">
        <v>30</v>
      </c>
      <c r="M93" s="22"/>
      <c r="N93" s="22">
        <v>16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440</v>
      </c>
      <c r="E96" s="22"/>
      <c r="F96" s="22">
        <v>400</v>
      </c>
      <c r="G96" s="22"/>
      <c r="H96" s="22">
        <v>362</v>
      </c>
      <c r="I96" s="22"/>
      <c r="J96" s="22">
        <v>327</v>
      </c>
      <c r="K96" s="22"/>
      <c r="L96" s="22">
        <v>297</v>
      </c>
      <c r="M96" s="22"/>
      <c r="N96" s="22">
        <v>267</v>
      </c>
    </row>
    <row r="97" spans="1:14" x14ac:dyDescent="0.4">
      <c r="A97" s="20" t="s">
        <v>60</v>
      </c>
      <c r="B97" s="20"/>
      <c r="C97" s="20"/>
      <c r="D97" s="22">
        <v>2.41</v>
      </c>
      <c r="E97" s="22"/>
      <c r="F97" s="22">
        <v>2.2000000000000002</v>
      </c>
      <c r="G97" s="22"/>
      <c r="H97" s="22">
        <v>2</v>
      </c>
      <c r="I97" s="22"/>
      <c r="J97" s="22">
        <v>1.78</v>
      </c>
      <c r="K97" s="22"/>
      <c r="L97" s="22">
        <v>1.62</v>
      </c>
      <c r="M97" s="22"/>
      <c r="N97" s="22">
        <v>1.4650000000000001</v>
      </c>
    </row>
    <row r="98" spans="1:14" x14ac:dyDescent="0.4">
      <c r="A98" s="20" t="s">
        <v>61</v>
      </c>
      <c r="B98" s="20"/>
      <c r="C98" s="20"/>
      <c r="D98" s="22">
        <v>2.41</v>
      </c>
      <c r="E98" s="22"/>
      <c r="F98" s="22">
        <v>2.2000000000000002</v>
      </c>
      <c r="G98" s="22"/>
      <c r="H98" s="22">
        <v>2</v>
      </c>
      <c r="I98" s="22"/>
      <c r="J98" s="22">
        <v>1.78</v>
      </c>
      <c r="K98" s="22"/>
      <c r="L98" s="22">
        <v>1.62</v>
      </c>
      <c r="M98" s="22"/>
      <c r="N98" s="22">
        <v>1.4650000000000001</v>
      </c>
    </row>
    <row r="99" spans="1:14" x14ac:dyDescent="0.4">
      <c r="A99" s="20" t="s">
        <v>62</v>
      </c>
      <c r="B99" s="20"/>
      <c r="C99" s="20"/>
      <c r="D99" s="22">
        <v>189.65</v>
      </c>
      <c r="E99" s="22"/>
      <c r="F99" s="22">
        <v>172.56</v>
      </c>
      <c r="G99" s="22"/>
      <c r="H99" s="22">
        <v>129.88999899999999</v>
      </c>
      <c r="I99" s="22"/>
      <c r="J99" s="22">
        <v>98.18</v>
      </c>
      <c r="K99" s="22"/>
      <c r="L99" s="22">
        <v>92.37</v>
      </c>
      <c r="M99" s="22"/>
      <c r="N99" s="22">
        <v>85.24</v>
      </c>
    </row>
    <row r="100" spans="1:14" x14ac:dyDescent="0.4">
      <c r="A100" s="20" t="s">
        <v>63</v>
      </c>
      <c r="B100" s="20"/>
      <c r="C100" s="20"/>
      <c r="D100" s="22">
        <v>131.01</v>
      </c>
      <c r="E100" s="22"/>
      <c r="F100" s="22">
        <v>92</v>
      </c>
      <c r="G100" s="22"/>
      <c r="H100" s="22">
        <v>88</v>
      </c>
      <c r="I100" s="22"/>
      <c r="J100" s="22">
        <v>76.040000000000006</v>
      </c>
      <c r="K100" s="22"/>
      <c r="L100" s="22">
        <v>69.959999999999994</v>
      </c>
      <c r="M100" s="22"/>
      <c r="N100" s="22">
        <v>58.9</v>
      </c>
    </row>
    <row r="101" spans="1:14" x14ac:dyDescent="0.4">
      <c r="A101" s="20" t="s">
        <v>64</v>
      </c>
      <c r="B101" s="20"/>
      <c r="C101" s="20"/>
      <c r="D101" s="22">
        <v>188.86</v>
      </c>
      <c r="E101" s="22"/>
      <c r="F101" s="22">
        <v>153.47</v>
      </c>
      <c r="G101" s="22"/>
      <c r="H101" s="22">
        <v>122.849998</v>
      </c>
      <c r="I101" s="22"/>
      <c r="J101" s="22">
        <v>90.77</v>
      </c>
      <c r="K101" s="22"/>
      <c r="L101" s="22">
        <v>91.49</v>
      </c>
      <c r="M101" s="22"/>
      <c r="N101" s="22">
        <v>72.36</v>
      </c>
    </row>
    <row r="102" spans="1:14" x14ac:dyDescent="0.4">
      <c r="A102" s="20" t="s">
        <v>65</v>
      </c>
      <c r="B102" s="20"/>
      <c r="C102" s="20"/>
      <c r="D102" s="22">
        <f>186.880413-5.269324</f>
        <v>181.61108899999999</v>
      </c>
      <c r="E102" s="22"/>
      <c r="F102" s="22">
        <f>186.466707-5.168215</f>
        <v>181.29849200000001</v>
      </c>
      <c r="G102" s="22"/>
      <c r="H102" s="22">
        <f>185.903727-5.090855</f>
        <v>180.812872</v>
      </c>
      <c r="I102" s="22"/>
      <c r="J102" s="22">
        <v>180.684</v>
      </c>
      <c r="K102" s="22"/>
      <c r="L102" s="22">
        <v>178.44499999999999</v>
      </c>
      <c r="M102" s="22"/>
      <c r="N102" s="22">
        <v>178.09700000000001</v>
      </c>
    </row>
    <row r="103" spans="1:14" x14ac:dyDescent="0.4">
      <c r="A103" s="20" t="s">
        <v>91</v>
      </c>
      <c r="B103" s="20"/>
      <c r="C103" s="20"/>
      <c r="D103" s="22">
        <v>-45</v>
      </c>
      <c r="E103" s="22"/>
      <c r="F103" s="22">
        <v>-49</v>
      </c>
      <c r="G103" s="22"/>
      <c r="H103" s="22">
        <v>-36</v>
      </c>
      <c r="I103" s="22"/>
      <c r="J103" s="22">
        <v>-34</v>
      </c>
      <c r="K103" s="22"/>
      <c r="L103" s="22">
        <v>-79</v>
      </c>
      <c r="M103" s="22"/>
      <c r="N103" s="22">
        <v>-86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6.96</v>
      </c>
      <c r="F105" s="15">
        <f>F67/F94</f>
        <v>3.91</v>
      </c>
      <c r="H105" s="15">
        <f>H67/H94</f>
        <v>3.44</v>
      </c>
      <c r="J105" s="15">
        <f>J67/J94</f>
        <v>3.16</v>
      </c>
      <c r="L105" s="15">
        <f>L67/L94</f>
        <v>2.39</v>
      </c>
      <c r="N105" s="15">
        <f>N67/N94</f>
        <v>2.63</v>
      </c>
    </row>
    <row r="106" spans="1:14" x14ac:dyDescent="0.4">
      <c r="B106" t="s">
        <v>60</v>
      </c>
      <c r="D106" s="15">
        <f>D97/D94</f>
        <v>2.41</v>
      </c>
      <c r="F106" s="15">
        <f>F97/F94</f>
        <v>2.2000000000000002</v>
      </c>
      <c r="H106" s="15">
        <f>H97/H94</f>
        <v>2</v>
      </c>
      <c r="J106" s="15">
        <f>J97/J94</f>
        <v>1.78</v>
      </c>
      <c r="L106" s="15">
        <f>L97/L94</f>
        <v>1.62</v>
      </c>
      <c r="N106" s="15">
        <f>N97/N94</f>
        <v>1.4650000000000001</v>
      </c>
    </row>
    <row r="107" spans="1:14" x14ac:dyDescent="0.4">
      <c r="B107" t="s">
        <v>61</v>
      </c>
      <c r="D107" s="15">
        <f>D98/D94</f>
        <v>2.41</v>
      </c>
      <c r="F107" s="15">
        <f>F98/F94</f>
        <v>2.2000000000000002</v>
      </c>
      <c r="H107" s="15">
        <f>H98/H94</f>
        <v>2</v>
      </c>
      <c r="J107" s="15">
        <f>J98/J94</f>
        <v>1.78</v>
      </c>
      <c r="L107" s="15">
        <f>L98/L94</f>
        <v>1.62</v>
      </c>
      <c r="N107" s="15">
        <f>N98/N94</f>
        <v>1.4650000000000001</v>
      </c>
    </row>
    <row r="108" spans="1:14" x14ac:dyDescent="0.4">
      <c r="B108" t="s">
        <v>62</v>
      </c>
      <c r="D108" s="15">
        <f>D99/D94</f>
        <v>189.65</v>
      </c>
      <c r="F108" s="15">
        <f>F99/F94</f>
        <v>172.56</v>
      </c>
      <c r="H108" s="15">
        <f>H99/H94</f>
        <v>129.88999899999999</v>
      </c>
      <c r="J108" s="15">
        <f>J99/J94</f>
        <v>98.18</v>
      </c>
      <c r="L108" s="15">
        <f>L99/L94</f>
        <v>92.37</v>
      </c>
      <c r="N108" s="15">
        <f>N99/N94</f>
        <v>85.24</v>
      </c>
    </row>
    <row r="109" spans="1:14" x14ac:dyDescent="0.4">
      <c r="B109" t="s">
        <v>63</v>
      </c>
      <c r="D109" s="15">
        <f>D100/D94</f>
        <v>131.01</v>
      </c>
      <c r="F109" s="15">
        <f>F100/F94</f>
        <v>92</v>
      </c>
      <c r="H109" s="15">
        <f>H100/H94</f>
        <v>88</v>
      </c>
      <c r="J109" s="15">
        <f>J100/J94</f>
        <v>76.040000000000006</v>
      </c>
      <c r="L109" s="15">
        <f>L100/L94</f>
        <v>69.959999999999994</v>
      </c>
      <c r="N109" s="15">
        <f>N100/N94</f>
        <v>58.9</v>
      </c>
    </row>
    <row r="110" spans="1:14" x14ac:dyDescent="0.4">
      <c r="B110" t="s">
        <v>64</v>
      </c>
      <c r="D110" s="15">
        <f>D101/D94</f>
        <v>188.86</v>
      </c>
      <c r="F110" s="15">
        <f>F101/F94</f>
        <v>153.47</v>
      </c>
      <c r="H110" s="15">
        <f>H101/H94</f>
        <v>122.849998</v>
      </c>
      <c r="J110" s="15">
        <f>J101/J94</f>
        <v>90.77</v>
      </c>
      <c r="L110" s="15">
        <f>L101/L94</f>
        <v>91.49</v>
      </c>
      <c r="N110" s="15">
        <f>N101/N94</f>
        <v>72.36</v>
      </c>
    </row>
    <row r="111" spans="1:14" x14ac:dyDescent="0.4">
      <c r="B111" t="s">
        <v>65</v>
      </c>
      <c r="D111" s="16">
        <f>D102*D94</f>
        <v>181.61108899999999</v>
      </c>
      <c r="E111" s="16"/>
      <c r="F111" s="16">
        <f>F102*F94</f>
        <v>181.29849200000001</v>
      </c>
      <c r="G111" s="16"/>
      <c r="H111" s="16">
        <f>H102*H94</f>
        <v>180.812872</v>
      </c>
      <c r="I111" s="16"/>
      <c r="J111" s="16">
        <f>J102*J94</f>
        <v>180.684</v>
      </c>
      <c r="K111" s="16"/>
      <c r="L111" s="16">
        <f>L102*L94</f>
        <v>178.44499999999999</v>
      </c>
      <c r="M111" s="16"/>
      <c r="N111" s="16">
        <f>N102*N94</f>
        <v>178.09700000000001</v>
      </c>
    </row>
    <row r="112" spans="1:14" x14ac:dyDescent="0.4">
      <c r="B112" t="s">
        <v>66</v>
      </c>
      <c r="D112" s="15">
        <f>ROUND(D68/D111,2)</f>
        <v>40.18</v>
      </c>
      <c r="F112" s="15">
        <f>ROUND(F68/F111,2)</f>
        <v>35.6</v>
      </c>
      <c r="H112" s="15">
        <f>ROUND(H68/H111,2)</f>
        <v>33.85</v>
      </c>
      <c r="J112" s="15">
        <f>ROUND(J68/J111,2)</f>
        <v>32.450000000000003</v>
      </c>
      <c r="L112" s="15">
        <f>ROUND(L68/L111,2)</f>
        <v>30.18</v>
      </c>
      <c r="N112" s="15">
        <f>ROUND(N68/N111,2)</f>
        <v>29.3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CENTERPOINT ENERGY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25575</v>
      </c>
      <c r="F8" s="34">
        <f>F78+F79+F81-F103</f>
        <v>21854</v>
      </c>
      <c r="H8" s="34">
        <f>H78+H79+H81-H103</f>
        <v>23569</v>
      </c>
      <c r="J8" s="34">
        <f>J78+J79+J81-J103</f>
        <v>17330</v>
      </c>
      <c r="L8" s="34">
        <f>L78+L79+L81-L103</f>
        <v>13557</v>
      </c>
    </row>
    <row r="9" spans="1:15" x14ac:dyDescent="0.4">
      <c r="B9" t="s">
        <v>5</v>
      </c>
      <c r="D9" s="9">
        <f>D80</f>
        <v>7</v>
      </c>
      <c r="F9" s="9">
        <f>F80</f>
        <v>24</v>
      </c>
      <c r="H9" s="9">
        <f>H80</f>
        <v>0</v>
      </c>
      <c r="J9" s="9">
        <f>J80</f>
        <v>0</v>
      </c>
      <c r="L9" s="9">
        <f>L80</f>
        <v>39</v>
      </c>
    </row>
    <row r="10" spans="1:15" ht="15.4" thickBot="1" x14ac:dyDescent="0.45">
      <c r="B10" t="s">
        <v>7</v>
      </c>
      <c r="D10" s="10">
        <f>D8+D9</f>
        <v>25582</v>
      </c>
      <c r="F10" s="10">
        <f>F8+F9</f>
        <v>21878</v>
      </c>
      <c r="H10" s="10">
        <f>H8+H9</f>
        <v>23569</v>
      </c>
      <c r="J10" s="10">
        <f>J8+J9</f>
        <v>17330</v>
      </c>
      <c r="L10" s="10">
        <f>L8+L9</f>
        <v>13596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25</v>
      </c>
      <c r="E13" s="7" t="s">
        <v>3</v>
      </c>
      <c r="F13" s="30"/>
      <c r="G13" s="7" t="s">
        <v>3</v>
      </c>
      <c r="H13" s="30">
        <f>ROUND(AVERAGE(H108:H109)/H105,0)</f>
        <v>21</v>
      </c>
      <c r="I13" s="7" t="s">
        <v>3</v>
      </c>
      <c r="J13" s="30">
        <f>ROUND(AVERAGE(J108:J109)/J105,0)</f>
        <v>37</v>
      </c>
      <c r="K13" s="7" t="s">
        <v>3</v>
      </c>
      <c r="L13" s="30">
        <f>ROUND(AVERAGE(L108:L109)/L105,0)</f>
        <v>7</v>
      </c>
      <c r="M13" s="7" t="s">
        <v>3</v>
      </c>
      <c r="N13" s="30">
        <f>AVERAGE(D13,F13,H13,J13,L13)</f>
        <v>22.5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1.9410000000000001</v>
      </c>
      <c r="E14" s="3"/>
      <c r="F14" s="3">
        <f>ROUND(AVERAGE(F108:F109)/AVERAGE(F112,H112),3)</f>
        <v>1.627</v>
      </c>
      <c r="G14" s="3"/>
      <c r="H14" s="3">
        <f>ROUND(AVERAGE(H108:H109)/AVERAGE(H112,J112),3)</f>
        <v>2.1589999999999998</v>
      </c>
      <c r="I14" s="3"/>
      <c r="J14" s="3">
        <f>ROUND(AVERAGE(J108:J109)/AVERAGE(J112,L112),3)</f>
        <v>2.3170000000000002</v>
      </c>
      <c r="K14" s="3"/>
      <c r="L14" s="3">
        <f>ROUND(AVERAGE(L108:L109)/AVERAGE(L112,N112),3)</f>
        <v>2.903</v>
      </c>
      <c r="M14" s="3"/>
      <c r="N14" s="3">
        <f>AVERAGE(D14,F14,H14,J14,L14)</f>
        <v>2.1894</v>
      </c>
    </row>
    <row r="15" spans="1:15" x14ac:dyDescent="0.4">
      <c r="B15" t="s">
        <v>9</v>
      </c>
      <c r="D15" s="3">
        <f>ROUND(D106/AVERAGE(D108:D109),3)</f>
        <v>2.7E-2</v>
      </c>
      <c r="E15" s="3"/>
      <c r="F15" s="3">
        <f>ROUND(F106/AVERAGE(F108:F109),3)</f>
        <v>3.7999999999999999E-2</v>
      </c>
      <c r="G15" s="3"/>
      <c r="H15" s="3">
        <f>ROUND(H106/AVERAGE(H108:H109),3)</f>
        <v>4.1000000000000002E-2</v>
      </c>
      <c r="I15" s="3"/>
      <c r="J15" s="3">
        <f>ROUND(J106/AVERAGE(J108:J109),3)</f>
        <v>4.1000000000000002E-2</v>
      </c>
      <c r="K15" s="3"/>
      <c r="L15" s="3">
        <f>ROUND(L106/AVERAGE(L108:L109),3)</f>
        <v>3.9E-2</v>
      </c>
      <c r="M15" s="3"/>
      <c r="N15" s="3">
        <f>AVERAGE(D15,F15,H15,J15,L15)</f>
        <v>3.7200000000000004E-2</v>
      </c>
    </row>
    <row r="16" spans="1:15" x14ac:dyDescent="0.4">
      <c r="B16" t="s">
        <v>10</v>
      </c>
      <c r="D16" s="3">
        <f>ROUND(D96/D66,3)</f>
        <v>0.70499999999999996</v>
      </c>
      <c r="E16" s="3"/>
      <c r="F16" s="3"/>
      <c r="G16" s="3"/>
      <c r="H16" s="3">
        <f>ROUND(H96/H66,3)</f>
        <v>0.64200000000000002</v>
      </c>
      <c r="I16" s="3"/>
      <c r="J16" s="3">
        <f>ROUND(J96/J66,3)</f>
        <v>1.571</v>
      </c>
      <c r="K16" s="3"/>
      <c r="L16" s="3">
        <f>ROUND(L96/L66,3)</f>
        <v>0.32400000000000001</v>
      </c>
      <c r="M16" s="3"/>
      <c r="N16" s="3">
        <f>AVERAGE(D16,F16,H16,J16,L16)</f>
        <v>0.8105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0.629</v>
      </c>
      <c r="E20" s="3"/>
      <c r="F20" s="3">
        <f>ROUND((+F76+F79)/F8,3)</f>
        <v>0.61399999999999999</v>
      </c>
      <c r="G20" s="3"/>
      <c r="H20" s="3">
        <f>ROUND((+H76+H79)/H8,3)</f>
        <v>0.64100000000000001</v>
      </c>
      <c r="I20" s="3"/>
      <c r="J20" s="3">
        <f>ROUND((+J76+J79)/J8,3)</f>
        <v>0.52900000000000003</v>
      </c>
      <c r="K20" s="3"/>
      <c r="L20" s="3">
        <f>ROUND((+L76+L79)/L8,3)</f>
        <v>0.64900000000000002</v>
      </c>
      <c r="M20" s="3"/>
      <c r="N20" s="3">
        <f>AVERAGE(D20,F20,H20,J20,L20)</f>
        <v>0.61239999999999994</v>
      </c>
    </row>
    <row r="21" spans="1:14" x14ac:dyDescent="0.4">
      <c r="B21" s="31" t="s">
        <v>93</v>
      </c>
      <c r="D21" s="3">
        <f>ROUND((SUM(D69:D75)+D81)/D8,3)</f>
        <v>3.1E-2</v>
      </c>
      <c r="E21" s="3"/>
      <c r="F21" s="3">
        <f>ROUND((SUM(F69:F75)+F81)/F8,3)</f>
        <v>0.108</v>
      </c>
      <c r="G21" s="3"/>
      <c r="H21" s="3">
        <f>ROUND((SUM(H69:H75)+H81)/H8,3)</f>
        <v>7.3999999999999996E-2</v>
      </c>
      <c r="I21" s="3"/>
      <c r="J21" s="3">
        <f>ROUND((SUM(J69:J75)+J81)/J8,3)</f>
        <v>0.1</v>
      </c>
      <c r="K21" s="3"/>
      <c r="L21" s="3">
        <f>ROUND((SUM(L69:L75)+L81)/L8,3)</f>
        <v>0</v>
      </c>
      <c r="M21" s="3"/>
      <c r="N21" s="3">
        <f>AVERAGE(D21,F21,H21,J21,L21)</f>
        <v>6.2600000000000017E-2</v>
      </c>
    </row>
    <row r="22" spans="1:14" ht="17.25" x14ac:dyDescent="0.4">
      <c r="B22" s="32" t="s">
        <v>94</v>
      </c>
      <c r="D22" s="4">
        <f>ROUND((D68-D103)/D8,3)</f>
        <v>0.34</v>
      </c>
      <c r="E22" s="3"/>
      <c r="F22" s="4">
        <f>ROUND((F68-F103)/F8,3)</f>
        <v>0.27800000000000002</v>
      </c>
      <c r="G22" s="3"/>
      <c r="H22" s="4">
        <f>ROUND((H68-H103)/H8,3)</f>
        <v>0.28499999999999998</v>
      </c>
      <c r="I22" s="3"/>
      <c r="J22" s="4">
        <f>ROUND((J68-J103)/J8,3)</f>
        <v>0.371</v>
      </c>
      <c r="K22" s="3"/>
      <c r="L22" s="4">
        <f>ROUND((L68-L103)/L8,3)</f>
        <v>0.35099999999999998</v>
      </c>
      <c r="M22" s="3"/>
      <c r="N22" s="4">
        <f>AVERAGE(D22,F22,H22,J22,L22)</f>
        <v>0.32500000000000001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0.629</v>
      </c>
      <c r="E25" s="3"/>
      <c r="F25" s="3">
        <f>ROUND((+F76+F79+F80)/F10,3)</f>
        <v>0.61399999999999999</v>
      </c>
      <c r="G25" s="3"/>
      <c r="H25" s="3">
        <f>ROUND((+H76+H79+H80)/H10,3)</f>
        <v>0.64100000000000001</v>
      </c>
      <c r="I25" s="3"/>
      <c r="J25" s="3">
        <f>ROUND((+J76+J79+J80)/J10,3)</f>
        <v>0.52900000000000003</v>
      </c>
      <c r="K25" s="3"/>
      <c r="L25" s="3">
        <f>ROUND((+L76+L79+L80)/L10,3)</f>
        <v>0.65</v>
      </c>
      <c r="M25" s="3"/>
      <c r="N25" s="3">
        <f>AVERAGE(D25,F25,H25,J25,L25)</f>
        <v>0.61259999999999992</v>
      </c>
    </row>
    <row r="26" spans="1:14" x14ac:dyDescent="0.4">
      <c r="B26" s="31" t="s">
        <v>93</v>
      </c>
      <c r="D26" s="3">
        <f>ROUND((SUM(D69:D75)+D81)/D10,3)</f>
        <v>3.1E-2</v>
      </c>
      <c r="E26" s="3"/>
      <c r="F26" s="3">
        <f>ROUND((SUM(F69:F75)+F81)/F10,3)</f>
        <v>0.108</v>
      </c>
      <c r="G26" s="3"/>
      <c r="H26" s="3">
        <f>ROUND((SUM(H69:H75)+H81)/H10,3)</f>
        <v>7.3999999999999996E-2</v>
      </c>
      <c r="I26" s="3"/>
      <c r="J26" s="3">
        <f>ROUND((SUM(J69:J75)+J81)/J10,3)</f>
        <v>0.1</v>
      </c>
      <c r="K26" s="3"/>
      <c r="L26" s="3">
        <f>ROUND((SUM(L69:L75)+L81)/L10,3)</f>
        <v>0</v>
      </c>
      <c r="M26" s="3"/>
      <c r="N26" s="3">
        <f>AVERAGE(D26,F26,H26,J26,L26)</f>
        <v>6.2600000000000017E-2</v>
      </c>
    </row>
    <row r="27" spans="1:14" ht="17.25" x14ac:dyDescent="0.4">
      <c r="B27" s="32" t="s">
        <v>94</v>
      </c>
      <c r="D27" s="4">
        <f>ROUND((D68-D103)/D10,3)</f>
        <v>0.34</v>
      </c>
      <c r="E27" s="3"/>
      <c r="F27" s="4">
        <f>ROUND((F68-F103)/F10,3)</f>
        <v>0.27800000000000002</v>
      </c>
      <c r="G27" s="3"/>
      <c r="H27" s="4">
        <f>ROUND((H68-H103)/H10,3)</f>
        <v>0.28499999999999998</v>
      </c>
      <c r="I27" s="3"/>
      <c r="J27" s="4">
        <f>ROUND((J68-J103)/J10,3)</f>
        <v>0.371</v>
      </c>
      <c r="K27" s="3"/>
      <c r="L27" s="4">
        <f>ROUND((L68-L103)/L10,3)</f>
        <v>0.35</v>
      </c>
      <c r="M27" s="3"/>
      <c r="N27" s="4">
        <f>AVERAGE(D27,F27,H27,J27,L27)</f>
        <v>0.32480000000000003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7.8E-2</v>
      </c>
      <c r="E30" s="3"/>
      <c r="F30" s="3"/>
      <c r="G30" s="3"/>
      <c r="H30" s="3">
        <f>ROUND(+H66/(((H68-H103)+(J68-J103))/2),3)</f>
        <v>0.10299999999999999</v>
      </c>
      <c r="I30" s="3"/>
      <c r="J30" s="3">
        <f>ROUND(+J66/(((J68-J103)+(L68-L103))/2),3)</f>
        <v>0.06</v>
      </c>
      <c r="K30" s="3"/>
      <c r="L30" s="3"/>
      <c r="M30" s="3"/>
      <c r="N30" s="3">
        <f>AVERAGE(D30,F30,H30,J30,L30)</f>
        <v>8.0333333333333326E-2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0.83699999999999997</v>
      </c>
      <c r="E32" s="3"/>
      <c r="F32" s="3">
        <f>ROUND((+F58-F57)/F56,3)</f>
        <v>0.86</v>
      </c>
      <c r="G32" s="3"/>
      <c r="H32" s="3">
        <f>ROUND((+H58-H57)/H56,3)</f>
        <v>0.9</v>
      </c>
      <c r="I32" s="3"/>
      <c r="J32" s="3">
        <f>ROUND((+J58-J57)/J56,3)</f>
        <v>0.91300000000000003</v>
      </c>
      <c r="K32" s="3"/>
      <c r="L32" s="3">
        <f>ROUND((+L58-L57)/L56,3)</f>
        <v>0.88800000000000001</v>
      </c>
      <c r="M32" s="3"/>
      <c r="N32" s="3">
        <f>AVERAGE(D32,F32,H32,J32,L32)</f>
        <v>0.87959999999999994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2.4700000000000002</v>
      </c>
      <c r="E35" s="7" t="s">
        <v>3</v>
      </c>
      <c r="F35" s="7"/>
      <c r="G35" s="7" t="s">
        <v>3</v>
      </c>
      <c r="H35" s="7">
        <f>ROUND(((+H66+H65+H64+H63+H61+H59+H57)/H61),2)</f>
        <v>2.64</v>
      </c>
      <c r="I35" s="7" t="s">
        <v>3</v>
      </c>
      <c r="J35" s="7">
        <f>ROUND(((+J66+J65+J64+J63+J61+J59+J57)/J61),2)</f>
        <v>2.2000000000000002</v>
      </c>
      <c r="K35" s="7" t="s">
        <v>3</v>
      </c>
      <c r="L35" s="7">
        <f>ROUND(((+L66+L65+L64+L63+L61+L59+L57)/L61),2)</f>
        <v>3.66</v>
      </c>
      <c r="M35" s="7" t="s">
        <v>3</v>
      </c>
      <c r="N35" s="26">
        <f>AVERAGE(D35,F35,H35,J35,L35)</f>
        <v>2.7425000000000002</v>
      </c>
      <c r="O35" t="s">
        <v>3</v>
      </c>
    </row>
    <row r="36" spans="1:15" x14ac:dyDescent="0.4">
      <c r="B36" t="s">
        <v>21</v>
      </c>
      <c r="D36" s="7">
        <f>ROUND(((+D66+D65+D64+D63+D61)/(D61)),2)</f>
        <v>2.2599999999999998</v>
      </c>
      <c r="E36" s="7" t="s">
        <v>3</v>
      </c>
      <c r="F36" s="7"/>
      <c r="G36" s="7" t="s">
        <v>3</v>
      </c>
      <c r="H36" s="7">
        <f>ROUND(((+H66+H65+H64+H63+H61)/(H61)),2)</f>
        <v>2.4</v>
      </c>
      <c r="I36" s="7" t="s">
        <v>3</v>
      </c>
      <c r="J36" s="7">
        <f>ROUND(((+J66+J65+J64+J63+J61)/(J61)),2)</f>
        <v>1.86</v>
      </c>
      <c r="K36" s="7" t="s">
        <v>3</v>
      </c>
      <c r="L36" s="7">
        <f>ROUND(((+L66+L65+L64+L63+L61)/(L61)),2)</f>
        <v>5.49</v>
      </c>
      <c r="M36" s="7" t="s">
        <v>3</v>
      </c>
      <c r="N36" s="26">
        <f>AVERAGE(D36,F36,H36,J36,L36)</f>
        <v>3.0025000000000004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1.92</v>
      </c>
      <c r="E37" s="7" t="s">
        <v>3</v>
      </c>
      <c r="F37" s="7"/>
      <c r="G37" s="7" t="s">
        <v>3</v>
      </c>
      <c r="H37" s="7">
        <f>ROUND(((+H66+H65+H64+H63+H61)/(H61+H63+H64+H65)),2)</f>
        <v>1.99</v>
      </c>
      <c r="I37" s="7" t="s">
        <v>3</v>
      </c>
      <c r="J37" s="7">
        <f>ROUND(((+J66+J65+J64+J63+J61)/(J61+J63+J64+J65)),2)</f>
        <v>1.72</v>
      </c>
      <c r="K37" s="7" t="s">
        <v>3</v>
      </c>
      <c r="L37" s="7">
        <f>ROUND(((+L66+L65+L64+L63+L61)/(L61+L63+L64+L65)),2)</f>
        <v>5.49</v>
      </c>
      <c r="M37" s="7" t="s">
        <v>3</v>
      </c>
      <c r="N37" s="26">
        <f>AVERAGE(D37,F37,H37,J37,L37)</f>
        <v>2.7800000000000002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2.35</v>
      </c>
      <c r="E40" s="7" t="s">
        <v>3</v>
      </c>
      <c r="F40" s="7"/>
      <c r="G40" s="7" t="s">
        <v>3</v>
      </c>
      <c r="H40" s="7">
        <f>ROUND(((+H66+H65+H64+H63-H62+H61+H59+H57)/H61),2)</f>
        <v>2.54</v>
      </c>
      <c r="I40" s="7" t="s">
        <v>3</v>
      </c>
      <c r="J40" s="7">
        <f>ROUND(((+J66+J65+J64+J63-J62+J61+J59+J57)/J61),2)</f>
        <v>2.15</v>
      </c>
      <c r="K40" s="7" t="s">
        <v>3</v>
      </c>
      <c r="L40" s="7">
        <f>ROUND(((+L66+L65+L64+L63-L62+L61+L59+L57)/L61),2)</f>
        <v>3.61</v>
      </c>
      <c r="M40" s="7" t="s">
        <v>3</v>
      </c>
      <c r="N40" s="26">
        <f>AVERAGE(D40,F40,H40,J40,L40)</f>
        <v>2.6625000000000001</v>
      </c>
      <c r="O40" t="s">
        <v>3</v>
      </c>
    </row>
    <row r="41" spans="1:15" x14ac:dyDescent="0.4">
      <c r="B41" t="s">
        <v>21</v>
      </c>
      <c r="D41" s="7">
        <f>ROUND(((+D66+D65+D64+D63-D62+D61)/D61),2)</f>
        <v>2.15</v>
      </c>
      <c r="E41" s="7" t="s">
        <v>3</v>
      </c>
      <c r="F41" s="7"/>
      <c r="G41" s="7" t="s">
        <v>3</v>
      </c>
      <c r="H41" s="7">
        <f>ROUND(((+H66+H65+H64+H63-H62+H61)/H61),2)</f>
        <v>2.29</v>
      </c>
      <c r="I41" s="7" t="s">
        <v>3</v>
      </c>
      <c r="J41" s="7">
        <f>ROUND(((+J66+J65+J64+J63-J62+J61)/J61),2)</f>
        <v>1.81</v>
      </c>
      <c r="K41" s="7" t="s">
        <v>3</v>
      </c>
      <c r="L41" s="7">
        <f>ROUND(((+L66+L65+L64+L63-L62+L61)/L61),2)</f>
        <v>5.44</v>
      </c>
      <c r="M41" s="7" t="s">
        <v>3</v>
      </c>
      <c r="N41" s="26">
        <f>AVERAGE(D41,F41,H41,J41,L41)</f>
        <v>2.9225000000000003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1.82</v>
      </c>
      <c r="E42" s="7" t="s">
        <v>3</v>
      </c>
      <c r="F42" s="7"/>
      <c r="G42" s="7" t="s">
        <v>3</v>
      </c>
      <c r="H42" s="7">
        <f>ROUND(((+H66+H65+H64+H63-H62+H61)/(H61+H63+H64+H65)),2)</f>
        <v>1.9</v>
      </c>
      <c r="I42" s="7" t="s">
        <v>3</v>
      </c>
      <c r="J42" s="7">
        <f>ROUND(((+J66+J65+J64+J63-J62+J61)/(J61+J63+J64+J65)),2)</f>
        <v>1.68</v>
      </c>
      <c r="K42" s="7" t="s">
        <v>3</v>
      </c>
      <c r="L42" s="7">
        <f>ROUND(((+L66+L65+L64+L63-L62+L61)/(L61+L63+L64+L65)),2)</f>
        <v>5.44</v>
      </c>
      <c r="M42" s="7" t="s">
        <v>3</v>
      </c>
      <c r="N42" s="26">
        <f>AVERAGE(D42,F42,H42,J42,L42)</f>
        <v>2.71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0.108</v>
      </c>
      <c r="E45" s="11"/>
      <c r="F45" s="11"/>
      <c r="G45" s="11"/>
      <c r="H45" s="11">
        <f>ROUND(H62/H66,3)</f>
        <v>8.5999999999999993E-2</v>
      </c>
      <c r="I45" s="11"/>
      <c r="J45" s="11">
        <f>ROUND(J62/J66,3)</f>
        <v>0.06</v>
      </c>
      <c r="K45" s="11"/>
      <c r="L45" s="11">
        <f>ROUND(L62/L66,3)</f>
        <v>1.0999999999999999E-2</v>
      </c>
      <c r="M45" s="11"/>
      <c r="N45" s="3">
        <f t="shared" ref="N45:N50" si="0">AVERAGE(D45,F45,H45,J45,L45)</f>
        <v>6.6250000000000003E-2</v>
      </c>
    </row>
    <row r="46" spans="1:15" x14ac:dyDescent="0.4">
      <c r="B46" t="s">
        <v>17</v>
      </c>
      <c r="D46" s="17">
        <f>ROUND((D57+D59)/(D57+D59+D66+D63+D64+D65),3)</f>
        <v>0.14099999999999999</v>
      </c>
      <c r="E46" s="18"/>
      <c r="F46" s="17">
        <f>ROUND((F57+F59)/(F57+F59+F66+F63+F64+F65),3)</f>
        <v>0.317</v>
      </c>
      <c r="G46" s="18"/>
      <c r="H46" s="17">
        <f>ROUND((H57+H59)/(H57+H59+H66+H63+H64+H65),3)</f>
        <v>0.14899999999999999</v>
      </c>
      <c r="I46" s="18"/>
      <c r="J46" s="17">
        <f>ROUND((J57+J59)/(J57+J59+J66+J63+J64+J65),3)</f>
        <v>0.28399999999999997</v>
      </c>
      <c r="K46" s="18"/>
      <c r="L46" s="17"/>
      <c r="M46" s="18"/>
      <c r="N46" s="3">
        <f t="shared" si="0"/>
        <v>0.22275</v>
      </c>
    </row>
    <row r="47" spans="1:15" ht="17.25" x14ac:dyDescent="0.4">
      <c r="B47" s="33" t="s">
        <v>100</v>
      </c>
      <c r="D47" s="11">
        <f>ROUND(((+D82+D83+D84+D85+D86-D87+D88-D90-D91)/(+D89-D87)),3)</f>
        <v>0.54400000000000004</v>
      </c>
      <c r="E47" s="12"/>
      <c r="F47" s="11">
        <f>ROUND(((+F82+F83+F84+F85+F86-F87+F88-F90-F91)/(+F89-F87)),3)</f>
        <v>0.50800000000000001</v>
      </c>
      <c r="G47" s="12"/>
      <c r="H47" s="11">
        <f>ROUND(((+H82+H83+H84+H85+H86-H87+H88-H90-H91)/(+H89-H87)),3)</f>
        <v>0.59799999999999998</v>
      </c>
      <c r="I47" s="12"/>
      <c r="J47" s="11">
        <f>ROUND(((+J82+J83+J84+J85+J86-J87+J88-J90-J91)/(+J89-J87)),3)</f>
        <v>0.70499999999999996</v>
      </c>
      <c r="K47" s="12"/>
      <c r="L47" s="11">
        <f>ROUND(((+L82+L83+L84+L85+L86-L87+L88-L90-L91)/(+L89-L87)),3)</f>
        <v>1.115</v>
      </c>
      <c r="M47" s="12"/>
      <c r="N47" s="3">
        <f t="shared" si="0"/>
        <v>0.69399999999999995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</v>
      </c>
      <c r="E48" s="12"/>
      <c r="F48" s="11">
        <f>ROUND(((+F82+F83+F84+F85+F86-F87+F88)/(AVERAGE(F76,H76)+AVERAGE(F79,H79)+AVERAGE(F80,H80))),3)</f>
        <v>0.129</v>
      </c>
      <c r="G48" s="12"/>
      <c r="H48" s="11">
        <f>ROUND(((+H82+H83+H84+H85+H86-H87+H88)/(AVERAGE(H76,J76)+AVERAGE(H79,J79)+AVERAGE(H80,J80))),3)</f>
        <v>0.18099999999999999</v>
      </c>
      <c r="I48" s="12"/>
      <c r="J48" s="11">
        <f>ROUND(((+J82+J83+J84+J85+J86-J87+J88)/(AVERAGE(J76,L76)+AVERAGE(J79,L79)+AVERAGE(J80,L80))),3)</f>
        <v>0.186</v>
      </c>
      <c r="K48" s="12"/>
      <c r="L48" s="11">
        <f>ROUND(((+L82+L83+L84+L85+L86-L87+L88)/(AVERAGE(L76,N76)+AVERAGE(L79,N79)+AVERAGE(L80,N80))),3)</f>
        <v>0.23499999999999999</v>
      </c>
      <c r="M48" s="12"/>
      <c r="N48" s="3">
        <f t="shared" si="0"/>
        <v>0.1762</v>
      </c>
    </row>
    <row r="49" spans="1:15" ht="17.25" x14ac:dyDescent="0.4">
      <c r="B49" s="33" t="s">
        <v>102</v>
      </c>
      <c r="D49" s="27">
        <f>ROUND(((+D82+D83+D84+D85+D86-D87+D88+D92)/D61),2)</f>
        <v>5.1100000000000003</v>
      </c>
      <c r="E49" t="s">
        <v>3</v>
      </c>
      <c r="F49" s="27">
        <f>ROUND(((+F82+F83+F84+F85+F86-F87+F88+F92)/F61),2)</f>
        <v>4.38</v>
      </c>
      <c r="G49" t="s">
        <v>3</v>
      </c>
      <c r="H49" s="27">
        <f>ROUND(((+H82+H83+H84+H85+H86-H87+H88+H92)/H61),2)</f>
        <v>4.6399999999999997</v>
      </c>
      <c r="I49" t="s">
        <v>3</v>
      </c>
      <c r="J49" s="27">
        <f>ROUND(((+J82+J83+J84+J85+J86-J87+J88+J92)/J61),2)</f>
        <v>4.76</v>
      </c>
      <c r="K49" t="s">
        <v>3</v>
      </c>
      <c r="L49" s="27">
        <f>ROUND(((+L82+L83+L84+L85+L86-L87+L88+L92)/L61),2)</f>
        <v>6.09</v>
      </c>
      <c r="M49" t="s">
        <v>3</v>
      </c>
      <c r="N49" s="27">
        <f t="shared" si="0"/>
        <v>4.9960000000000004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5.47</v>
      </c>
      <c r="E50" t="s">
        <v>3</v>
      </c>
      <c r="F50" s="27">
        <f>ROUND(((+F82+F83+F84+F85+F86-F87+F88-F91)/+F90),2)</f>
        <v>4.3600000000000003</v>
      </c>
      <c r="G50" t="s">
        <v>3</v>
      </c>
      <c r="H50" s="27">
        <f>ROUND(((+H82+H83+H84+H85+H86-H87+H88-H91)/+H90),2)</f>
        <v>3.6</v>
      </c>
      <c r="I50" t="s">
        <v>3</v>
      </c>
      <c r="J50" s="27">
        <f>ROUND(((+J82+J83+J84+J85+J86-J87+J88-J91)/+J90),2)</f>
        <v>3.33</v>
      </c>
      <c r="K50" t="s">
        <v>3</v>
      </c>
      <c r="L50" s="27">
        <f>ROUND(((+L82+L83+L84+L85+L86-L87+L88-L91)/+L90),2)</f>
        <v>4.45</v>
      </c>
      <c r="M50" t="s">
        <v>3</v>
      </c>
      <c r="N50" s="27">
        <f t="shared" si="0"/>
        <v>4.2419999999999991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87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8352</v>
      </c>
      <c r="E56" s="22"/>
      <c r="F56" s="22">
        <v>7418</v>
      </c>
      <c r="G56" s="22"/>
      <c r="H56" s="22">
        <v>12301</v>
      </c>
      <c r="I56" s="22"/>
      <c r="J56" s="22">
        <v>10589</v>
      </c>
      <c r="K56" s="22"/>
      <c r="L56" s="22">
        <v>9614</v>
      </c>
      <c r="M56" s="22"/>
      <c r="N56" s="22">
        <v>7528</v>
      </c>
    </row>
    <row r="57" spans="1:15" x14ac:dyDescent="0.4">
      <c r="A57" s="20" t="s">
        <v>23</v>
      </c>
      <c r="B57" s="20"/>
      <c r="C57" s="20"/>
      <c r="D57" s="22">
        <v>110</v>
      </c>
      <c r="E57" s="22"/>
      <c r="F57" s="22">
        <v>-274</v>
      </c>
      <c r="G57" s="22"/>
      <c r="H57" s="22">
        <v>138</v>
      </c>
      <c r="I57" s="22"/>
      <c r="J57" s="22">
        <v>146</v>
      </c>
      <c r="K57" s="22"/>
      <c r="L57" s="22">
        <v>-729</v>
      </c>
      <c r="M57" s="22"/>
      <c r="N57" s="22">
        <v>254</v>
      </c>
    </row>
    <row r="58" spans="1:15" x14ac:dyDescent="0.4">
      <c r="A58" s="20" t="s">
        <v>24</v>
      </c>
      <c r="B58" s="20"/>
      <c r="C58" s="20"/>
      <c r="D58" s="22">
        <f>6989+D57</f>
        <v>7099</v>
      </c>
      <c r="E58" s="22"/>
      <c r="F58" s="22">
        <f>6379+F57</f>
        <v>6105</v>
      </c>
      <c r="G58" s="22"/>
      <c r="H58" s="22">
        <f>11075+H57</f>
        <v>11213</v>
      </c>
      <c r="I58" s="22"/>
      <c r="J58" s="22">
        <v>9811</v>
      </c>
      <c r="K58" s="22"/>
      <c r="L58" s="22">
        <v>7813</v>
      </c>
      <c r="M58" s="22"/>
      <c r="N58" s="22">
        <v>6823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1363-D57-172+50+8+58</f>
        <v>1197</v>
      </c>
      <c r="E60" s="22"/>
      <c r="F60" s="22">
        <f>1039-F57+49-60-1428+3+1+60</f>
        <v>-62</v>
      </c>
      <c r="G60" s="22"/>
      <c r="H60" s="22">
        <f>1226-H57+282-292+230+50</f>
        <v>1358</v>
      </c>
      <c r="I60" s="22"/>
      <c r="J60" s="22">
        <v>788</v>
      </c>
      <c r="K60" s="22"/>
      <c r="L60" s="22">
        <v>2182</v>
      </c>
      <c r="M60" s="22"/>
      <c r="N60" s="22">
        <v>861</v>
      </c>
    </row>
    <row r="61" spans="1:15" x14ac:dyDescent="0.4">
      <c r="A61" s="20" t="s">
        <v>27</v>
      </c>
      <c r="B61" s="20"/>
      <c r="C61" s="20"/>
      <c r="D61" s="22">
        <f>508+21</f>
        <v>529</v>
      </c>
      <c r="E61" s="22"/>
      <c r="F61" s="22">
        <f>501+28</f>
        <v>529</v>
      </c>
      <c r="G61" s="22"/>
      <c r="H61" s="22">
        <f>528+39</f>
        <v>567</v>
      </c>
      <c r="I61" s="22"/>
      <c r="J61" s="22">
        <v>428</v>
      </c>
      <c r="K61" s="22"/>
      <c r="L61" s="22">
        <v>399</v>
      </c>
      <c r="M61" s="22"/>
      <c r="N61" s="22">
        <v>437</v>
      </c>
    </row>
    <row r="62" spans="1:15" x14ac:dyDescent="0.4">
      <c r="A62" s="20" t="s">
        <v>28</v>
      </c>
      <c r="B62" s="20"/>
      <c r="C62" s="20"/>
      <c r="D62" s="22">
        <f>34+28</f>
        <v>62</v>
      </c>
      <c r="E62" s="22"/>
      <c r="F62" s="22">
        <f>27+25</f>
        <v>52</v>
      </c>
      <c r="G62" s="22"/>
      <c r="H62" s="22">
        <f>36+22</f>
        <v>58</v>
      </c>
      <c r="I62" s="22"/>
      <c r="J62" s="22">
        <f>8+12</f>
        <v>20</v>
      </c>
      <c r="K62" s="22"/>
      <c r="L62" s="22">
        <v>20</v>
      </c>
      <c r="M62" s="22"/>
      <c r="N62" s="22">
        <v>15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95</v>
      </c>
      <c r="E64" s="22"/>
      <c r="F64" s="22">
        <v>176</v>
      </c>
      <c r="G64" s="22"/>
      <c r="H64" s="22">
        <v>117</v>
      </c>
      <c r="I64" s="22"/>
      <c r="J64" s="22">
        <v>35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f>1391-818</f>
        <v>573</v>
      </c>
      <c r="E66" s="22"/>
      <c r="F66" s="22">
        <f>-949-(-182)</f>
        <v>-767</v>
      </c>
      <c r="G66" s="22"/>
      <c r="H66" s="22">
        <v>674</v>
      </c>
      <c r="I66" s="22"/>
      <c r="J66" s="22">
        <v>333</v>
      </c>
      <c r="K66" s="22"/>
      <c r="L66" s="22">
        <v>1792</v>
      </c>
      <c r="M66" s="22"/>
      <c r="N66" s="22">
        <v>432</v>
      </c>
    </row>
    <row r="67" spans="1:14" x14ac:dyDescent="0.4">
      <c r="A67" s="20" t="s">
        <v>33</v>
      </c>
      <c r="B67" s="20"/>
      <c r="C67" s="20"/>
      <c r="D67" s="22">
        <v>0.97</v>
      </c>
      <c r="E67" s="22"/>
      <c r="F67" s="22">
        <v>-1.45</v>
      </c>
      <c r="G67" s="22"/>
      <c r="H67" s="22">
        <v>1.34</v>
      </c>
      <c r="I67" s="22"/>
      <c r="J67" s="22">
        <v>0.74</v>
      </c>
      <c r="K67" s="22"/>
      <c r="L67" s="22">
        <v>4.16</v>
      </c>
      <c r="M67" s="22"/>
      <c r="N67" s="22">
        <v>1</v>
      </c>
    </row>
    <row r="68" spans="1:14" x14ac:dyDescent="0.4">
      <c r="A68" s="20" t="s">
        <v>34</v>
      </c>
      <c r="B68" s="20"/>
      <c r="C68" s="20"/>
      <c r="D68" s="22">
        <f>9415-D71</f>
        <v>8625</v>
      </c>
      <c r="E68" s="22"/>
      <c r="F68" s="22">
        <f>8348-F71</f>
        <v>5985</v>
      </c>
      <c r="G68" s="22"/>
      <c r="H68" s="22">
        <f>8359-H71</f>
        <v>6619</v>
      </c>
      <c r="I68" s="22"/>
      <c r="J68" s="22">
        <v>6318</v>
      </c>
      <c r="K68" s="22"/>
      <c r="L68" s="22">
        <v>4688</v>
      </c>
      <c r="M68" s="22"/>
      <c r="N68" s="22">
        <v>3460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790</v>
      </c>
      <c r="E71" s="22"/>
      <c r="F71" s="22">
        <f>790+950+623</f>
        <v>2363</v>
      </c>
      <c r="G71" s="22"/>
      <c r="H71" s="22">
        <f>790+950</f>
        <v>1740</v>
      </c>
      <c r="I71" s="22"/>
      <c r="J71" s="22">
        <v>1740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15558</v>
      </c>
      <c r="E76" s="22"/>
      <c r="F76" s="22">
        <v>11521</v>
      </c>
      <c r="G76" s="22"/>
      <c r="H76" s="22">
        <v>14244</v>
      </c>
      <c r="I76" s="22"/>
      <c r="J76" s="22">
        <v>8682</v>
      </c>
      <c r="K76" s="22"/>
      <c r="L76" s="22">
        <v>8195</v>
      </c>
      <c r="M76" s="22"/>
      <c r="N76" s="22">
        <v>7532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24973</v>
      </c>
      <c r="E78" s="22"/>
      <c r="F78" s="22">
        <f>SUM(F68:F77)</f>
        <v>19869</v>
      </c>
      <c r="G78" s="22"/>
      <c r="H78" s="22">
        <f>SUM(H68:H77)</f>
        <v>22603</v>
      </c>
      <c r="I78" s="22"/>
      <c r="J78" s="22">
        <v>16740</v>
      </c>
      <c r="K78" s="22"/>
      <c r="L78" s="22">
        <v>12883</v>
      </c>
      <c r="M78" s="22"/>
      <c r="N78" s="22">
        <v>10992</v>
      </c>
    </row>
    <row r="79" spans="1:14" x14ac:dyDescent="0.4">
      <c r="A79" s="20" t="s">
        <v>45</v>
      </c>
      <c r="B79" s="20"/>
      <c r="C79" s="20"/>
      <c r="D79" s="22">
        <f>220+10+308</f>
        <v>538</v>
      </c>
      <c r="E79" s="22"/>
      <c r="F79" s="22">
        <f>211+15+1669</f>
        <v>1895</v>
      </c>
      <c r="G79" s="22"/>
      <c r="H79" s="22">
        <f>231+19+618</f>
        <v>868</v>
      </c>
      <c r="I79" s="22"/>
      <c r="J79" s="22">
        <v>482</v>
      </c>
      <c r="K79" s="22"/>
      <c r="L79" s="22">
        <v>606</v>
      </c>
      <c r="M79" s="22"/>
      <c r="N79" s="22">
        <v>1025</v>
      </c>
    </row>
    <row r="80" spans="1:14" x14ac:dyDescent="0.4">
      <c r="A80" s="20" t="s">
        <v>46</v>
      </c>
      <c r="B80" s="20"/>
      <c r="C80" s="20"/>
      <c r="D80" s="22">
        <v>7</v>
      </c>
      <c r="E80" s="22"/>
      <c r="F80" s="22">
        <v>24</v>
      </c>
      <c r="G80" s="22"/>
      <c r="H80" s="22">
        <v>0</v>
      </c>
      <c r="I80" s="22"/>
      <c r="J80" s="22">
        <v>0</v>
      </c>
      <c r="K80" s="22"/>
      <c r="L80" s="22">
        <v>39</v>
      </c>
      <c r="M80" s="22"/>
      <c r="N80" s="22">
        <v>35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1486</v>
      </c>
      <c r="E82" s="22"/>
      <c r="F82" s="22">
        <v>-773</v>
      </c>
      <c r="G82" s="22"/>
      <c r="H82" s="22">
        <v>791</v>
      </c>
      <c r="I82" s="22"/>
      <c r="J82" s="22">
        <v>368</v>
      </c>
      <c r="K82" s="22"/>
      <c r="L82" s="22">
        <v>1792</v>
      </c>
      <c r="M82" s="22"/>
      <c r="N82" s="22">
        <v>432</v>
      </c>
    </row>
    <row r="83" spans="1:14" x14ac:dyDescent="0.4">
      <c r="A83" s="20" t="s">
        <v>49</v>
      </c>
      <c r="B83" s="20"/>
      <c r="C83" s="20"/>
      <c r="D83" s="22">
        <v>1316</v>
      </c>
      <c r="E83" s="22"/>
      <c r="F83" s="22">
        <v>1189</v>
      </c>
      <c r="G83" s="22"/>
      <c r="H83" s="22">
        <v>1287</v>
      </c>
      <c r="I83" s="22"/>
      <c r="J83" s="22">
        <v>1291</v>
      </c>
      <c r="K83" s="22"/>
      <c r="L83" s="22">
        <v>1060</v>
      </c>
      <c r="M83" s="22"/>
      <c r="N83" s="22">
        <v>1152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f>28+2</f>
        <v>30</v>
      </c>
      <c r="G84" s="22"/>
      <c r="H84" s="22">
        <v>29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213</v>
      </c>
      <c r="E85" s="22"/>
      <c r="F85" s="22">
        <v>-429</v>
      </c>
      <c r="G85" s="22"/>
      <c r="H85" s="22">
        <v>69</v>
      </c>
      <c r="I85" s="22"/>
      <c r="J85" s="22">
        <v>48</v>
      </c>
      <c r="K85" s="22"/>
      <c r="L85" s="22">
        <v>-770</v>
      </c>
      <c r="M85" s="22"/>
      <c r="N85" s="22">
        <v>213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-681+172-50+3-339+155-61</f>
        <v>-801</v>
      </c>
      <c r="E88" s="22"/>
      <c r="F88" s="22">
        <f>175+185+2-49+60+3+1428+113-86</f>
        <v>1831</v>
      </c>
      <c r="G88" s="22"/>
      <c r="H88" s="22">
        <f>24+48-282+292+4-230+261-109+9</f>
        <v>17</v>
      </c>
      <c r="I88" s="22"/>
      <c r="J88" s="22">
        <v>-33</v>
      </c>
      <c r="K88" s="22"/>
      <c r="L88" s="22">
        <v>-31</v>
      </c>
      <c r="M88" s="22"/>
      <c r="N88" s="22">
        <v>124</v>
      </c>
    </row>
    <row r="89" spans="1:14" x14ac:dyDescent="0.4">
      <c r="A89" s="20" t="s">
        <v>54</v>
      </c>
      <c r="B89" s="20"/>
      <c r="C89" s="20"/>
      <c r="D89" s="22">
        <v>3164</v>
      </c>
      <c r="E89" s="22"/>
      <c r="F89" s="22">
        <v>2596</v>
      </c>
      <c r="G89" s="22"/>
      <c r="H89" s="22">
        <v>2506</v>
      </c>
      <c r="I89" s="22"/>
      <c r="J89" s="22">
        <v>1651</v>
      </c>
      <c r="K89" s="22"/>
      <c r="L89" s="22">
        <v>1426</v>
      </c>
      <c r="M89" s="22"/>
      <c r="N89" s="22">
        <v>1414</v>
      </c>
    </row>
    <row r="90" spans="1:14" x14ac:dyDescent="0.4">
      <c r="A90" s="20" t="s">
        <v>55</v>
      </c>
      <c r="B90" s="20"/>
      <c r="C90" s="20"/>
      <c r="D90" s="22">
        <v>385</v>
      </c>
      <c r="E90" s="22"/>
      <c r="F90" s="22">
        <v>392</v>
      </c>
      <c r="G90" s="22"/>
      <c r="H90" s="22">
        <v>577</v>
      </c>
      <c r="I90" s="22"/>
      <c r="J90" s="22">
        <v>499</v>
      </c>
      <c r="K90" s="22"/>
      <c r="L90" s="22">
        <v>461</v>
      </c>
      <c r="M90" s="22"/>
      <c r="N90" s="22">
        <v>443</v>
      </c>
    </row>
    <row r="91" spans="1:14" x14ac:dyDescent="0.4">
      <c r="A91" s="20" t="s">
        <v>56</v>
      </c>
      <c r="B91" s="20"/>
      <c r="C91" s="20"/>
      <c r="D91" s="22">
        <v>107</v>
      </c>
      <c r="E91" s="22"/>
      <c r="F91" s="22">
        <v>137</v>
      </c>
      <c r="G91" s="22"/>
      <c r="H91" s="22">
        <v>118</v>
      </c>
      <c r="I91" s="22"/>
      <c r="J91" s="22">
        <v>11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489</v>
      </c>
      <c r="E92" s="22"/>
      <c r="F92" s="22">
        <v>471</v>
      </c>
      <c r="G92" s="22"/>
      <c r="H92" s="22">
        <v>436</v>
      </c>
      <c r="I92" s="22"/>
      <c r="J92" s="22">
        <v>363</v>
      </c>
      <c r="K92" s="22"/>
      <c r="L92" s="22">
        <v>378</v>
      </c>
      <c r="M92" s="22"/>
      <c r="N92" s="22">
        <v>406</v>
      </c>
    </row>
    <row r="93" spans="1:14" x14ac:dyDescent="0.4">
      <c r="A93" s="20" t="s">
        <v>58</v>
      </c>
      <c r="B93" s="20"/>
      <c r="C93" s="20"/>
      <c r="D93" s="22">
        <v>-46</v>
      </c>
      <c r="E93" s="22"/>
      <c r="F93" s="22">
        <v>143</v>
      </c>
      <c r="G93" s="22"/>
      <c r="H93" s="22">
        <v>155</v>
      </c>
      <c r="I93" s="22"/>
      <c r="J93" s="22">
        <v>89</v>
      </c>
      <c r="K93" s="22"/>
      <c r="L93" s="22">
        <v>15</v>
      </c>
      <c r="M93" s="22"/>
      <c r="N93" s="22">
        <v>-104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404</v>
      </c>
      <c r="E96" s="22"/>
      <c r="F96" s="22">
        <v>480</v>
      </c>
      <c r="G96" s="22"/>
      <c r="H96" s="22">
        <v>433</v>
      </c>
      <c r="I96" s="22"/>
      <c r="J96" s="22">
        <v>523</v>
      </c>
      <c r="K96" s="22"/>
      <c r="L96" s="22">
        <v>581</v>
      </c>
      <c r="M96" s="22"/>
      <c r="N96" s="22">
        <v>443</v>
      </c>
    </row>
    <row r="97" spans="1:14" x14ac:dyDescent="0.4">
      <c r="A97" s="20" t="s">
        <v>60</v>
      </c>
      <c r="B97" s="20"/>
      <c r="C97" s="20"/>
      <c r="D97" s="22">
        <v>0.65</v>
      </c>
      <c r="E97" s="22"/>
      <c r="F97" s="22">
        <v>0.74</v>
      </c>
      <c r="G97" s="22"/>
      <c r="H97" s="22">
        <v>1.1499999999999999</v>
      </c>
      <c r="I97" s="22"/>
      <c r="J97" s="22">
        <v>1.1100000000000001</v>
      </c>
      <c r="K97" s="22"/>
      <c r="L97" s="22">
        <v>1.07</v>
      </c>
      <c r="M97" s="22"/>
      <c r="N97" s="22">
        <v>1.03</v>
      </c>
    </row>
    <row r="98" spans="1:14" x14ac:dyDescent="0.4">
      <c r="A98" s="20" t="s">
        <v>61</v>
      </c>
      <c r="B98" s="20"/>
      <c r="C98" s="20"/>
      <c r="D98" s="22">
        <v>0.65</v>
      </c>
      <c r="E98" s="22"/>
      <c r="F98" s="22">
        <v>0.74</v>
      </c>
      <c r="G98" s="22"/>
      <c r="H98" s="22">
        <v>1.1499999999999999</v>
      </c>
      <c r="I98" s="22"/>
      <c r="J98" s="22">
        <v>1.1100000000000001</v>
      </c>
      <c r="K98" s="22"/>
      <c r="L98" s="22">
        <v>1.07</v>
      </c>
      <c r="M98" s="22"/>
      <c r="N98" s="22">
        <v>1.03</v>
      </c>
    </row>
    <row r="99" spans="1:14" x14ac:dyDescent="0.4">
      <c r="A99" s="20" t="s">
        <v>62</v>
      </c>
      <c r="B99" s="20"/>
      <c r="C99" s="20"/>
      <c r="D99" s="22">
        <v>28.37</v>
      </c>
      <c r="E99" s="22"/>
      <c r="F99" s="22">
        <v>27.53</v>
      </c>
      <c r="G99" s="22"/>
      <c r="H99" s="22">
        <v>31.42</v>
      </c>
      <c r="I99" s="22"/>
      <c r="J99" s="22">
        <v>29.625</v>
      </c>
      <c r="K99" s="22"/>
      <c r="L99" s="22">
        <v>30.45</v>
      </c>
      <c r="M99" s="22"/>
      <c r="N99" s="22">
        <v>24.98</v>
      </c>
    </row>
    <row r="100" spans="1:14" x14ac:dyDescent="0.4">
      <c r="A100" s="20" t="s">
        <v>63</v>
      </c>
      <c r="B100" s="20"/>
      <c r="C100" s="20"/>
      <c r="D100" s="22">
        <v>19.309999999999999</v>
      </c>
      <c r="E100" s="22"/>
      <c r="F100" s="22">
        <v>11.58</v>
      </c>
      <c r="G100" s="22"/>
      <c r="H100" s="22">
        <v>24.25</v>
      </c>
      <c r="I100" s="22"/>
      <c r="J100" s="22">
        <v>24.81</v>
      </c>
      <c r="K100" s="22"/>
      <c r="L100" s="22">
        <v>24.45</v>
      </c>
      <c r="M100" s="22"/>
      <c r="N100" s="22">
        <v>16.38</v>
      </c>
    </row>
    <row r="101" spans="1:14" x14ac:dyDescent="0.4">
      <c r="A101" s="20" t="s">
        <v>64</v>
      </c>
      <c r="B101" s="20"/>
      <c r="C101" s="20"/>
      <c r="D101" s="22">
        <v>27.91</v>
      </c>
      <c r="E101" s="22"/>
      <c r="F101" s="22">
        <v>21.639999</v>
      </c>
      <c r="G101" s="22"/>
      <c r="H101" s="22">
        <v>27.27</v>
      </c>
      <c r="I101" s="22"/>
      <c r="J101" s="22">
        <v>28.23</v>
      </c>
      <c r="K101" s="22"/>
      <c r="L101" s="22">
        <v>28.36</v>
      </c>
      <c r="M101" s="22"/>
      <c r="N101" s="22">
        <v>24.64</v>
      </c>
    </row>
    <row r="102" spans="1:14" x14ac:dyDescent="0.4">
      <c r="A102" s="20" t="s">
        <v>65</v>
      </c>
      <c r="B102" s="20"/>
      <c r="C102" s="20"/>
      <c r="D102" s="22">
        <v>628.92353400000002</v>
      </c>
      <c r="E102" s="22"/>
      <c r="F102" s="22">
        <v>551.355861</v>
      </c>
      <c r="G102" s="22"/>
      <c r="H102" s="22">
        <v>502.24206099999998</v>
      </c>
      <c r="I102" s="22"/>
      <c r="J102" s="22">
        <v>501.19799999999998</v>
      </c>
      <c r="K102" s="22"/>
      <c r="L102" s="22">
        <v>431.04500000000002</v>
      </c>
      <c r="M102" s="22"/>
      <c r="N102" s="22">
        <v>430.68299999999999</v>
      </c>
    </row>
    <row r="103" spans="1:14" x14ac:dyDescent="0.4">
      <c r="A103" s="20" t="s">
        <v>91</v>
      </c>
      <c r="B103" s="20"/>
      <c r="C103" s="20"/>
      <c r="D103" s="22">
        <v>-64</v>
      </c>
      <c r="E103" s="22"/>
      <c r="F103" s="22">
        <v>-90</v>
      </c>
      <c r="G103" s="22"/>
      <c r="H103" s="22">
        <v>-98</v>
      </c>
      <c r="I103" s="22"/>
      <c r="J103" s="22">
        <v>-108</v>
      </c>
      <c r="K103" s="22"/>
      <c r="L103" s="22">
        <v>-68</v>
      </c>
      <c r="M103" s="22"/>
      <c r="N103" s="22">
        <v>-71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0.97</v>
      </c>
      <c r="F105" s="15">
        <f>F67/F94</f>
        <v>-1.45</v>
      </c>
      <c r="H105" s="15">
        <f>H67/H94</f>
        <v>1.34</v>
      </c>
      <c r="J105" s="15">
        <f>J67/J94</f>
        <v>0.74</v>
      </c>
      <c r="L105" s="15">
        <f>L67/L94</f>
        <v>4.16</v>
      </c>
      <c r="N105" s="15">
        <f>N67/N94</f>
        <v>1</v>
      </c>
    </row>
    <row r="106" spans="1:14" x14ac:dyDescent="0.4">
      <c r="B106" t="s">
        <v>60</v>
      </c>
      <c r="D106" s="15">
        <f>D97/D94</f>
        <v>0.65</v>
      </c>
      <c r="F106" s="15">
        <f>F97/F94</f>
        <v>0.74</v>
      </c>
      <c r="H106" s="15">
        <f>H97/H94</f>
        <v>1.1499999999999999</v>
      </c>
      <c r="J106" s="15">
        <f>J97/J94</f>
        <v>1.1100000000000001</v>
      </c>
      <c r="L106" s="15">
        <f>L97/L94</f>
        <v>1.07</v>
      </c>
      <c r="N106" s="15">
        <f>N97/N94</f>
        <v>1.03</v>
      </c>
    </row>
    <row r="107" spans="1:14" x14ac:dyDescent="0.4">
      <c r="B107" t="s">
        <v>61</v>
      </c>
      <c r="D107" s="15">
        <f>D98/D94</f>
        <v>0.65</v>
      </c>
      <c r="F107" s="15">
        <f>F98/F94</f>
        <v>0.74</v>
      </c>
      <c r="H107" s="15">
        <f>H98/H94</f>
        <v>1.1499999999999999</v>
      </c>
      <c r="J107" s="15">
        <f>J98/J94</f>
        <v>1.1100000000000001</v>
      </c>
      <c r="L107" s="15">
        <f>L98/L94</f>
        <v>1.07</v>
      </c>
      <c r="N107" s="15">
        <f>N98/N94</f>
        <v>1.03</v>
      </c>
    </row>
    <row r="108" spans="1:14" x14ac:dyDescent="0.4">
      <c r="B108" t="s">
        <v>62</v>
      </c>
      <c r="D108" s="15">
        <f>D99/D94</f>
        <v>28.37</v>
      </c>
      <c r="F108" s="15">
        <f>F99/F94</f>
        <v>27.53</v>
      </c>
      <c r="H108" s="15">
        <f>H99/H94</f>
        <v>31.42</v>
      </c>
      <c r="J108" s="15">
        <f>J99/J94</f>
        <v>29.625</v>
      </c>
      <c r="L108" s="15">
        <f>L99/L94</f>
        <v>30.45</v>
      </c>
      <c r="N108" s="15">
        <f>N99/N94</f>
        <v>24.98</v>
      </c>
    </row>
    <row r="109" spans="1:14" x14ac:dyDescent="0.4">
      <c r="B109" t="s">
        <v>63</v>
      </c>
      <c r="D109" s="15">
        <f>D100/D94</f>
        <v>19.309999999999999</v>
      </c>
      <c r="F109" s="15">
        <f>F100/F94</f>
        <v>11.58</v>
      </c>
      <c r="H109" s="15">
        <f>H100/H94</f>
        <v>24.25</v>
      </c>
      <c r="J109" s="15">
        <f>J100/J94</f>
        <v>24.81</v>
      </c>
      <c r="L109" s="15">
        <f>L100/L94</f>
        <v>24.45</v>
      </c>
      <c r="N109" s="15">
        <f>N100/N94</f>
        <v>16.38</v>
      </c>
    </row>
    <row r="110" spans="1:14" x14ac:dyDescent="0.4">
      <c r="B110" t="s">
        <v>64</v>
      </c>
      <c r="D110" s="15">
        <f>D101/D94</f>
        <v>27.91</v>
      </c>
      <c r="F110" s="15">
        <f>F101/F94</f>
        <v>21.639999</v>
      </c>
      <c r="H110" s="15">
        <f>H101/H94</f>
        <v>27.27</v>
      </c>
      <c r="J110" s="15">
        <f>J101/J94</f>
        <v>28.23</v>
      </c>
      <c r="L110" s="15">
        <f>L101/L94</f>
        <v>28.36</v>
      </c>
      <c r="N110" s="15">
        <f>N101/N94</f>
        <v>24.64</v>
      </c>
    </row>
    <row r="111" spans="1:14" x14ac:dyDescent="0.4">
      <c r="B111" t="s">
        <v>65</v>
      </c>
      <c r="D111" s="16">
        <f>D102*D94</f>
        <v>628.92353400000002</v>
      </c>
      <c r="E111" s="16"/>
      <c r="F111" s="16">
        <f>F102*F94</f>
        <v>551.355861</v>
      </c>
      <c r="G111" s="16"/>
      <c r="H111" s="16">
        <f>H102*H94</f>
        <v>502.24206099999998</v>
      </c>
      <c r="I111" s="16"/>
      <c r="J111" s="16">
        <f>J102*J94</f>
        <v>501.19799999999998</v>
      </c>
      <c r="K111" s="16"/>
      <c r="L111" s="16">
        <f>L102*L94</f>
        <v>431.04500000000002</v>
      </c>
      <c r="M111" s="16"/>
      <c r="N111" s="16">
        <f>N102*N94</f>
        <v>430.68299999999999</v>
      </c>
    </row>
    <row r="112" spans="1:14" x14ac:dyDescent="0.4">
      <c r="B112" t="s">
        <v>66</v>
      </c>
      <c r="D112" s="15">
        <f>ROUND(D68/D111,2)</f>
        <v>13.71</v>
      </c>
      <c r="F112" s="15">
        <f>ROUND(F68/F111,2)</f>
        <v>10.86</v>
      </c>
      <c r="H112" s="15">
        <f>ROUND(H68/H111,2)</f>
        <v>13.18</v>
      </c>
      <c r="J112" s="15">
        <f>ROUND(J68/J111,2)</f>
        <v>12.61</v>
      </c>
      <c r="L112" s="15">
        <f>ROUND(L68/L111,2)</f>
        <v>10.88</v>
      </c>
      <c r="N112" s="15">
        <f>ROUND(N68/N111,2)</f>
        <v>8.0299999999999994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CMS ENERGY CORP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19721</v>
      </c>
      <c r="F8" s="34">
        <f>F78+F79+F81-F103</f>
        <v>21359</v>
      </c>
      <c r="H8" s="34">
        <f>H78+H79+H81-H103</f>
        <v>18285</v>
      </c>
      <c r="J8" s="34">
        <f>J78+J79+J81-J103</f>
        <v>16537</v>
      </c>
      <c r="L8" s="34">
        <f>L78+L79+L81-L103</f>
        <v>14845</v>
      </c>
    </row>
    <row r="9" spans="1:15" x14ac:dyDescent="0.4">
      <c r="B9" t="s">
        <v>5</v>
      </c>
      <c r="D9" s="9">
        <f>D80</f>
        <v>0</v>
      </c>
      <c r="F9" s="9">
        <f>F80</f>
        <v>0</v>
      </c>
      <c r="H9" s="9">
        <f>H80</f>
        <v>90</v>
      </c>
      <c r="J9" s="9">
        <f>J80</f>
        <v>97</v>
      </c>
      <c r="L9" s="9">
        <f>L80</f>
        <v>170</v>
      </c>
    </row>
    <row r="10" spans="1:15" ht="15.4" thickBot="1" x14ac:dyDescent="0.45">
      <c r="B10" t="s">
        <v>7</v>
      </c>
      <c r="D10" s="10">
        <f>D8+D9</f>
        <v>19721</v>
      </c>
      <c r="F10" s="10">
        <f>F8+F9</f>
        <v>21359</v>
      </c>
      <c r="H10" s="10">
        <f>H8+H9</f>
        <v>18375</v>
      </c>
      <c r="J10" s="10">
        <f>J8+J9</f>
        <v>16634</v>
      </c>
      <c r="L10" s="10">
        <f>L8+L9</f>
        <v>15015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23</v>
      </c>
      <c r="E13" s="7" t="s">
        <v>3</v>
      </c>
      <c r="F13" s="30">
        <f>ROUND(AVERAGE(F108:F109)/F105,0)</f>
        <v>22</v>
      </c>
      <c r="G13" s="7" t="s">
        <v>3</v>
      </c>
      <c r="H13" s="30">
        <f>ROUND(AVERAGE(H108:H109)/H105,0)</f>
        <v>24</v>
      </c>
      <c r="I13" s="7" t="s">
        <v>3</v>
      </c>
      <c r="J13" s="30">
        <f>ROUND(AVERAGE(J108:J109)/J105,0)</f>
        <v>20</v>
      </c>
      <c r="K13" s="7" t="s">
        <v>3</v>
      </c>
      <c r="L13" s="30">
        <f>ROUND(AVERAGE(L108:L109)/L105,0)</f>
        <v>28</v>
      </c>
      <c r="M13" s="7" t="s">
        <v>3</v>
      </c>
      <c r="N13" s="30">
        <f>AVERAGE(D13,F13,H13,J13,L13)</f>
        <v>23.4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2.8929999999999998</v>
      </c>
      <c r="E14" s="3"/>
      <c r="F14" s="3">
        <f>ROUND(AVERAGE(F108:F109)/AVERAGE(F112,H112),3)</f>
        <v>3.1389999999999998</v>
      </c>
      <c r="G14" s="3"/>
      <c r="H14" s="3">
        <f>ROUND(AVERAGE(H108:H109)/AVERAGE(H112,J112),3)</f>
        <v>3.2869999999999999</v>
      </c>
      <c r="I14" s="3"/>
      <c r="J14" s="3">
        <f>ROUND(AVERAGE(J108:J109)/AVERAGE(J112,L112),3)</f>
        <v>2.8969999999999998</v>
      </c>
      <c r="K14" s="3"/>
      <c r="L14" s="3">
        <f>ROUND(AVERAGE(L108:L109)/AVERAGE(L112,N112),3)</f>
        <v>2.9670000000000001</v>
      </c>
      <c r="M14" s="3"/>
      <c r="N14" s="3">
        <f>AVERAGE(D14,F14,H14,J14,L14)</f>
        <v>3.0366</v>
      </c>
    </row>
    <row r="15" spans="1:15" x14ac:dyDescent="0.4">
      <c r="B15" t="s">
        <v>9</v>
      </c>
      <c r="D15" s="3">
        <f>ROUND(D106/AVERAGE(D108:D109),3)</f>
        <v>2.9000000000000001E-2</v>
      </c>
      <c r="E15" s="3"/>
      <c r="F15" s="3">
        <f>ROUND(F106/AVERAGE(F108:F109),3)</f>
        <v>2.8000000000000001E-2</v>
      </c>
      <c r="G15" s="3"/>
      <c r="H15" s="3">
        <f>ROUND(H106/AVERAGE(H108:H109),3)</f>
        <v>2.7E-2</v>
      </c>
      <c r="I15" s="3"/>
      <c r="J15" s="3">
        <f>ROUND(J106/AVERAGE(J108:J109),3)</f>
        <v>0.03</v>
      </c>
      <c r="K15" s="3"/>
      <c r="L15" s="3">
        <f>ROUND(L106/AVERAGE(L108:L109),3)</f>
        <v>2.9000000000000001E-2</v>
      </c>
      <c r="M15" s="3"/>
      <c r="N15" s="3">
        <f>AVERAGE(D15,F15,H15,J15,L15)</f>
        <v>2.8600000000000004E-2</v>
      </c>
    </row>
    <row r="16" spans="1:15" x14ac:dyDescent="0.4">
      <c r="B16" t="s">
        <v>10</v>
      </c>
      <c r="D16" s="3">
        <f>ROUND(D96/D66,3)</f>
        <v>0.69799999999999995</v>
      </c>
      <c r="E16" s="3"/>
      <c r="F16" s="3">
        <f>ROUND(F96/F66,3)</f>
        <v>0.61799999999999999</v>
      </c>
      <c r="G16" s="3"/>
      <c r="H16" s="3">
        <f>ROUND(H96/H66,3)</f>
        <v>0.63800000000000001</v>
      </c>
      <c r="I16" s="3"/>
      <c r="J16" s="3">
        <f>ROUND(J96/J66,3)</f>
        <v>0.61599999999999999</v>
      </c>
      <c r="K16" s="3"/>
      <c r="L16" s="3">
        <f>ROUND(L96/L66,3)</f>
        <v>0.81499999999999995</v>
      </c>
      <c r="M16" s="3"/>
      <c r="N16" s="3">
        <f>AVERAGE(D16,F16,H16,J16,L16)</f>
        <v>0.67699999999999994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0.63300000000000001</v>
      </c>
      <c r="E20" s="3"/>
      <c r="F20" s="3">
        <f>ROUND((+F76+F79)/F8,3)</f>
        <v>0.71099999999999997</v>
      </c>
      <c r="G20" s="3"/>
      <c r="H20" s="3">
        <f>ROUND((+H76+H79)/H8,3)</f>
        <v>0.72</v>
      </c>
      <c r="I20" s="3"/>
      <c r="J20" s="3">
        <f>ROUND((+J76+J79)/J8,3)</f>
        <v>0.70599999999999996</v>
      </c>
      <c r="K20" s="3"/>
      <c r="L20" s="3">
        <f>ROUND((+L76+L79)/L8,3)</f>
        <v>0.69499999999999995</v>
      </c>
      <c r="M20" s="3"/>
      <c r="N20" s="3">
        <f>AVERAGE(D20,F20,H20,J20,L20)</f>
        <v>0.69299999999999995</v>
      </c>
    </row>
    <row r="21" spans="1:14" x14ac:dyDescent="0.4">
      <c r="B21" s="31" t="s">
        <v>93</v>
      </c>
      <c r="D21" s="3">
        <f>ROUND((SUM(D69:D75)+D81)/D8,3)</f>
        <v>0.04</v>
      </c>
      <c r="E21" s="3"/>
      <c r="F21" s="3">
        <f>ROUND((SUM(F69:F75)+F81)/F8,3)</f>
        <v>2.7E-2</v>
      </c>
      <c r="G21" s="3"/>
      <c r="H21" s="3">
        <f>ROUND((SUM(H69:H75)+H81)/H8,3)</f>
        <v>2E-3</v>
      </c>
      <c r="I21" s="3"/>
      <c r="J21" s="3">
        <f>ROUND((SUM(J69:J75)+J81)/J8,3)</f>
        <v>2E-3</v>
      </c>
      <c r="K21" s="3"/>
      <c r="L21" s="3">
        <f>ROUND((SUM(L69:L75)+L81)/L8,3)</f>
        <v>2E-3</v>
      </c>
      <c r="M21" s="3"/>
      <c r="N21" s="3">
        <f>AVERAGE(D21,F21,H21,J21,L21)</f>
        <v>1.4600000000000002E-2</v>
      </c>
    </row>
    <row r="22" spans="1:14" ht="17.25" x14ac:dyDescent="0.4">
      <c r="B22" s="32" t="s">
        <v>94</v>
      </c>
      <c r="D22" s="4">
        <f>ROUND((D68-D103)/D8,3)</f>
        <v>0.32800000000000001</v>
      </c>
      <c r="E22" s="3"/>
      <c r="F22" s="4">
        <f>ROUND((F68-F103)/F8,3)</f>
        <v>0.26100000000000001</v>
      </c>
      <c r="G22" s="3"/>
      <c r="H22" s="4">
        <f>ROUND((H68-H103)/H8,3)</f>
        <v>0.27800000000000002</v>
      </c>
      <c r="I22" s="3"/>
      <c r="J22" s="4">
        <f>ROUND((J68-J103)/J8,3)</f>
        <v>0.29099999999999998</v>
      </c>
      <c r="K22" s="3"/>
      <c r="L22" s="4">
        <f>ROUND((L68-L103)/L8,3)</f>
        <v>0.30299999999999999</v>
      </c>
      <c r="M22" s="3"/>
      <c r="N22" s="4">
        <f>AVERAGE(D22,F22,H22,J22,L22)</f>
        <v>0.29219999999999996</v>
      </c>
    </row>
    <row r="23" spans="1:14" ht="15.4" thickBot="1" x14ac:dyDescent="0.45">
      <c r="D23" s="5">
        <f>SUM(D20:D22)</f>
        <v>1.0010000000000001</v>
      </c>
      <c r="E23" s="3"/>
      <c r="F23" s="5">
        <f>SUM(F20:F22)</f>
        <v>0.999</v>
      </c>
      <c r="G23" s="3"/>
      <c r="H23" s="5">
        <f>SUM(H20:H22)</f>
        <v>1</v>
      </c>
      <c r="I23" s="3"/>
      <c r="J23" s="5">
        <f>SUM(J20:J22)</f>
        <v>0.99899999999999989</v>
      </c>
      <c r="K23" s="3"/>
      <c r="L23" s="5">
        <f>SUM(L20:L22)</f>
        <v>1</v>
      </c>
      <c r="M23" s="3"/>
      <c r="N23" s="5">
        <f>AVERAGE(D23,F23,H23,J23,L23)</f>
        <v>0.99979999999999991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0.63300000000000001</v>
      </c>
      <c r="E25" s="3"/>
      <c r="F25" s="3">
        <f>ROUND((+F76+F79+F80)/F10,3)</f>
        <v>0.71099999999999997</v>
      </c>
      <c r="G25" s="3"/>
      <c r="H25" s="3">
        <f>ROUND((+H76+H79+H80)/H10,3)</f>
        <v>0.72099999999999997</v>
      </c>
      <c r="I25" s="3"/>
      <c r="J25" s="3">
        <f>ROUND((+J76+J79+J80)/J10,3)</f>
        <v>0.70799999999999996</v>
      </c>
      <c r="K25" s="3"/>
      <c r="L25" s="3">
        <f>ROUND((+L76+L79+L80)/L10,3)</f>
        <v>0.69799999999999995</v>
      </c>
      <c r="M25" s="3"/>
      <c r="N25" s="3">
        <f>AVERAGE(D25,F25,H25,J25,L25)</f>
        <v>0.69419999999999993</v>
      </c>
    </row>
    <row r="26" spans="1:14" x14ac:dyDescent="0.4">
      <c r="B26" s="31" t="s">
        <v>93</v>
      </c>
      <c r="D26" s="3">
        <f>ROUND((SUM(D69:D75)+D81)/D10,3)</f>
        <v>0.04</v>
      </c>
      <c r="E26" s="3"/>
      <c r="F26" s="3">
        <f>ROUND((SUM(F69:F75)+F81)/F10,3)</f>
        <v>2.7E-2</v>
      </c>
      <c r="G26" s="3"/>
      <c r="H26" s="3">
        <f>ROUND((SUM(H69:H75)+H81)/H10,3)</f>
        <v>2E-3</v>
      </c>
      <c r="I26" s="3"/>
      <c r="J26" s="3">
        <f>ROUND((SUM(J69:J75)+J81)/J10,3)</f>
        <v>2E-3</v>
      </c>
      <c r="K26" s="3"/>
      <c r="L26" s="3">
        <f>ROUND((SUM(L69:L75)+L81)/L10,3)</f>
        <v>2E-3</v>
      </c>
      <c r="M26" s="3"/>
      <c r="N26" s="3">
        <f>AVERAGE(D26,F26,H26,J26,L26)</f>
        <v>1.4600000000000002E-2</v>
      </c>
    </row>
    <row r="27" spans="1:14" ht="17.25" x14ac:dyDescent="0.4">
      <c r="B27" s="32" t="s">
        <v>94</v>
      </c>
      <c r="D27" s="4">
        <f>ROUND((D68-D103)/D10,3)</f>
        <v>0.32800000000000001</v>
      </c>
      <c r="E27" s="3"/>
      <c r="F27" s="4">
        <f>ROUND((F68-F103)/F10,3)</f>
        <v>0.26100000000000001</v>
      </c>
      <c r="G27" s="3"/>
      <c r="H27" s="4">
        <f>ROUND((H68-H103)/H10,3)</f>
        <v>0.27700000000000002</v>
      </c>
      <c r="I27" s="3"/>
      <c r="J27" s="4">
        <f>ROUND((J68-J103)/J10,3)</f>
        <v>0.28999999999999998</v>
      </c>
      <c r="K27" s="3"/>
      <c r="L27" s="4">
        <f>ROUND((L68-L103)/L10,3)</f>
        <v>0.29899999999999999</v>
      </c>
      <c r="M27" s="3"/>
      <c r="N27" s="4">
        <f>AVERAGE(D27,F27,H27,J27,L27)</f>
        <v>0.29099999999999998</v>
      </c>
    </row>
    <row r="28" spans="1:14" ht="15.4" thickBot="1" x14ac:dyDescent="0.45">
      <c r="D28" s="5">
        <f>SUM(D25:D27)</f>
        <v>1.0010000000000001</v>
      </c>
      <c r="E28" s="3"/>
      <c r="F28" s="5">
        <f>SUM(F25:F27)</f>
        <v>0.999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0.99899999999999989</v>
      </c>
      <c r="M28" s="3"/>
      <c r="N28" s="5">
        <f>AVERAGE(D28,F28,H28,J28,L28)</f>
        <v>0.99979999999999991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0.12</v>
      </c>
      <c r="E30" s="3"/>
      <c r="F30" s="3">
        <f>ROUND(+F66/(((F68-F103)+(H68-H103))/2),3)</f>
        <v>0.14099999999999999</v>
      </c>
      <c r="G30" s="3"/>
      <c r="H30" s="3">
        <f>ROUND(+H66/(((H68-H103)+(J68-J103))/2),3)</f>
        <v>0.13700000000000001</v>
      </c>
      <c r="I30" s="3"/>
      <c r="J30" s="3">
        <f>ROUND(+J66/(((J68-J103)+(L68-L103))/2),3)</f>
        <v>0.14099999999999999</v>
      </c>
      <c r="K30" s="3"/>
      <c r="L30" s="3">
        <f>ROUND(+L66/(((L68-L103)+(N68-N103))/2),3)</f>
        <v>0.105</v>
      </c>
      <c r="M30" s="3"/>
      <c r="N30" s="3">
        <f>AVERAGE(D30,F30,H30,J30,L30)</f>
        <v>0.1288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0.84399999999999997</v>
      </c>
      <c r="E32" s="3"/>
      <c r="F32" s="3">
        <f>ROUND((+F58-F57)/F56,3)</f>
        <v>0.79600000000000004</v>
      </c>
      <c r="G32" s="3"/>
      <c r="H32" s="3">
        <f>ROUND((+H58-H57)/H56,3)</f>
        <v>0.81899999999999995</v>
      </c>
      <c r="I32" s="3"/>
      <c r="J32" s="3">
        <f>ROUND((+J58-J57)/J56,3)</f>
        <v>0.83099999999999996</v>
      </c>
      <c r="K32" s="3"/>
      <c r="L32" s="3">
        <f>ROUND((+L58-L57)/L56,3)</f>
        <v>0.79700000000000004</v>
      </c>
      <c r="M32" s="3"/>
      <c r="N32" s="3">
        <f>AVERAGE(D32,F32,H32,J32,L32)</f>
        <v>0.8173999999999999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2.65</v>
      </c>
      <c r="E35" s="7" t="s">
        <v>3</v>
      </c>
      <c r="F35" s="7">
        <f>ROUND(((+F66+F65+F64+F63+F61+F59+F57)/F61),2)</f>
        <v>2.57</v>
      </c>
      <c r="G35" s="7" t="s">
        <v>3</v>
      </c>
      <c r="H35" s="7">
        <f>ROUND(((+H66+H65+H64+H63+H61+H59+H57)/H61),2)</f>
        <v>2.58</v>
      </c>
      <c r="I35" s="7" t="s">
        <v>3</v>
      </c>
      <c r="J35" s="7">
        <f>ROUND(((+J66+J65+J64+J63+J61+J59+J57)/J61),2)</f>
        <v>2.67</v>
      </c>
      <c r="K35" s="7" t="s">
        <v>3</v>
      </c>
      <c r="L35" s="7">
        <f>ROUND(((+L66+L65+L64+L63+L61+L59+L57)/L61),2)</f>
        <v>3.01</v>
      </c>
      <c r="M35" s="7" t="s">
        <v>3</v>
      </c>
      <c r="N35" s="26">
        <f>AVERAGE(D35,F35,H35,J35,L35)</f>
        <v>2.6959999999999997</v>
      </c>
      <c r="O35" t="s">
        <v>3</v>
      </c>
    </row>
    <row r="36" spans="1:15" x14ac:dyDescent="0.4">
      <c r="B36" t="s">
        <v>21</v>
      </c>
      <c r="D36" s="7">
        <f>ROUND(((+D66+D65+D64+D63+D61)/(D61)),2)</f>
        <v>2.46</v>
      </c>
      <c r="E36" s="7" t="s">
        <v>3</v>
      </c>
      <c r="F36" s="7">
        <f>ROUND(((+F66+F65+F64+F63+F61)/(F61)),2)</f>
        <v>2.34</v>
      </c>
      <c r="G36" s="7" t="s">
        <v>3</v>
      </c>
      <c r="H36" s="7">
        <f>ROUND(((+H66+H65+H64+H63+H61)/(H61)),2)</f>
        <v>2.2999999999999998</v>
      </c>
      <c r="I36" s="7" t="s">
        <v>3</v>
      </c>
      <c r="J36" s="7">
        <f>ROUND(((+J66+J65+J64+J63+J61)/(J61)),2)</f>
        <v>2.4300000000000002</v>
      </c>
      <c r="K36" s="7" t="s">
        <v>3</v>
      </c>
      <c r="L36" s="7">
        <f>ROUND(((+L66+L65+L64+L63+L61)/(L61)),2)</f>
        <v>2.0499999999999998</v>
      </c>
      <c r="M36" s="7" t="s">
        <v>3</v>
      </c>
      <c r="N36" s="26">
        <f>AVERAGE(D36,F36,H36,J36,L36)</f>
        <v>2.3159999999999998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2.4300000000000002</v>
      </c>
      <c r="E37" s="7" t="s">
        <v>3</v>
      </c>
      <c r="F37" s="7">
        <f>ROUND(((+F66+F65+F64+F63+F61)/(F61+F63+F64+F65)),2)</f>
        <v>2.34</v>
      </c>
      <c r="G37" s="7" t="s">
        <v>3</v>
      </c>
      <c r="H37" s="7">
        <f>ROUND(((+H66+H65+H64+H63+H61)/(H61+H63+H64+H65)),2)</f>
        <v>2.2999999999999998</v>
      </c>
      <c r="I37" s="7" t="s">
        <v>3</v>
      </c>
      <c r="J37" s="7">
        <f>ROUND(((+J66+J65+J64+J63+J61)/(J61+J63+J64+J65)),2)</f>
        <v>2.4300000000000002</v>
      </c>
      <c r="K37" s="7" t="s">
        <v>3</v>
      </c>
      <c r="L37" s="7">
        <f>ROUND(((+L66+L65+L64+L63+L61)/(L61+L63+L64+L65)),2)</f>
        <v>2.0499999999999998</v>
      </c>
      <c r="M37" s="7" t="s">
        <v>3</v>
      </c>
      <c r="N37" s="26">
        <f>AVERAGE(D37,F37,H37,J37,L37)</f>
        <v>2.31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2.62</v>
      </c>
      <c r="E40" s="7" t="s">
        <v>3</v>
      </c>
      <c r="F40" s="7">
        <f>ROUND(((+F66+F65+F64+F63-F62+F61+F59+F57)/F61),2)</f>
        <v>2.56</v>
      </c>
      <c r="G40" s="7" t="s">
        <v>3</v>
      </c>
      <c r="H40" s="7">
        <f>ROUND(((+H66+H65+H64+H63-H62+H61+H59+H57)/H61),2)</f>
        <v>2.5499999999999998</v>
      </c>
      <c r="I40" s="7" t="s">
        <v>3</v>
      </c>
      <c r="J40" s="7">
        <f>ROUND(((+J66+J65+J64+J63-J62+J61+J59+J57)/J61),2)</f>
        <v>2.66</v>
      </c>
      <c r="K40" s="7" t="s">
        <v>3</v>
      </c>
      <c r="L40" s="7">
        <f>ROUND(((+L66+L65+L64+L63-L62+L61+L59+L57)/L61),2)</f>
        <v>2.99</v>
      </c>
      <c r="M40" s="7" t="s">
        <v>3</v>
      </c>
      <c r="N40" s="26">
        <f>AVERAGE(D40,F40,H40,J40,L40)</f>
        <v>2.6760000000000002</v>
      </c>
      <c r="O40" t="s">
        <v>3</v>
      </c>
    </row>
    <row r="41" spans="1:15" x14ac:dyDescent="0.4">
      <c r="B41" t="s">
        <v>21</v>
      </c>
      <c r="D41" s="7">
        <f>ROUND(((+D66+D65+D64+D63-D62+D61)/D61),2)</f>
        <v>2.4300000000000002</v>
      </c>
      <c r="E41" s="7" t="s">
        <v>3</v>
      </c>
      <c r="F41" s="7">
        <f>ROUND(((+F66+F65+F64+F63-F62+F61)/F61),2)</f>
        <v>2.3199999999999998</v>
      </c>
      <c r="G41" s="7" t="s">
        <v>3</v>
      </c>
      <c r="H41" s="7">
        <f>ROUND(((+H66+H65+H64+H63-H62+H61)/H61),2)</f>
        <v>2.27</v>
      </c>
      <c r="I41" s="7" t="s">
        <v>3</v>
      </c>
      <c r="J41" s="7">
        <f>ROUND(((+J66+J65+J64+J63-J62+J61)/J61),2)</f>
        <v>2.41</v>
      </c>
      <c r="K41" s="7" t="s">
        <v>3</v>
      </c>
      <c r="L41" s="7">
        <f>ROUND(((+L66+L65+L64+L63-L62+L61)/L61),2)</f>
        <v>2.0299999999999998</v>
      </c>
      <c r="M41" s="7" t="s">
        <v>3</v>
      </c>
      <c r="N41" s="26">
        <f>AVERAGE(D41,F41,H41,J41,L41)</f>
        <v>2.2919999999999998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2.41</v>
      </c>
      <c r="E42" s="7" t="s">
        <v>3</v>
      </c>
      <c r="F42" s="7">
        <f>ROUND(((+F66+F65+F64+F63-F62+F61)/(F61+F63+F64+F65)),2)</f>
        <v>2.3199999999999998</v>
      </c>
      <c r="G42" s="7" t="s">
        <v>3</v>
      </c>
      <c r="H42" s="7">
        <f>ROUND(((+H66+H65+H64+H63-H62+H61)/(H61+H63+H64+H65)),2)</f>
        <v>2.27</v>
      </c>
      <c r="I42" s="7" t="s">
        <v>3</v>
      </c>
      <c r="J42" s="7">
        <f>ROUND(((+J66+J65+J64+J63-J62+J61)/(J61+J63+J64+J65)),2)</f>
        <v>2.41</v>
      </c>
      <c r="K42" s="7" t="s">
        <v>3</v>
      </c>
      <c r="L42" s="7">
        <f>ROUND(((+L66+L65+L64+L63-L62+L61)/(L61+L63+L64+L65)),2)</f>
        <v>2.0299999999999998</v>
      </c>
      <c r="M42" s="7" t="s">
        <v>3</v>
      </c>
      <c r="N42" s="26">
        <f>AVERAGE(D42,F42,H42,J42,L42)</f>
        <v>2.2879999999999998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1.4999999999999999E-2</v>
      </c>
      <c r="E45" s="11"/>
      <c r="F45" s="11">
        <f>ROUND(F62/F66,3)</f>
        <v>1.0999999999999999E-2</v>
      </c>
      <c r="G45" s="11"/>
      <c r="H45" s="11">
        <f>ROUND(H62/H66,3)</f>
        <v>2.1000000000000001E-2</v>
      </c>
      <c r="I45" s="11"/>
      <c r="J45" s="11">
        <f>ROUND(J62/J66,3)</f>
        <v>1.4E-2</v>
      </c>
      <c r="K45" s="11"/>
      <c r="L45" s="11">
        <f>ROUND(L62/L66,3)</f>
        <v>1.4999999999999999E-2</v>
      </c>
      <c r="M45" s="3"/>
      <c r="N45" s="3">
        <f t="shared" ref="N45:N50" si="0">AVERAGE(D45,F45,H45,J45,L45)</f>
        <v>1.52E-2</v>
      </c>
    </row>
    <row r="46" spans="1:15" x14ac:dyDescent="0.4">
      <c r="B46" t="s">
        <v>17</v>
      </c>
      <c r="D46" s="17">
        <f>ROUND((D57+D59)/(D57+D59+D66+D63+D64+D65),3)</f>
        <v>0.115</v>
      </c>
      <c r="E46" s="18"/>
      <c r="F46" s="17">
        <f>ROUND((F57+F59)/(F57+F59+F66+F63+F64+F65),3)</f>
        <v>0.15</v>
      </c>
      <c r="G46" s="18"/>
      <c r="H46" s="17">
        <f>ROUND((H57+H59)/(H57+H59+H66+H63+H64+H65),3)</f>
        <v>0.17799999999999999</v>
      </c>
      <c r="I46" s="18"/>
      <c r="J46" s="17">
        <f>ROUND((J57+J59)/(J57+J59+J66+J63+J64+J65),3)</f>
        <v>0.14899999999999999</v>
      </c>
      <c r="K46" s="18"/>
      <c r="L46" s="17">
        <f>ROUND((L57+L59)/(L57+L59+L66+L63+L64+L65),3)</f>
        <v>0.48</v>
      </c>
      <c r="N46" s="3">
        <f t="shared" si="0"/>
        <v>0.21440000000000001</v>
      </c>
    </row>
    <row r="47" spans="1:15" ht="17.25" x14ac:dyDescent="0.4">
      <c r="B47" s="33" t="s">
        <v>100</v>
      </c>
      <c r="D47" s="11">
        <f>ROUND(((+D82+D83+D84+D85+D86-D87+D88-D90-D91)/(+D89-D87)),3)</f>
        <v>0.65300000000000002</v>
      </c>
      <c r="E47" s="12"/>
      <c r="F47" s="11">
        <f>ROUND(((+F82+F83+F84+F85+F86-F87+F88-F90-F91)/(+F89-F87)),3)</f>
        <v>0.371</v>
      </c>
      <c r="G47" s="12"/>
      <c r="H47" s="11">
        <f>ROUND(((+H82+H83+H84+H85+H86-H87+H88-H90-H91)/(+H89-H87)),3)</f>
        <v>0.65900000000000003</v>
      </c>
      <c r="I47" s="12"/>
      <c r="J47" s="11">
        <f>ROUND(((+J82+J83+J84+J85+J86-J87+J88-J90-J91)/(+J89-J87)),3)</f>
        <v>0.57499999999999996</v>
      </c>
      <c r="K47" s="12"/>
      <c r="L47" s="11">
        <f>ROUND(((+L82+L83+L84+L85+L86-L87+L88-L90-L91)/(+L89-L87)),3)</f>
        <v>0.90300000000000002</v>
      </c>
      <c r="N47" s="3">
        <f t="shared" si="0"/>
        <v>0.63219999999999998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0.13500000000000001</v>
      </c>
      <c r="E48" s="12"/>
      <c r="F48" s="11">
        <f>ROUND(((+F82+F83+F84+F85+F86-F87+F88)/(AVERAGE(F76,H76)+AVERAGE(F79,H79)+AVERAGE(F80,H80))),3)</f>
        <v>9.2999999999999999E-2</v>
      </c>
      <c r="G48" s="12"/>
      <c r="H48" s="11">
        <f>ROUND(((+H82+H83+H84+H85+H86-H87+H88)/(AVERAGE(H76,J76)+AVERAGE(H79,J79)+AVERAGE(H80,J80))),3)</f>
        <v>0.14599999999999999</v>
      </c>
      <c r="I48" s="12"/>
      <c r="J48" s="11">
        <f>ROUND(((+J82+J83+J84+J85+J86-J87+J88)/(AVERAGE(J76,L76)+AVERAGE(J79,L79)+AVERAGE(J80,L80))),3)</f>
        <v>0.14399999999999999</v>
      </c>
      <c r="K48" s="12"/>
      <c r="L48" s="11">
        <f>ROUND(((+L82+L83+L84+L85+L86-L87+L88)/(AVERAGE(L76,N76)+AVERAGE(L79,N79)+AVERAGE(L80,N80))),3)</f>
        <v>0.183</v>
      </c>
      <c r="N48" s="3">
        <f t="shared" si="0"/>
        <v>0.14020000000000002</v>
      </c>
    </row>
    <row r="49" spans="1:15" ht="17.25" x14ac:dyDescent="0.4">
      <c r="B49" s="33" t="s">
        <v>102</v>
      </c>
      <c r="D49" s="27">
        <f>ROUND(((+D82+D83+D84+D85+D86-D87+D88+D92)/D61),2)</f>
        <v>4.71</v>
      </c>
      <c r="E49" t="s">
        <v>3</v>
      </c>
      <c r="F49" s="27">
        <f>ROUND(((+F82+F83+F84+F85+F86-F87+F88+F92)/F61),2)</f>
        <v>3.33</v>
      </c>
      <c r="G49" t="s">
        <v>3</v>
      </c>
      <c r="H49" s="27">
        <f>ROUND(((+H82+H83+H84+H85+H86-H87+H88+H92)/H61),2)</f>
        <v>4.4400000000000004</v>
      </c>
      <c r="I49" t="s">
        <v>3</v>
      </c>
      <c r="J49" s="27">
        <f>ROUND(((+J82+J83+J84+J85+J86-J87+J88+J92)/J61),2)</f>
        <v>4.46</v>
      </c>
      <c r="K49" t="s">
        <v>3</v>
      </c>
      <c r="L49" s="27">
        <f>ROUND(((+L82+L83+L84+L85+L86-L87+L88+L92)/L61),2)</f>
        <v>5.22</v>
      </c>
      <c r="M49" t="s">
        <v>3</v>
      </c>
      <c r="N49" s="27">
        <f t="shared" si="0"/>
        <v>4.4320000000000004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3.66</v>
      </c>
      <c r="E50" t="s">
        <v>3</v>
      </c>
      <c r="F50" s="27">
        <f>ROUND(((+F82+F83+F84+F85+F86-F87+F88-F91)/+F90),2)</f>
        <v>2.84</v>
      </c>
      <c r="G50" t="s">
        <v>3</v>
      </c>
      <c r="H50" s="27">
        <f>ROUND(((+H82+H83+H84+H85+H86-H87+H88-H91)/+H90),2)</f>
        <v>4.18</v>
      </c>
      <c r="I50" t="s">
        <v>3</v>
      </c>
      <c r="J50" s="27">
        <f>ROUND(((+J82+J83+J84+J85+J86-J87+J88-J91)/+J90),2)</f>
        <v>3.95</v>
      </c>
      <c r="K50" t="s">
        <v>3</v>
      </c>
      <c r="L50" s="27">
        <f>ROUND(((+L82+L83+L84+L85+L86-L87+L88-L91)/+L90),2)</f>
        <v>5.01</v>
      </c>
      <c r="M50" t="s">
        <v>3</v>
      </c>
      <c r="N50" s="27">
        <f t="shared" si="0"/>
        <v>3.9279999999999999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74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7329</v>
      </c>
      <c r="E56" s="22"/>
      <c r="F56" s="22">
        <v>6680</v>
      </c>
      <c r="G56" s="22"/>
      <c r="H56" s="22">
        <v>6845</v>
      </c>
      <c r="I56" s="22"/>
      <c r="J56" s="22">
        <v>6873</v>
      </c>
      <c r="K56" s="22"/>
      <c r="L56" s="22">
        <v>6583</v>
      </c>
      <c r="M56" s="22"/>
      <c r="N56" s="22">
        <v>6399</v>
      </c>
    </row>
    <row r="57" spans="1:15" x14ac:dyDescent="0.4">
      <c r="A57" s="20" t="s">
        <v>23</v>
      </c>
      <c r="B57" s="20"/>
      <c r="C57" s="20"/>
      <c r="D57" s="22">
        <v>95</v>
      </c>
      <c r="E57" s="22"/>
      <c r="F57" s="22">
        <v>133</v>
      </c>
      <c r="G57" s="22"/>
      <c r="H57" s="22">
        <v>147</v>
      </c>
      <c r="I57" s="22"/>
      <c r="J57" s="22">
        <v>115</v>
      </c>
      <c r="K57" s="22"/>
      <c r="L57" s="22">
        <v>424</v>
      </c>
      <c r="M57" s="22"/>
      <c r="N57" s="22">
        <v>273</v>
      </c>
    </row>
    <row r="58" spans="1:15" x14ac:dyDescent="0.4">
      <c r="A58" s="20" t="s">
        <v>24</v>
      </c>
      <c r="B58" s="20"/>
      <c r="C58" s="20"/>
      <c r="D58" s="22">
        <f>6183+D57</f>
        <v>6278</v>
      </c>
      <c r="E58" s="22"/>
      <c r="F58" s="22">
        <f>5318+F57</f>
        <v>5451</v>
      </c>
      <c r="G58" s="22"/>
      <c r="H58" s="22">
        <f>5606+H57</f>
        <v>5753</v>
      </c>
      <c r="I58" s="22"/>
      <c r="J58" s="22">
        <v>5826</v>
      </c>
      <c r="K58" s="22"/>
      <c r="L58" s="22">
        <v>5669</v>
      </c>
      <c r="M58" s="22"/>
      <c r="N58" s="22">
        <v>5375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1146-D57+177</f>
        <v>1228</v>
      </c>
      <c r="E60" s="22"/>
      <c r="F60" s="22">
        <f>1362-F57+84+2</f>
        <v>1315</v>
      </c>
      <c r="G60" s="22"/>
      <c r="H60" s="22">
        <f>1239-H57+109-2</f>
        <v>1199</v>
      </c>
      <c r="I60" s="22"/>
      <c r="J60" s="22">
        <v>1117</v>
      </c>
      <c r="K60" s="22"/>
      <c r="L60" s="22">
        <v>900</v>
      </c>
      <c r="M60" s="22"/>
      <c r="N60" s="22">
        <v>988</v>
      </c>
    </row>
    <row r="61" spans="1:15" x14ac:dyDescent="0.4">
      <c r="A61" s="20" t="s">
        <v>27</v>
      </c>
      <c r="B61" s="20"/>
      <c r="C61" s="20"/>
      <c r="D61" s="22">
        <f>500</f>
        <v>500</v>
      </c>
      <c r="E61" s="22"/>
      <c r="F61" s="22">
        <f>561+2</f>
        <v>563</v>
      </c>
      <c r="G61" s="22"/>
      <c r="H61" s="22">
        <f>519+4</f>
        <v>523</v>
      </c>
      <c r="I61" s="22"/>
      <c r="J61" s="22">
        <v>461</v>
      </c>
      <c r="K61" s="22"/>
      <c r="L61" s="22">
        <v>440</v>
      </c>
      <c r="M61" s="22"/>
      <c r="N61" s="22">
        <v>440</v>
      </c>
    </row>
    <row r="62" spans="1:15" x14ac:dyDescent="0.4">
      <c r="A62" s="20" t="s">
        <v>28</v>
      </c>
      <c r="B62" s="20"/>
      <c r="C62" s="20"/>
      <c r="D62" s="22">
        <f>8+3</f>
        <v>11</v>
      </c>
      <c r="E62" s="22"/>
      <c r="F62" s="22">
        <f>6+2</f>
        <v>8</v>
      </c>
      <c r="G62" s="22"/>
      <c r="H62" s="22">
        <f>10+4</f>
        <v>14</v>
      </c>
      <c r="I62" s="22"/>
      <c r="J62" s="22">
        <v>9</v>
      </c>
      <c r="K62" s="22"/>
      <c r="L62" s="22">
        <v>7</v>
      </c>
      <c r="M62" s="22"/>
      <c r="N62" s="22">
        <v>17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5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f>728-5</f>
        <v>723</v>
      </c>
      <c r="E66" s="22"/>
      <c r="F66" s="22">
        <v>752</v>
      </c>
      <c r="G66" s="22"/>
      <c r="H66" s="22">
        <v>680</v>
      </c>
      <c r="I66" s="22"/>
      <c r="J66" s="22">
        <v>657</v>
      </c>
      <c r="K66" s="22"/>
      <c r="L66" s="22">
        <v>460</v>
      </c>
      <c r="M66" s="22"/>
      <c r="N66" s="22">
        <v>551</v>
      </c>
    </row>
    <row r="67" spans="1:14" x14ac:dyDescent="0.4">
      <c r="A67" s="20" t="s">
        <v>33</v>
      </c>
      <c r="B67" s="20"/>
      <c r="C67" s="20"/>
      <c r="D67" s="22">
        <v>2.58</v>
      </c>
      <c r="E67" s="22"/>
      <c r="F67" s="22">
        <v>2.65</v>
      </c>
      <c r="G67" s="22"/>
      <c r="H67" s="22">
        <v>2.4</v>
      </c>
      <c r="I67" s="22"/>
      <c r="J67" s="22">
        <v>2.33</v>
      </c>
      <c r="K67" s="22"/>
      <c r="L67" s="22">
        <v>1.64</v>
      </c>
      <c r="M67" s="22"/>
      <c r="N67" s="22">
        <v>1.99</v>
      </c>
    </row>
    <row r="68" spans="1:14" x14ac:dyDescent="0.4">
      <c r="A68" s="20" t="s">
        <v>34</v>
      </c>
      <c r="B68" s="20"/>
      <c r="C68" s="20"/>
      <c r="D68" s="22">
        <v>6407</v>
      </c>
      <c r="E68" s="22"/>
      <c r="F68" s="22">
        <v>5496</v>
      </c>
      <c r="G68" s="22"/>
      <c r="H68" s="22">
        <v>5018</v>
      </c>
      <c r="I68" s="22"/>
      <c r="J68" s="22">
        <v>4755</v>
      </c>
      <c r="K68" s="22"/>
      <c r="L68" s="22">
        <v>4441</v>
      </c>
      <c r="M68" s="22"/>
      <c r="N68" s="22">
        <v>4253</v>
      </c>
    </row>
    <row r="69" spans="1:14" x14ac:dyDescent="0.4">
      <c r="A69" s="20" t="s">
        <v>35</v>
      </c>
      <c r="B69" s="20"/>
      <c r="C69" s="20"/>
      <c r="D69" s="22">
        <v>557</v>
      </c>
      <c r="E69" s="22"/>
      <c r="F69" s="22">
        <v>581</v>
      </c>
      <c r="G69" s="22"/>
      <c r="H69" s="22">
        <v>37</v>
      </c>
      <c r="I69" s="22"/>
      <c r="J69" s="22">
        <v>37</v>
      </c>
      <c r="K69" s="22"/>
      <c r="L69" s="22">
        <v>37</v>
      </c>
      <c r="M69" s="22"/>
      <c r="N69" s="22">
        <v>37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224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f>12046+46</f>
        <v>12092</v>
      </c>
      <c r="E76" s="22"/>
      <c r="F76" s="22">
        <f>13634+56</f>
        <v>13690</v>
      </c>
      <c r="G76" s="22"/>
      <c r="H76" s="22">
        <f>11951+76</f>
        <v>12027</v>
      </c>
      <c r="I76" s="22"/>
      <c r="J76" s="22">
        <v>10684</v>
      </c>
      <c r="K76" s="22"/>
      <c r="L76" s="22">
        <v>9214</v>
      </c>
      <c r="M76" s="22"/>
      <c r="N76" s="22">
        <v>8750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19280</v>
      </c>
      <c r="E78" s="22"/>
      <c r="F78" s="22">
        <f>SUM(F68:F77)</f>
        <v>19767</v>
      </c>
      <c r="G78" s="22"/>
      <c r="H78" s="22">
        <f>SUM(H68:H77)</f>
        <v>17082</v>
      </c>
      <c r="I78" s="22"/>
      <c r="J78" s="22">
        <v>15476</v>
      </c>
      <c r="K78" s="22"/>
      <c r="L78" s="22">
        <v>13692</v>
      </c>
      <c r="M78" s="22"/>
      <c r="N78" s="22">
        <v>13040</v>
      </c>
    </row>
    <row r="79" spans="1:14" x14ac:dyDescent="0.4">
      <c r="A79" s="20" t="s">
        <v>45</v>
      </c>
      <c r="B79" s="20"/>
      <c r="C79" s="20"/>
      <c r="D79" s="22">
        <v>382</v>
      </c>
      <c r="E79" s="22"/>
      <c r="F79" s="22">
        <v>1506</v>
      </c>
      <c r="G79" s="22"/>
      <c r="H79" s="22">
        <v>1130</v>
      </c>
      <c r="I79" s="22"/>
      <c r="J79" s="22">
        <v>996</v>
      </c>
      <c r="K79" s="22"/>
      <c r="L79" s="22">
        <v>1103</v>
      </c>
      <c r="M79" s="22"/>
      <c r="N79" s="22">
        <v>886</v>
      </c>
    </row>
    <row r="80" spans="1:14" x14ac:dyDescent="0.4">
      <c r="A80" s="20" t="s">
        <v>46</v>
      </c>
      <c r="B80" s="20"/>
      <c r="C80" s="20"/>
      <c r="D80" s="22">
        <v>0</v>
      </c>
      <c r="E80" s="22"/>
      <c r="F80" s="22">
        <v>0</v>
      </c>
      <c r="G80" s="22"/>
      <c r="H80" s="22">
        <v>90</v>
      </c>
      <c r="I80" s="22"/>
      <c r="J80" s="22">
        <v>97</v>
      </c>
      <c r="K80" s="22"/>
      <c r="L80" s="22">
        <v>170</v>
      </c>
      <c r="M80" s="22"/>
      <c r="N80" s="22">
        <v>398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1330</v>
      </c>
      <c r="E82" s="22"/>
      <c r="F82" s="22">
        <v>752</v>
      </c>
      <c r="G82" s="22"/>
      <c r="H82" s="22">
        <v>682</v>
      </c>
      <c r="I82" s="22"/>
      <c r="J82" s="22">
        <v>659</v>
      </c>
      <c r="K82" s="22"/>
      <c r="L82" s="22">
        <v>462</v>
      </c>
      <c r="M82" s="22"/>
      <c r="N82" s="22">
        <v>553</v>
      </c>
    </row>
    <row r="83" spans="1:14" x14ac:dyDescent="0.4">
      <c r="A83" s="20" t="s">
        <v>49</v>
      </c>
      <c r="B83" s="20"/>
      <c r="C83" s="20"/>
      <c r="D83" s="22">
        <v>1114</v>
      </c>
      <c r="E83" s="22"/>
      <c r="F83" s="22">
        <v>1048</v>
      </c>
      <c r="G83" s="22"/>
      <c r="H83" s="22">
        <v>992</v>
      </c>
      <c r="I83" s="22"/>
      <c r="J83" s="22">
        <v>933</v>
      </c>
      <c r="K83" s="22"/>
      <c r="L83" s="22">
        <v>881</v>
      </c>
      <c r="M83" s="22"/>
      <c r="N83" s="22">
        <v>811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249</v>
      </c>
      <c r="E85" s="22"/>
      <c r="F85" s="22">
        <v>170</v>
      </c>
      <c r="G85" s="22"/>
      <c r="H85" s="22">
        <v>150</v>
      </c>
      <c r="I85" s="22"/>
      <c r="J85" s="22">
        <v>182</v>
      </c>
      <c r="K85" s="22"/>
      <c r="L85" s="22">
        <v>417</v>
      </c>
      <c r="M85" s="22"/>
      <c r="N85" s="22">
        <v>264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22-12-657-70-111</f>
        <v>-828</v>
      </c>
      <c r="E88" s="22"/>
      <c r="F88" s="22">
        <f>90-22-712</f>
        <v>-644</v>
      </c>
      <c r="G88" s="22"/>
      <c r="H88" s="22">
        <f>67-58-10</f>
        <v>-1</v>
      </c>
      <c r="I88" s="22"/>
      <c r="J88" s="22">
        <v>-176</v>
      </c>
      <c r="K88" s="22"/>
      <c r="L88" s="22">
        <v>119</v>
      </c>
      <c r="M88" s="22"/>
      <c r="N88" s="22">
        <v>-6</v>
      </c>
    </row>
    <row r="89" spans="1:14" x14ac:dyDescent="0.4">
      <c r="A89" s="20" t="s">
        <v>54</v>
      </c>
      <c r="B89" s="20"/>
      <c r="C89" s="20"/>
      <c r="D89" s="22">
        <v>2076</v>
      </c>
      <c r="E89" s="22"/>
      <c r="F89" s="22">
        <v>2317</v>
      </c>
      <c r="G89" s="22"/>
      <c r="H89" s="22">
        <v>2104</v>
      </c>
      <c r="I89" s="22"/>
      <c r="J89" s="22">
        <v>2074</v>
      </c>
      <c r="K89" s="22"/>
      <c r="L89" s="22">
        <v>1665</v>
      </c>
      <c r="M89" s="22"/>
      <c r="N89" s="22">
        <v>1672</v>
      </c>
    </row>
    <row r="90" spans="1:14" x14ac:dyDescent="0.4">
      <c r="A90" s="20" t="s">
        <v>55</v>
      </c>
      <c r="B90" s="20"/>
      <c r="C90" s="20"/>
      <c r="D90" s="22">
        <v>509</v>
      </c>
      <c r="E90" s="22"/>
      <c r="F90" s="22">
        <v>467</v>
      </c>
      <c r="G90" s="22"/>
      <c r="H90" s="22">
        <v>436</v>
      </c>
      <c r="I90" s="22"/>
      <c r="J90" s="22">
        <v>405</v>
      </c>
      <c r="K90" s="22"/>
      <c r="L90" s="22">
        <v>375</v>
      </c>
      <c r="M90" s="22"/>
      <c r="N90" s="22">
        <v>345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489</v>
      </c>
      <c r="E92" s="22"/>
      <c r="F92" s="22">
        <v>549</v>
      </c>
      <c r="G92" s="22"/>
      <c r="H92" s="22">
        <v>498</v>
      </c>
      <c r="I92" s="22"/>
      <c r="J92" s="22">
        <v>458</v>
      </c>
      <c r="K92" s="22"/>
      <c r="L92" s="22">
        <v>418</v>
      </c>
      <c r="M92" s="22"/>
      <c r="N92" s="22">
        <v>427</v>
      </c>
    </row>
    <row r="93" spans="1:14" x14ac:dyDescent="0.4">
      <c r="A93" s="20" t="s">
        <v>58</v>
      </c>
      <c r="B93" s="20"/>
      <c r="C93" s="20"/>
      <c r="D93" s="22">
        <v>16</v>
      </c>
      <c r="E93" s="22"/>
      <c r="F93" s="22">
        <v>-58</v>
      </c>
      <c r="G93" s="22"/>
      <c r="H93" s="22">
        <v>-58</v>
      </c>
      <c r="I93" s="22"/>
      <c r="J93" s="22">
        <v>-123</v>
      </c>
      <c r="K93" s="22"/>
      <c r="L93" s="22">
        <v>5</v>
      </c>
      <c r="M93" s="22"/>
      <c r="N93" s="22">
        <v>32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505</v>
      </c>
      <c r="E96" s="22"/>
      <c r="F96" s="22">
        <v>465</v>
      </c>
      <c r="G96" s="22"/>
      <c r="H96" s="22">
        <v>434</v>
      </c>
      <c r="I96" s="22"/>
      <c r="J96" s="22">
        <v>405</v>
      </c>
      <c r="K96" s="22"/>
      <c r="L96" s="22">
        <v>375</v>
      </c>
      <c r="M96" s="22"/>
      <c r="N96" s="22">
        <v>345</v>
      </c>
    </row>
    <row r="97" spans="1:14" x14ac:dyDescent="0.4">
      <c r="A97" s="20" t="s">
        <v>60</v>
      </c>
      <c r="B97" s="20"/>
      <c r="C97" s="20"/>
      <c r="D97" s="22">
        <v>1.74</v>
      </c>
      <c r="E97" s="22"/>
      <c r="F97" s="22">
        <v>1.63</v>
      </c>
      <c r="G97" s="22"/>
      <c r="H97" s="22">
        <v>1.53</v>
      </c>
      <c r="I97" s="22"/>
      <c r="J97" s="22">
        <v>1.43</v>
      </c>
      <c r="K97" s="22"/>
      <c r="L97" s="22">
        <v>1.33</v>
      </c>
      <c r="M97" s="22"/>
      <c r="N97" s="22">
        <v>1.24</v>
      </c>
    </row>
    <row r="98" spans="1:14" x14ac:dyDescent="0.4">
      <c r="A98" s="20" t="s">
        <v>61</v>
      </c>
      <c r="B98" s="20"/>
      <c r="C98" s="20"/>
      <c r="D98" s="22">
        <v>1.74</v>
      </c>
      <c r="E98" s="22"/>
      <c r="F98" s="22">
        <v>1.63</v>
      </c>
      <c r="G98" s="22"/>
      <c r="H98" s="22">
        <v>1.53</v>
      </c>
      <c r="I98" s="22"/>
      <c r="J98" s="22">
        <v>1.43</v>
      </c>
      <c r="K98" s="22"/>
      <c r="L98" s="22">
        <v>1.33</v>
      </c>
      <c r="M98" s="22"/>
      <c r="N98" s="22">
        <v>1.24</v>
      </c>
    </row>
    <row r="99" spans="1:14" x14ac:dyDescent="0.4">
      <c r="A99" s="20" t="s">
        <v>62</v>
      </c>
      <c r="B99" s="20"/>
      <c r="C99" s="20"/>
      <c r="D99" s="22">
        <v>65.790000000000006</v>
      </c>
      <c r="E99" s="22"/>
      <c r="F99" s="22">
        <v>69.17</v>
      </c>
      <c r="G99" s="22"/>
      <c r="H99" s="22">
        <v>65.31</v>
      </c>
      <c r="I99" s="22"/>
      <c r="J99" s="22">
        <v>53.82</v>
      </c>
      <c r="K99" s="22"/>
      <c r="L99" s="22">
        <v>50.85</v>
      </c>
      <c r="M99" s="22"/>
      <c r="N99" s="22">
        <v>46.25</v>
      </c>
    </row>
    <row r="100" spans="1:14" x14ac:dyDescent="0.4">
      <c r="A100" s="20" t="s">
        <v>63</v>
      </c>
      <c r="B100" s="20"/>
      <c r="C100" s="20"/>
      <c r="D100" s="22">
        <v>53.19</v>
      </c>
      <c r="E100" s="22"/>
      <c r="F100" s="22">
        <v>46.03</v>
      </c>
      <c r="G100" s="22"/>
      <c r="H100" s="22">
        <v>47.97</v>
      </c>
      <c r="I100" s="22"/>
      <c r="J100" s="22">
        <v>40.479999999999997</v>
      </c>
      <c r="K100" s="22"/>
      <c r="L100" s="22">
        <v>41.12</v>
      </c>
      <c r="M100" s="22"/>
      <c r="N100" s="22">
        <v>34.96</v>
      </c>
    </row>
    <row r="101" spans="1:14" x14ac:dyDescent="0.4">
      <c r="A101" s="20" t="s">
        <v>64</v>
      </c>
      <c r="B101" s="20"/>
      <c r="C101" s="20"/>
      <c r="D101" s="22">
        <v>65.05</v>
      </c>
      <c r="E101" s="22"/>
      <c r="F101" s="22">
        <v>61.01</v>
      </c>
      <c r="G101" s="22"/>
      <c r="H101" s="22">
        <v>62.84</v>
      </c>
      <c r="I101" s="22"/>
      <c r="J101" s="22">
        <v>49.65</v>
      </c>
      <c r="K101" s="22"/>
      <c r="L101" s="22">
        <v>47.3</v>
      </c>
      <c r="M101" s="22"/>
      <c r="N101" s="22">
        <v>41.62</v>
      </c>
    </row>
    <row r="102" spans="1:14" x14ac:dyDescent="0.4">
      <c r="A102" s="20" t="s">
        <v>65</v>
      </c>
      <c r="B102" s="20"/>
      <c r="C102" s="20"/>
      <c r="D102" s="22">
        <v>289.75799999999998</v>
      </c>
      <c r="E102" s="22"/>
      <c r="F102" s="22">
        <v>288.94</v>
      </c>
      <c r="G102" s="22"/>
      <c r="H102" s="22">
        <v>283.86399999999998</v>
      </c>
      <c r="I102" s="22"/>
      <c r="J102" s="22">
        <v>283.37400000000002</v>
      </c>
      <c r="K102" s="22"/>
      <c r="L102" s="22">
        <v>281.64699999999999</v>
      </c>
      <c r="M102" s="22"/>
      <c r="N102" s="22">
        <v>279.20600000000002</v>
      </c>
    </row>
    <row r="103" spans="1:14" x14ac:dyDescent="0.4">
      <c r="A103" s="20" t="s">
        <v>91</v>
      </c>
      <c r="B103" s="20"/>
      <c r="C103" s="20"/>
      <c r="D103" s="22">
        <v>-59</v>
      </c>
      <c r="E103" s="22"/>
      <c r="F103" s="22">
        <v>-86</v>
      </c>
      <c r="G103" s="22"/>
      <c r="H103" s="22">
        <v>-73</v>
      </c>
      <c r="I103" s="22"/>
      <c r="J103" s="22">
        <v>-65</v>
      </c>
      <c r="K103" s="22"/>
      <c r="L103" s="22">
        <v>-50</v>
      </c>
      <c r="M103" s="22"/>
      <c r="N103" s="22">
        <v>-50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2.58</v>
      </c>
      <c r="F105" s="15">
        <f>F67/F94</f>
        <v>2.65</v>
      </c>
      <c r="H105" s="15">
        <f>H67/H94</f>
        <v>2.4</v>
      </c>
      <c r="J105" s="15">
        <f>J67/J94</f>
        <v>2.33</v>
      </c>
      <c r="L105" s="15">
        <f>L67/L94</f>
        <v>1.64</v>
      </c>
      <c r="N105" s="15">
        <f>N67/N94</f>
        <v>1.99</v>
      </c>
    </row>
    <row r="106" spans="1:14" x14ac:dyDescent="0.4">
      <c r="B106" t="s">
        <v>60</v>
      </c>
      <c r="D106" s="15">
        <f>D97/D94</f>
        <v>1.74</v>
      </c>
      <c r="F106" s="15">
        <f>F97/F94</f>
        <v>1.63</v>
      </c>
      <c r="H106" s="15">
        <f>H97/H94</f>
        <v>1.53</v>
      </c>
      <c r="J106" s="15">
        <f>J97/J94</f>
        <v>1.43</v>
      </c>
      <c r="L106" s="15">
        <f>L97/L94</f>
        <v>1.33</v>
      </c>
      <c r="N106" s="15">
        <f>N97/N94</f>
        <v>1.24</v>
      </c>
    </row>
    <row r="107" spans="1:14" x14ac:dyDescent="0.4">
      <c r="B107" t="s">
        <v>61</v>
      </c>
      <c r="D107" s="15">
        <f>D98/D94</f>
        <v>1.74</v>
      </c>
      <c r="F107" s="15">
        <f>F98/F94</f>
        <v>1.63</v>
      </c>
      <c r="H107" s="15">
        <f>H98/H94</f>
        <v>1.53</v>
      </c>
      <c r="J107" s="15">
        <f>J98/J94</f>
        <v>1.43</v>
      </c>
      <c r="L107" s="15">
        <f>L98/L94</f>
        <v>1.33</v>
      </c>
      <c r="N107" s="15">
        <f>N98/N94</f>
        <v>1.24</v>
      </c>
    </row>
    <row r="108" spans="1:14" x14ac:dyDescent="0.4">
      <c r="B108" t="s">
        <v>62</v>
      </c>
      <c r="D108" s="15">
        <f>D99/D94</f>
        <v>65.790000000000006</v>
      </c>
      <c r="F108" s="15">
        <f>F99/F94</f>
        <v>69.17</v>
      </c>
      <c r="H108" s="15">
        <f>H99/H94</f>
        <v>65.31</v>
      </c>
      <c r="J108" s="15">
        <f>J99/J94</f>
        <v>53.82</v>
      </c>
      <c r="L108" s="15">
        <f>L99/L94</f>
        <v>50.85</v>
      </c>
      <c r="N108" s="15">
        <f>N99/N94</f>
        <v>46.25</v>
      </c>
    </row>
    <row r="109" spans="1:14" x14ac:dyDescent="0.4">
      <c r="B109" t="s">
        <v>63</v>
      </c>
      <c r="D109" s="15">
        <f>D100/D94</f>
        <v>53.19</v>
      </c>
      <c r="F109" s="15">
        <f>F100/F94</f>
        <v>46.03</v>
      </c>
      <c r="H109" s="15">
        <f>H100/H94</f>
        <v>47.97</v>
      </c>
      <c r="J109" s="15">
        <f>J100/J94</f>
        <v>40.479999999999997</v>
      </c>
      <c r="L109" s="15">
        <f>L100/L94</f>
        <v>41.12</v>
      </c>
      <c r="N109" s="15">
        <f>N100/N94</f>
        <v>34.96</v>
      </c>
    </row>
    <row r="110" spans="1:14" x14ac:dyDescent="0.4">
      <c r="B110" t="s">
        <v>64</v>
      </c>
      <c r="D110" s="15">
        <f>D101/D94</f>
        <v>65.05</v>
      </c>
      <c r="F110" s="15">
        <f>F101/F94</f>
        <v>61.01</v>
      </c>
      <c r="H110" s="15">
        <f>H101/H94</f>
        <v>62.84</v>
      </c>
      <c r="J110" s="15">
        <f>J101/J94</f>
        <v>49.65</v>
      </c>
      <c r="L110" s="15">
        <f>L101/L94</f>
        <v>47.3</v>
      </c>
      <c r="N110" s="15">
        <f>N101/N94</f>
        <v>41.62</v>
      </c>
    </row>
    <row r="111" spans="1:14" x14ac:dyDescent="0.4">
      <c r="B111" t="s">
        <v>65</v>
      </c>
      <c r="D111" s="16">
        <f>D102*D94</f>
        <v>289.75799999999998</v>
      </c>
      <c r="E111" s="16"/>
      <c r="F111" s="16">
        <f>F102*F94</f>
        <v>288.94</v>
      </c>
      <c r="G111" s="16"/>
      <c r="H111" s="16">
        <f>H102*H94</f>
        <v>283.86399999999998</v>
      </c>
      <c r="I111" s="16"/>
      <c r="J111" s="16">
        <f>J102*J94</f>
        <v>283.37400000000002</v>
      </c>
      <c r="K111" s="16"/>
      <c r="L111" s="16">
        <f>L102*L94</f>
        <v>281.64699999999999</v>
      </c>
      <c r="M111" s="16"/>
      <c r="N111" s="16">
        <f>N102*N94</f>
        <v>279.20600000000002</v>
      </c>
    </row>
    <row r="112" spans="1:14" x14ac:dyDescent="0.4">
      <c r="B112" t="s">
        <v>66</v>
      </c>
      <c r="D112" s="15">
        <f>ROUND(D68/D111,2)</f>
        <v>22.11</v>
      </c>
      <c r="F112" s="15">
        <f>ROUND(F68/F111,2)</f>
        <v>19.02</v>
      </c>
      <c r="H112" s="15">
        <f>ROUND(H68/H111,2)</f>
        <v>17.68</v>
      </c>
      <c r="J112" s="15">
        <f>ROUND(J68/J111,2)</f>
        <v>16.78</v>
      </c>
      <c r="L112" s="15">
        <f>ROUND(L68/L111,2)</f>
        <v>15.77</v>
      </c>
      <c r="N112" s="15">
        <f>ROUND(N68/N111,2)</f>
        <v>15.23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CONSOLIDATED EDISON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43375</v>
      </c>
      <c r="F8" s="34">
        <f>F78+F79+F81-F103</f>
        <v>41439</v>
      </c>
      <c r="H8" s="34">
        <f>H78+H79+H81-H103</f>
        <v>38205</v>
      </c>
      <c r="J8" s="34">
        <f>J78+J79+J81-J103</f>
        <v>35825</v>
      </c>
      <c r="L8" s="34">
        <f>L78+L79+L81-L103</f>
        <v>31480</v>
      </c>
    </row>
    <row r="9" spans="1:15" x14ac:dyDescent="0.4">
      <c r="B9" t="s">
        <v>5</v>
      </c>
      <c r="D9" s="9">
        <f>D80</f>
        <v>1488</v>
      </c>
      <c r="F9" s="9">
        <f>F80</f>
        <v>1870</v>
      </c>
      <c r="H9" s="9">
        <f>H80</f>
        <v>1692</v>
      </c>
      <c r="J9" s="9">
        <f>J80</f>
        <v>1741</v>
      </c>
      <c r="L9" s="9">
        <f>L80</f>
        <v>577</v>
      </c>
    </row>
    <row r="10" spans="1:15" ht="15.4" thickBot="1" x14ac:dyDescent="0.45">
      <c r="B10" t="s">
        <v>7</v>
      </c>
      <c r="D10" s="10">
        <f>D8+D9</f>
        <v>44863</v>
      </c>
      <c r="F10" s="10">
        <f>F8+F9</f>
        <v>43309</v>
      </c>
      <c r="H10" s="10">
        <f>H8+H9</f>
        <v>39897</v>
      </c>
      <c r="J10" s="10">
        <f>J8+J9</f>
        <v>37566</v>
      </c>
      <c r="L10" s="10">
        <f>L8+L9</f>
        <v>32057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20</v>
      </c>
      <c r="E13" s="7" t="s">
        <v>3</v>
      </c>
      <c r="F13" s="30">
        <f>ROUND(AVERAGE(F108:F109)/F105,0)</f>
        <v>24</v>
      </c>
      <c r="G13" s="7" t="s">
        <v>3</v>
      </c>
      <c r="H13" s="30">
        <f>ROUND(AVERAGE(H108:H109)/H105,0)</f>
        <v>21</v>
      </c>
      <c r="I13" s="7" t="s">
        <v>3</v>
      </c>
      <c r="J13" s="30">
        <f>ROUND(AVERAGE(J108:J109)/J105,0)</f>
        <v>18</v>
      </c>
      <c r="K13" s="7" t="s">
        <v>3</v>
      </c>
      <c r="L13" s="30">
        <f>ROUND(AVERAGE(L108:L109)/L105,0)</f>
        <v>16</v>
      </c>
      <c r="M13" s="7" t="s">
        <v>3</v>
      </c>
      <c r="N13" s="30">
        <f>AVERAGE(D13,F13,H13,J13,L13)</f>
        <v>19.8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1.264</v>
      </c>
      <c r="E14" s="3"/>
      <c r="F14" s="3">
        <f>ROUND(AVERAGE(F108:F109)/AVERAGE(F112,H112),3)</f>
        <v>1.34</v>
      </c>
      <c r="G14" s="3"/>
      <c r="H14" s="3">
        <f>ROUND(AVERAGE(H108:H109)/AVERAGE(H112,J112),3)</f>
        <v>1.4730000000000001</v>
      </c>
      <c r="I14" s="3"/>
      <c r="J14" s="3">
        <f>ROUND(AVERAGE(J108:J109)/AVERAGE(J112,L112),3)</f>
        <v>1.474</v>
      </c>
      <c r="K14" s="3"/>
      <c r="L14" s="3">
        <f>ROUND(AVERAGE(L108:L109)/AVERAGE(L112,N112),3)</f>
        <v>1.675</v>
      </c>
      <c r="M14" s="3"/>
      <c r="N14" s="3">
        <f>AVERAGE(D14,F14,H14,J14,L14)</f>
        <v>1.4452</v>
      </c>
    </row>
    <row r="15" spans="1:15" x14ac:dyDescent="0.4">
      <c r="B15" t="s">
        <v>9</v>
      </c>
      <c r="D15" s="3">
        <f>ROUND(D106/AVERAGE(D108:D109),3)</f>
        <v>4.1000000000000002E-2</v>
      </c>
      <c r="E15" s="3"/>
      <c r="F15" s="3">
        <f>ROUND(F106/AVERAGE(F108:F109),3)</f>
        <v>3.9E-2</v>
      </c>
      <c r="G15" s="3"/>
      <c r="H15" s="3">
        <f>ROUND(H106/AVERAGE(H108:H109),3)</f>
        <v>3.5000000000000003E-2</v>
      </c>
      <c r="I15" s="3"/>
      <c r="J15" s="3">
        <f>ROUND(J106/AVERAGE(J108:J109),3)</f>
        <v>3.6999999999999998E-2</v>
      </c>
      <c r="K15" s="3"/>
      <c r="L15" s="3">
        <f>ROUND(L106/AVERAGE(L108:L109),3)</f>
        <v>3.4000000000000002E-2</v>
      </c>
      <c r="M15" s="3"/>
      <c r="N15" s="3">
        <f>AVERAGE(D15,F15,H15,J15,L15)</f>
        <v>3.7199999999999997E-2</v>
      </c>
    </row>
    <row r="16" spans="1:15" x14ac:dyDescent="0.4">
      <c r="B16" t="s">
        <v>10</v>
      </c>
      <c r="D16" s="3">
        <f>ROUND(D96/D66,3)</f>
        <v>0.80200000000000005</v>
      </c>
      <c r="E16" s="3"/>
      <c r="F16" s="3">
        <f>ROUND(F96/F66,3)</f>
        <v>0.92900000000000005</v>
      </c>
      <c r="G16" s="3"/>
      <c r="H16" s="3">
        <f>ROUND(H96/H66,3)</f>
        <v>0.72299999999999998</v>
      </c>
      <c r="I16" s="3"/>
      <c r="J16" s="3">
        <f>ROUND(J96/J66,3)</f>
        <v>0.64300000000000002</v>
      </c>
      <c r="K16" s="3"/>
      <c r="L16" s="3">
        <f>ROUND(L96/L66,3)</f>
        <v>0.55700000000000005</v>
      </c>
      <c r="M16" s="3"/>
      <c r="N16" s="3">
        <f>AVERAGE(D16,F16,H16,J16,L16)</f>
        <v>0.73080000000000012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0.53100000000000003</v>
      </c>
      <c r="E20" s="3"/>
      <c r="F20" s="3">
        <f>ROUND((+F76+F79)/F8,3)</f>
        <v>0.53900000000000003</v>
      </c>
      <c r="G20" s="3"/>
      <c r="H20" s="3">
        <f>ROUND((+H76+H79)/H8,3)</f>
        <v>0.52300000000000002</v>
      </c>
      <c r="I20" s="3"/>
      <c r="J20" s="3">
        <f>ROUND((+J76+J79)/J8,3)</f>
        <v>0.53</v>
      </c>
      <c r="K20" s="3"/>
      <c r="L20" s="3">
        <f>ROUND((+L76+L79)/L8,3)</f>
        <v>0.50900000000000001</v>
      </c>
      <c r="M20" s="3"/>
      <c r="N20" s="3">
        <f>AVERAGE(D20,F20,H20,J20,L20)</f>
        <v>0.52639999999999998</v>
      </c>
    </row>
    <row r="21" spans="1:14" x14ac:dyDescent="0.4">
      <c r="B21" s="31" t="s">
        <v>93</v>
      </c>
      <c r="D21" s="3">
        <f>ROUND((SUM(D69:D75)+D81)/D8,3)</f>
        <v>7.0000000000000001E-3</v>
      </c>
      <c r="E21" s="3"/>
      <c r="F21" s="3">
        <f>ROUND((SUM(F69:F75)+F81)/F8,3)</f>
        <v>5.0000000000000001E-3</v>
      </c>
      <c r="G21" s="3"/>
      <c r="H21" s="3">
        <f>ROUND((SUM(H69:H75)+H81)/H8,3)</f>
        <v>5.0000000000000001E-3</v>
      </c>
      <c r="I21" s="3"/>
      <c r="J21" s="3">
        <f>ROUND((SUM(J69:J75)+J81)/J8,3)</f>
        <v>3.0000000000000001E-3</v>
      </c>
      <c r="K21" s="3"/>
      <c r="L21" s="3">
        <f>ROUND((SUM(L69:L75)+L81)/L8,3)</f>
        <v>0</v>
      </c>
      <c r="M21" s="3"/>
      <c r="N21" s="3">
        <f>AVERAGE(D21,F21,H21,J21,L21)</f>
        <v>4.0000000000000001E-3</v>
      </c>
    </row>
    <row r="22" spans="1:14" ht="17.25" x14ac:dyDescent="0.4">
      <c r="B22" s="32" t="s">
        <v>94</v>
      </c>
      <c r="D22" s="4">
        <f>ROUND((D68-D103)/D8,3)</f>
        <v>0.46200000000000002</v>
      </c>
      <c r="E22" s="3"/>
      <c r="F22" s="4">
        <f>ROUND((F68-F103)/F8,3)</f>
        <v>0.45500000000000002</v>
      </c>
      <c r="G22" s="3"/>
      <c r="H22" s="4">
        <f>ROUND((H68-H103)/H8,3)</f>
        <v>0.47199999999999998</v>
      </c>
      <c r="I22" s="3"/>
      <c r="J22" s="4">
        <f>ROUND((J68-J103)/J8,3)</f>
        <v>0.46700000000000003</v>
      </c>
      <c r="K22" s="3"/>
      <c r="L22" s="4">
        <f>ROUND((L68-L103)/L8,3)</f>
        <v>0.49099999999999999</v>
      </c>
      <c r="M22" s="3"/>
      <c r="N22" s="4">
        <f>AVERAGE(D22,F22,H22,J22,L22)</f>
        <v>0.46939999999999998</v>
      </c>
    </row>
    <row r="23" spans="1:14" ht="15.4" thickBot="1" x14ac:dyDescent="0.45">
      <c r="D23" s="5">
        <f>SUM(D20:D22)</f>
        <v>1</v>
      </c>
      <c r="E23" s="3"/>
      <c r="F23" s="5">
        <f>SUM(F20:F22)</f>
        <v>0.99900000000000011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5">
        <f>AVERAGE(D23,F23,H23,J23,L23)</f>
        <v>0.99980000000000013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0.54700000000000004</v>
      </c>
      <c r="E25" s="3"/>
      <c r="F25" s="3">
        <f>ROUND((+F76+F79+F80)/F10,3)</f>
        <v>0.55900000000000005</v>
      </c>
      <c r="G25" s="3"/>
      <c r="H25" s="3">
        <f>ROUND((+H76+H79+H80)/H10,3)</f>
        <v>0.54300000000000004</v>
      </c>
      <c r="I25" s="3"/>
      <c r="J25" s="3">
        <f>ROUND((+J76+J79+J80)/J10,3)</f>
        <v>0.55100000000000005</v>
      </c>
      <c r="K25" s="3"/>
      <c r="L25" s="3">
        <f>ROUND((+L76+L79+L80)/L10,3)</f>
        <v>0.51800000000000002</v>
      </c>
      <c r="M25" s="3"/>
      <c r="N25" s="3">
        <f>AVERAGE(D25,F25,H25,J25,L25)</f>
        <v>0.54359999999999997</v>
      </c>
    </row>
    <row r="26" spans="1:14" x14ac:dyDescent="0.4">
      <c r="B26" s="31" t="s">
        <v>93</v>
      </c>
      <c r="D26" s="3">
        <f>ROUND((SUM(D69:D75)+D81)/D10,3)</f>
        <v>7.0000000000000001E-3</v>
      </c>
      <c r="E26" s="3"/>
      <c r="F26" s="3">
        <f>ROUND((SUM(F69:F75)+F81)/F10,3)</f>
        <v>5.0000000000000001E-3</v>
      </c>
      <c r="G26" s="3"/>
      <c r="H26" s="3">
        <f>ROUND((SUM(H69:H75)+H81)/H10,3)</f>
        <v>5.0000000000000001E-3</v>
      </c>
      <c r="I26" s="3"/>
      <c r="J26" s="3">
        <f>ROUND((SUM(J69:J75)+J81)/J10,3)</f>
        <v>3.0000000000000001E-3</v>
      </c>
      <c r="K26" s="3"/>
      <c r="L26" s="3">
        <f>ROUND((SUM(L69:L75)+L81)/L10,3)</f>
        <v>0</v>
      </c>
      <c r="M26" s="3"/>
      <c r="N26" s="3">
        <f>AVERAGE(D26,F26,H26,J26,L26)</f>
        <v>4.0000000000000001E-3</v>
      </c>
    </row>
    <row r="27" spans="1:14" ht="17.25" x14ac:dyDescent="0.4">
      <c r="B27" s="32" t="s">
        <v>94</v>
      </c>
      <c r="D27" s="4">
        <f>ROUND((D68-D103)/D10,3)</f>
        <v>0.44700000000000001</v>
      </c>
      <c r="E27" s="3"/>
      <c r="F27" s="4">
        <f>ROUND((F68-F103)/F10,3)</f>
        <v>0.436</v>
      </c>
      <c r="G27" s="3"/>
      <c r="H27" s="4">
        <f>ROUND((H68-H103)/H10,3)</f>
        <v>0.45200000000000001</v>
      </c>
      <c r="I27" s="3"/>
      <c r="J27" s="4">
        <f>ROUND((J68-J103)/J10,3)</f>
        <v>0.44600000000000001</v>
      </c>
      <c r="K27" s="3"/>
      <c r="L27" s="4">
        <f>ROUND((L68-L103)/L10,3)</f>
        <v>0.48199999999999998</v>
      </c>
      <c r="M27" s="3"/>
      <c r="N27" s="4">
        <f>AVERAGE(D27,F27,H27,J27,L27)</f>
        <v>0.4526</v>
      </c>
    </row>
    <row r="28" spans="1:14" ht="15.4" thickBot="1" x14ac:dyDescent="0.45">
      <c r="D28" s="5">
        <f>SUM(D25:D27)</f>
        <v>1.0010000000000001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6.9000000000000006E-2</v>
      </c>
      <c r="E30" s="3"/>
      <c r="F30" s="3">
        <f>ROUND(+F66/(((F68-F103)+(H68-H103))/2),3)</f>
        <v>0.06</v>
      </c>
      <c r="G30" s="3"/>
      <c r="H30" s="3">
        <f>ROUND(+H66/(((H68-H103)+(J68-J103))/2),3)</f>
        <v>7.6999999999999999E-2</v>
      </c>
      <c r="I30" s="3"/>
      <c r="J30" s="3">
        <f>ROUND(+J66/(((J68-J103)+(L68-L103))/2),3)</f>
        <v>8.5999999999999993E-2</v>
      </c>
      <c r="K30" s="3"/>
      <c r="L30" s="3">
        <f>ROUND(+L66/(((L68-L103)+(N68-N103))/2),3)</f>
        <v>0.10199999999999999</v>
      </c>
      <c r="M30" s="3"/>
      <c r="N30" s="3">
        <f>AVERAGE(D30,F30,H30,J30,L30)</f>
        <v>7.8800000000000009E-2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0.79300000000000004</v>
      </c>
      <c r="E32" s="3"/>
      <c r="F32" s="3">
        <f>ROUND((+F58-F57)/F56,3)</f>
        <v>0.78300000000000003</v>
      </c>
      <c r="G32" s="3"/>
      <c r="H32" s="3">
        <f>ROUND((+H58-H57)/H56,3)</f>
        <v>0.78700000000000003</v>
      </c>
      <c r="I32" s="3"/>
      <c r="J32" s="3">
        <f>ROUND((+J58-J57)/J56,3)</f>
        <v>0.79500000000000004</v>
      </c>
      <c r="K32" s="3"/>
      <c r="L32" s="3">
        <f>ROUND((+L58-L57)/L56,3)</f>
        <v>0.78300000000000003</v>
      </c>
      <c r="M32" s="3"/>
      <c r="N32" s="3">
        <f>AVERAGE(D32,F32,H32,J32,L32)</f>
        <v>0.78820000000000001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2.68</v>
      </c>
      <c r="E35" s="7" t="s">
        <v>3</v>
      </c>
      <c r="F35" s="7">
        <f>ROUND(((+F66+F65+F64+F63+F61+F59+F57)/F61),2)</f>
        <v>2.15</v>
      </c>
      <c r="G35" s="7" t="s">
        <v>3</v>
      </c>
      <c r="H35" s="7">
        <f>ROUND(((+H66+H65+H64+H63+H61+H59+H57)/H61),2)</f>
        <v>2.63</v>
      </c>
      <c r="I35" s="7" t="s">
        <v>3</v>
      </c>
      <c r="J35" s="7">
        <f>ROUND(((+J66+J65+J64+J63+J61+J59+J57)/J61),2)</f>
        <v>3.15</v>
      </c>
      <c r="K35" s="7" t="s">
        <v>3</v>
      </c>
      <c r="L35" s="7">
        <f>ROUND(((+L66+L65+L64+L63+L61+L59+L57)/L61),2)</f>
        <v>3.71</v>
      </c>
      <c r="M35" s="7" t="s">
        <v>3</v>
      </c>
      <c r="N35" s="26">
        <f>AVERAGE(D35,F35,H35,J35,L35)</f>
        <v>2.8639999999999999</v>
      </c>
      <c r="O35" t="s">
        <v>3</v>
      </c>
    </row>
    <row r="36" spans="1:15" x14ac:dyDescent="0.4">
      <c r="B36" t="s">
        <v>21</v>
      </c>
      <c r="D36" s="7">
        <f>ROUND(((+D66+D65+D64+D63+D61)/(D61)),2)</f>
        <v>2.4700000000000002</v>
      </c>
      <c r="E36" s="7" t="s">
        <v>3</v>
      </c>
      <c r="F36" s="7">
        <f>ROUND(((+F66+F65+F64+F63+F61)/(F61)),2)</f>
        <v>2.0699999999999998</v>
      </c>
      <c r="G36" s="7" t="s">
        <v>3</v>
      </c>
      <c r="H36" s="7">
        <f>ROUND(((+H66+H65+H64+H63+H61)/(H61)),2)</f>
        <v>2.34</v>
      </c>
      <c r="I36" s="7" t="s">
        <v>3</v>
      </c>
      <c r="J36" s="7">
        <f>ROUND(((+J66+J65+J64+J63+J61)/(J61)),2)</f>
        <v>2.67</v>
      </c>
      <c r="K36" s="7" t="s">
        <v>3</v>
      </c>
      <c r="L36" s="7">
        <f>ROUND(((+L66+L65+L64+L63+L61)/(L61)),2)</f>
        <v>3.07</v>
      </c>
      <c r="M36" s="7" t="s">
        <v>3</v>
      </c>
      <c r="N36" s="26">
        <f>AVERAGE(D36,F36,H36,J36,L36)</f>
        <v>2.524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2.4700000000000002</v>
      </c>
      <c r="E37" s="7" t="s">
        <v>3</v>
      </c>
      <c r="F37" s="7">
        <f>ROUND(((+F66+F65+F64+F63+F61)/(F61+F63+F64+F65)),2)</f>
        <v>2.0699999999999998</v>
      </c>
      <c r="G37" s="7" t="s">
        <v>3</v>
      </c>
      <c r="H37" s="7">
        <f>ROUND(((+H66+H65+H64+H63+H61)/(H61+H63+H64+H65)),2)</f>
        <v>2.34</v>
      </c>
      <c r="I37" s="7" t="s">
        <v>3</v>
      </c>
      <c r="J37" s="7">
        <f>ROUND(((+J66+J65+J64+J63+J61)/(J61+J63+J64+J65)),2)</f>
        <v>2.67</v>
      </c>
      <c r="K37" s="7" t="s">
        <v>3</v>
      </c>
      <c r="L37" s="7">
        <f>ROUND(((+L66+L65+L64+L63+L61)/(L61+L63+L64+L65)),2)</f>
        <v>3.07</v>
      </c>
      <c r="M37" s="7" t="s">
        <v>3</v>
      </c>
      <c r="N37" s="26">
        <f>AVERAGE(D37,F37,H37,J37,L37)</f>
        <v>2.524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2.64</v>
      </c>
      <c r="E40" s="7" t="s">
        <v>3</v>
      </c>
      <c r="F40" s="7">
        <f>ROUND(((+F66+F65+F64+F63-F62+F61+F59+F57)/F61),2)</f>
        <v>2.12</v>
      </c>
      <c r="G40" s="7" t="s">
        <v>3</v>
      </c>
      <c r="H40" s="7">
        <f>ROUND(((+H66+H65+H64+H63-H62+H61+H59+H57)/H61),2)</f>
        <v>2.61</v>
      </c>
      <c r="I40" s="7" t="s">
        <v>3</v>
      </c>
      <c r="J40" s="7">
        <f>ROUND(((+J66+J65+J64+J63-J62+J61+J59+J57)/J61),2)</f>
        <v>3.12</v>
      </c>
      <c r="K40" s="7" t="s">
        <v>3</v>
      </c>
      <c r="L40" s="7">
        <f>ROUND(((+L66+L65+L64+L63-L62+L61+L59+L57)/L61),2)</f>
        <v>3.68</v>
      </c>
      <c r="M40" s="7" t="s">
        <v>3</v>
      </c>
      <c r="N40" s="26">
        <f>AVERAGE(D40,F40,H40,J40,L40)</f>
        <v>2.8339999999999996</v>
      </c>
      <c r="O40" t="s">
        <v>3</v>
      </c>
    </row>
    <row r="41" spans="1:15" x14ac:dyDescent="0.4">
      <c r="B41" t="s">
        <v>21</v>
      </c>
      <c r="D41" s="7">
        <f>ROUND(((+D66+D65+D64+D63-D62+D61)/D61),2)</f>
        <v>2.4300000000000002</v>
      </c>
      <c r="E41" s="7" t="s">
        <v>3</v>
      </c>
      <c r="F41" s="7">
        <f>ROUND(((+F66+F65+F64+F63-F62+F61)/F61),2)</f>
        <v>2.04</v>
      </c>
      <c r="G41" s="7" t="s">
        <v>3</v>
      </c>
      <c r="H41" s="7">
        <f>ROUND(((+H66+H65+H64+H63-H62+H61)/H61),2)</f>
        <v>2.31</v>
      </c>
      <c r="I41" s="7" t="s">
        <v>3</v>
      </c>
      <c r="J41" s="7">
        <f>ROUND(((+J66+J65+J64+J63-J62+J61)/J61),2)</f>
        <v>2.64</v>
      </c>
      <c r="K41" s="7" t="s">
        <v>3</v>
      </c>
      <c r="L41" s="7">
        <f>ROUND(((+L66+L65+L64+L63-L62+L61)/L61),2)</f>
        <v>3.04</v>
      </c>
      <c r="M41" s="7" t="s">
        <v>3</v>
      </c>
      <c r="N41" s="26">
        <f>AVERAGE(D41,F41,H41,J41,L41)</f>
        <v>2.492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2.4300000000000002</v>
      </c>
      <c r="E42" s="7" t="s">
        <v>3</v>
      </c>
      <c r="F42" s="7">
        <f>ROUND(((+F66+F65+F64+F63-F62+F61)/(F61+F63+F64+F65)),2)</f>
        <v>2.04</v>
      </c>
      <c r="G42" s="7" t="s">
        <v>3</v>
      </c>
      <c r="H42" s="7">
        <f>ROUND(((+H66+H65+H64+H63-H62+H61)/(H61+H63+H64+H65)),2)</f>
        <v>2.31</v>
      </c>
      <c r="I42" s="7" t="s">
        <v>3</v>
      </c>
      <c r="J42" s="7">
        <f>ROUND(((+J66+J65+J64+J63-J62+J61)/(J61+J63+J64+J65)),2)</f>
        <v>2.64</v>
      </c>
      <c r="K42" s="7" t="s">
        <v>3</v>
      </c>
      <c r="L42" s="7">
        <f>ROUND(((+L66+L65+L64+L63-L62+L61)/(L61+L63+L64+L65)),2)</f>
        <v>3.04</v>
      </c>
      <c r="M42" s="7" t="s">
        <v>3</v>
      </c>
      <c r="N42" s="26">
        <f>AVERAGE(D42,F42,H42,J42,L42)</f>
        <v>2.492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2.4E-2</v>
      </c>
      <c r="E45" s="11"/>
      <c r="F45" s="11">
        <f>ROUND(F62/F66,3)</f>
        <v>2.8000000000000001E-2</v>
      </c>
      <c r="G45" s="11"/>
      <c r="H45" s="11">
        <f>ROUND(H62/H66,3)</f>
        <v>0.02</v>
      </c>
      <c r="I45" s="11"/>
      <c r="J45" s="11">
        <f>ROUND(J62/J66,3)</f>
        <v>1.6E-2</v>
      </c>
      <c r="K45" s="11"/>
      <c r="L45" s="11">
        <f>ROUND(L62/L66,3)</f>
        <v>1.2E-2</v>
      </c>
      <c r="M45" s="3"/>
      <c r="N45" s="3">
        <f t="shared" ref="N45:N50" si="0">AVERAGE(D45,F45,H45,J45,L45)</f>
        <v>0.02</v>
      </c>
    </row>
    <row r="46" spans="1:15" x14ac:dyDescent="0.4">
      <c r="B46" t="s">
        <v>17</v>
      </c>
      <c r="D46" s="17">
        <f>ROUND((D57+D59)/(D57+D59+D66+D63+D64+D65),3)</f>
        <v>0.124</v>
      </c>
      <c r="E46" s="18"/>
      <c r="F46" s="17">
        <f>ROUND((F57+F59)/(F57+F59+F66+F63+F64+F65),3)</f>
        <v>7.5999999999999998E-2</v>
      </c>
      <c r="G46" s="18"/>
      <c r="H46" s="17">
        <f>ROUND((H57+H59)/(H57+H59+H66+H63+H64+H65),3)</f>
        <v>0.18099999999999999</v>
      </c>
      <c r="I46" s="18"/>
      <c r="J46" s="17">
        <f>ROUND((J57+J59)/(J57+J59+J66+J63+J64+J65),3)</f>
        <v>0.22500000000000001</v>
      </c>
      <c r="K46" s="18"/>
      <c r="L46" s="17">
        <f>ROUND((L57+L59)/(L57+L59+L66+L63+L64+L65),3)</f>
        <v>0.23599999999999999</v>
      </c>
      <c r="N46" s="3">
        <f t="shared" si="0"/>
        <v>0.16839999999999999</v>
      </c>
    </row>
    <row r="47" spans="1:15" ht="17.25" x14ac:dyDescent="0.4">
      <c r="B47" s="33" t="s">
        <v>100</v>
      </c>
      <c r="D47" s="11">
        <f>ROUND(((+D82+D83+D84+D85+D86-D87+D88-D90-D91)/(+D89-D87)),3)</f>
        <v>0.76900000000000002</v>
      </c>
      <c r="E47" s="12"/>
      <c r="F47" s="11">
        <f>ROUND(((+F82+F83+F84+F85+F86-F87+F88-F90-F91)/(+F89-F87)),3)</f>
        <v>0.79200000000000004</v>
      </c>
      <c r="G47" s="12"/>
      <c r="H47" s="11">
        <f>ROUND(((+H82+H83+H84+H85+H86-H87+H88-H90-H91)/(+H89-H87)),3)</f>
        <v>0.73499999999999999</v>
      </c>
      <c r="I47" s="12"/>
      <c r="J47" s="11">
        <f>ROUND(((+J82+J83+J84+J85+J86-J87+J88-J90-J91)/(+J89-J87)),3)</f>
        <v>0.69699999999999995</v>
      </c>
      <c r="K47" s="12"/>
      <c r="L47" s="11">
        <f>ROUND(((+L82+L83+L84+L85+L86-L87+L88-L90-L91)/(+L89-L87)),3)</f>
        <v>0.77900000000000003</v>
      </c>
      <c r="N47" s="3">
        <f t="shared" si="0"/>
        <v>0.75439999999999996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0.156</v>
      </c>
      <c r="E48" s="12"/>
      <c r="F48" s="11">
        <f>ROUND(((+F82+F83+F84+F85+F86-F87+F88)/(AVERAGE(F76,H76)+AVERAGE(F79,H79)+AVERAGE(F80,H80))),3)</f>
        <v>0.157</v>
      </c>
      <c r="G48" s="12"/>
      <c r="H48" s="11">
        <f>ROUND(((+H82+H83+H84+H85+H86-H87+H88)/(AVERAGE(H76,J76)+AVERAGE(H79,J79)+AVERAGE(H80,J80))),3)</f>
        <v>0.155</v>
      </c>
      <c r="I48" s="12"/>
      <c r="J48" s="11">
        <f>ROUND(((+J82+J83+J84+J85+J86-J87+J88)/(AVERAGE(J76,L76)+AVERAGE(J79,L79)+AVERAGE(J80,L80))),3)</f>
        <v>0.16700000000000001</v>
      </c>
      <c r="K48" s="12"/>
      <c r="L48" s="11">
        <f>ROUND(((+L82+L83+L84+L85+L86-L87+L88)/(AVERAGE(L76,N76)+AVERAGE(L79,N79)+AVERAGE(L80,N80))),3)</f>
        <v>0.19500000000000001</v>
      </c>
      <c r="N48" s="3">
        <f t="shared" si="0"/>
        <v>0.16600000000000001</v>
      </c>
    </row>
    <row r="49" spans="1:15" ht="17.25" x14ac:dyDescent="0.4">
      <c r="B49" s="33" t="s">
        <v>102</v>
      </c>
      <c r="D49" s="27">
        <f>ROUND(((+D82+D83+D84+D85+D86-D87+D88+D92)/D61),2)</f>
        <v>5.16</v>
      </c>
      <c r="E49" t="s">
        <v>3</v>
      </c>
      <c r="F49" s="27">
        <f>ROUND(((+F82+F83+F84+F85+F86-F87+F88+F92)/F61),2)</f>
        <v>4.37</v>
      </c>
      <c r="G49" t="s">
        <v>3</v>
      </c>
      <c r="H49" s="27">
        <f>ROUND(((+H82+H83+H84+H85+H86-H87+H88+H92)/H61),2)</f>
        <v>4.1500000000000004</v>
      </c>
      <c r="I49" t="s">
        <v>3</v>
      </c>
      <c r="J49" s="27">
        <f>ROUND(((+J82+J83+J84+J85+J86-J87+J88+J92)/J61),2)</f>
        <v>4.72</v>
      </c>
      <c r="K49" t="s">
        <v>3</v>
      </c>
      <c r="L49" s="27">
        <f>ROUND(((+L82+L83+L84+L85+L86-L87+L88+L92)/L61),2)</f>
        <v>5.28</v>
      </c>
      <c r="M49" t="s">
        <v>3</v>
      </c>
      <c r="N49" s="27">
        <f t="shared" si="0"/>
        <v>4.7360000000000007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3.7</v>
      </c>
      <c r="E50" t="s">
        <v>3</v>
      </c>
      <c r="F50" s="27">
        <f>ROUND(((+F82+F83+F84+F85+F86-F87+F88-F91)/+F90),2)</f>
        <v>3.69</v>
      </c>
      <c r="G50" t="s">
        <v>3</v>
      </c>
      <c r="H50" s="27">
        <f>ROUND(((+H82+H83+H84+H85+H86-H87+H88-H91)/+H90),2)</f>
        <v>3.56</v>
      </c>
      <c r="I50" t="s">
        <v>3</v>
      </c>
      <c r="J50" s="27">
        <f>ROUND(((+J82+J83+J84+J85+J86-J87+J88-J91)/+J90),2)</f>
        <v>3.69</v>
      </c>
      <c r="K50" t="s">
        <v>3</v>
      </c>
      <c r="L50" s="27">
        <f>ROUND(((+L82+L83+L84+L85+L86-L87+L88-L91)/+L90),2)</f>
        <v>3.94</v>
      </c>
      <c r="M50" t="s">
        <v>3</v>
      </c>
      <c r="N50" s="27">
        <f t="shared" si="0"/>
        <v>3.7160000000000002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75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13676</v>
      </c>
      <c r="E56" s="22"/>
      <c r="F56" s="22">
        <v>12246</v>
      </c>
      <c r="G56" s="22"/>
      <c r="H56" s="22">
        <v>12574</v>
      </c>
      <c r="I56" s="22"/>
      <c r="J56" s="22">
        <v>12337</v>
      </c>
      <c r="K56" s="22"/>
      <c r="L56" s="22">
        <v>12033</v>
      </c>
      <c r="M56" s="22"/>
      <c r="N56" s="22">
        <v>12075</v>
      </c>
    </row>
    <row r="57" spans="1:15" x14ac:dyDescent="0.4">
      <c r="A57" s="20" t="s">
        <v>23</v>
      </c>
      <c r="B57" s="20"/>
      <c r="C57" s="20"/>
      <c r="D57" s="22">
        <v>190</v>
      </c>
      <c r="E57" s="22"/>
      <c r="F57" s="22">
        <v>90</v>
      </c>
      <c r="G57" s="22"/>
      <c r="H57" s="22">
        <v>296</v>
      </c>
      <c r="I57" s="22"/>
      <c r="J57" s="22">
        <v>401</v>
      </c>
      <c r="K57" s="22"/>
      <c r="L57" s="22">
        <v>472</v>
      </c>
      <c r="M57" s="22"/>
      <c r="N57" s="22">
        <v>698</v>
      </c>
    </row>
    <row r="58" spans="1:15" x14ac:dyDescent="0.4">
      <c r="A58" s="20" t="s">
        <v>24</v>
      </c>
      <c r="B58" s="20"/>
      <c r="C58" s="20"/>
      <c r="D58" s="22">
        <f>10850+D57</f>
        <v>11040</v>
      </c>
      <c r="E58" s="22"/>
      <c r="F58" s="22">
        <f>9592+F57</f>
        <v>9682</v>
      </c>
      <c r="G58" s="22"/>
      <c r="H58" s="22">
        <f>9898+H57</f>
        <v>10194</v>
      </c>
      <c r="I58" s="22"/>
      <c r="J58" s="22">
        <v>10205</v>
      </c>
      <c r="K58" s="22"/>
      <c r="L58" s="22">
        <v>9896</v>
      </c>
      <c r="M58" s="22"/>
      <c r="N58" s="22">
        <v>10302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2826-D57-538+11+153</f>
        <v>2262</v>
      </c>
      <c r="E60" s="22"/>
      <c r="F60" s="22">
        <f>2654-F57-401+14-43</f>
        <v>2134</v>
      </c>
      <c r="G60" s="22"/>
      <c r="H60" s="22">
        <f>2676-H57+51-97</f>
        <v>2334</v>
      </c>
      <c r="I60" s="22"/>
      <c r="J60" s="22">
        <v>2201</v>
      </c>
      <c r="K60" s="22"/>
      <c r="L60" s="22">
        <v>2254</v>
      </c>
      <c r="M60" s="22"/>
      <c r="N60" s="22">
        <v>1941</v>
      </c>
    </row>
    <row r="61" spans="1:15" x14ac:dyDescent="0.4">
      <c r="A61" s="20" t="s">
        <v>27</v>
      </c>
      <c r="B61" s="20"/>
      <c r="C61" s="20"/>
      <c r="D61" s="22">
        <f>905+11</f>
        <v>916</v>
      </c>
      <c r="E61" s="22"/>
      <c r="F61" s="22">
        <f>1019+14</f>
        <v>1033</v>
      </c>
      <c r="G61" s="22"/>
      <c r="H61" s="22">
        <f>991+13</f>
        <v>1004</v>
      </c>
      <c r="I61" s="22"/>
      <c r="J61" s="22">
        <v>829</v>
      </c>
      <c r="K61" s="22"/>
      <c r="L61" s="22">
        <v>737</v>
      </c>
      <c r="M61" s="22"/>
      <c r="N61" s="22">
        <v>702</v>
      </c>
    </row>
    <row r="62" spans="1:15" x14ac:dyDescent="0.4">
      <c r="A62" s="20" t="s">
        <v>28</v>
      </c>
      <c r="B62" s="20"/>
      <c r="C62" s="20"/>
      <c r="D62" s="22">
        <f>21+11</f>
        <v>32</v>
      </c>
      <c r="E62" s="22"/>
      <c r="F62" s="22">
        <f>17+14</f>
        <v>31</v>
      </c>
      <c r="G62" s="22"/>
      <c r="H62" s="22">
        <f>14+13</f>
        <v>27</v>
      </c>
      <c r="I62" s="22"/>
      <c r="J62" s="22">
        <v>22</v>
      </c>
      <c r="K62" s="22"/>
      <c r="L62" s="22">
        <v>19</v>
      </c>
      <c r="M62" s="22"/>
      <c r="N62" s="22">
        <v>16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7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7" x14ac:dyDescent="0.4">
      <c r="A66" s="20" t="s">
        <v>32</v>
      </c>
      <c r="B66" s="20"/>
      <c r="C66" s="20"/>
      <c r="D66" s="22">
        <v>1346</v>
      </c>
      <c r="E66" s="22"/>
      <c r="F66" s="22">
        <v>1101</v>
      </c>
      <c r="G66" s="22"/>
      <c r="H66" s="22">
        <v>1343</v>
      </c>
      <c r="I66" s="22"/>
      <c r="J66" s="22">
        <v>1382</v>
      </c>
      <c r="K66" s="22"/>
      <c r="L66" s="22">
        <v>1525</v>
      </c>
      <c r="M66" s="22"/>
      <c r="N66" s="22">
        <v>1245</v>
      </c>
    </row>
    <row r="67" spans="1:17" x14ac:dyDescent="0.4">
      <c r="A67" s="20" t="s">
        <v>33</v>
      </c>
      <c r="B67" s="20"/>
      <c r="C67" s="20"/>
      <c r="D67" s="22">
        <v>3.86</v>
      </c>
      <c r="E67" s="22"/>
      <c r="F67" s="22">
        <v>3.29</v>
      </c>
      <c r="G67" s="22"/>
      <c r="H67" s="22">
        <v>4.09</v>
      </c>
      <c r="I67" s="22"/>
      <c r="J67" s="22">
        <v>4.43</v>
      </c>
      <c r="K67" s="22"/>
      <c r="L67" s="22">
        <v>4.97</v>
      </c>
      <c r="M67" s="22"/>
      <c r="N67" s="22">
        <v>4.1500000000000004</v>
      </c>
    </row>
    <row r="68" spans="1:17" x14ac:dyDescent="0.4">
      <c r="A68" s="20" t="s">
        <v>34</v>
      </c>
      <c r="B68" s="20"/>
      <c r="C68" s="20"/>
      <c r="D68" s="22">
        <v>20037</v>
      </c>
      <c r="E68" s="22"/>
      <c r="F68" s="22">
        <v>18847</v>
      </c>
      <c r="G68" s="22"/>
      <c r="H68" s="22">
        <v>18022</v>
      </c>
      <c r="I68" s="22"/>
      <c r="J68" s="22">
        <v>16726</v>
      </c>
      <c r="K68" s="22"/>
      <c r="L68" s="22">
        <v>15418</v>
      </c>
      <c r="M68" s="22"/>
      <c r="N68" s="22">
        <v>14298</v>
      </c>
      <c r="Q68" s="35"/>
    </row>
    <row r="69" spans="1:17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7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7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7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7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7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7" x14ac:dyDescent="0.4">
      <c r="A75" s="20" t="s">
        <v>41</v>
      </c>
      <c r="B75" s="20"/>
      <c r="C75" s="20"/>
      <c r="D75" s="22">
        <v>299</v>
      </c>
      <c r="E75" s="22"/>
      <c r="F75" s="22">
        <v>218</v>
      </c>
      <c r="G75" s="22"/>
      <c r="H75" s="22">
        <v>191</v>
      </c>
      <c r="I75" s="22"/>
      <c r="J75" s="22">
        <v>113</v>
      </c>
      <c r="K75" s="22"/>
      <c r="L75" s="22">
        <v>7</v>
      </c>
      <c r="M75" s="22"/>
      <c r="N75" s="22">
        <v>8</v>
      </c>
    </row>
    <row r="76" spans="1:17" x14ac:dyDescent="0.4">
      <c r="A76" s="20" t="s">
        <v>42</v>
      </c>
      <c r="B76" s="20"/>
      <c r="C76" s="20"/>
      <c r="D76" s="22">
        <v>22604</v>
      </c>
      <c r="E76" s="22"/>
      <c r="F76" s="22">
        <v>20382</v>
      </c>
      <c r="G76" s="22"/>
      <c r="H76" s="22">
        <v>18527</v>
      </c>
      <c r="I76" s="22"/>
      <c r="J76" s="22">
        <v>17495</v>
      </c>
      <c r="K76" s="22"/>
      <c r="L76" s="22">
        <v>14731</v>
      </c>
      <c r="M76" s="22"/>
      <c r="N76" s="22">
        <v>14735</v>
      </c>
    </row>
    <row r="77" spans="1:17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7" x14ac:dyDescent="0.4">
      <c r="A78" s="20" t="s">
        <v>44</v>
      </c>
      <c r="B78" s="20"/>
      <c r="C78" s="20"/>
      <c r="D78" s="22">
        <f>SUM(D68:D77)</f>
        <v>42940</v>
      </c>
      <c r="E78" s="22"/>
      <c r="F78" s="22">
        <f>SUM(F68:F77)</f>
        <v>39447</v>
      </c>
      <c r="G78" s="22"/>
      <c r="H78" s="22">
        <f>SUM(H68:H77)</f>
        <v>36740</v>
      </c>
      <c r="I78" s="22"/>
      <c r="J78" s="22">
        <v>34334</v>
      </c>
      <c r="K78" s="22"/>
      <c r="L78" s="22">
        <v>30156</v>
      </c>
      <c r="M78" s="22"/>
      <c r="N78" s="22">
        <v>29041</v>
      </c>
    </row>
    <row r="79" spans="1:17" x14ac:dyDescent="0.4">
      <c r="A79" s="20" t="s">
        <v>45</v>
      </c>
      <c r="B79" s="20"/>
      <c r="C79" s="20"/>
      <c r="D79" s="22">
        <v>440</v>
      </c>
      <c r="E79" s="22"/>
      <c r="F79" s="22">
        <v>1967</v>
      </c>
      <c r="G79" s="22"/>
      <c r="H79" s="22">
        <v>1446</v>
      </c>
      <c r="I79" s="22"/>
      <c r="J79" s="22">
        <v>1475</v>
      </c>
      <c r="K79" s="22"/>
      <c r="L79" s="22">
        <v>1298</v>
      </c>
      <c r="M79" s="22"/>
      <c r="N79" s="22">
        <v>39</v>
      </c>
    </row>
    <row r="80" spans="1:17" x14ac:dyDescent="0.4">
      <c r="A80" s="20" t="s">
        <v>46</v>
      </c>
      <c r="B80" s="20"/>
      <c r="C80" s="20"/>
      <c r="D80" s="22">
        <v>1488</v>
      </c>
      <c r="E80" s="22"/>
      <c r="F80" s="22">
        <f>165+1705</f>
        <v>1870</v>
      </c>
      <c r="G80" s="22"/>
      <c r="H80" s="22">
        <v>1692</v>
      </c>
      <c r="I80" s="22"/>
      <c r="J80" s="22">
        <v>1741</v>
      </c>
      <c r="K80" s="22"/>
      <c r="L80" s="22">
        <v>577</v>
      </c>
      <c r="M80" s="22"/>
      <c r="N80" s="22">
        <v>1054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1193</v>
      </c>
      <c r="E82" s="22"/>
      <c r="F82" s="22">
        <v>1144</v>
      </c>
      <c r="G82" s="22"/>
      <c r="H82" s="22">
        <v>1440</v>
      </c>
      <c r="I82" s="22"/>
      <c r="J82" s="22">
        <v>1382</v>
      </c>
      <c r="K82" s="22"/>
      <c r="L82" s="22">
        <v>1525</v>
      </c>
      <c r="M82" s="22"/>
      <c r="N82" s="22">
        <v>1245</v>
      </c>
    </row>
    <row r="83" spans="1:14" x14ac:dyDescent="0.4">
      <c r="A83" s="20" t="s">
        <v>49</v>
      </c>
      <c r="B83" s="20"/>
      <c r="C83" s="20"/>
      <c r="D83" s="22">
        <v>2032</v>
      </c>
      <c r="E83" s="22"/>
      <c r="F83" s="22">
        <v>1920</v>
      </c>
      <c r="G83" s="22"/>
      <c r="H83" s="22">
        <v>1684</v>
      </c>
      <c r="I83" s="22"/>
      <c r="J83" s="22">
        <v>1438</v>
      </c>
      <c r="K83" s="22"/>
      <c r="L83" s="22">
        <v>1341</v>
      </c>
      <c r="M83" s="22"/>
      <c r="N83" s="22">
        <v>1216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133</v>
      </c>
      <c r="E85" s="22"/>
      <c r="F85" s="22">
        <v>85</v>
      </c>
      <c r="G85" s="22"/>
      <c r="H85" s="22">
        <v>308</v>
      </c>
      <c r="I85" s="22"/>
      <c r="J85" s="22">
        <v>417</v>
      </c>
      <c r="K85" s="22"/>
      <c r="L85" s="22">
        <v>494</v>
      </c>
      <c r="M85" s="22"/>
      <c r="N85" s="22">
        <v>792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-9</v>
      </c>
      <c r="K86" s="22"/>
      <c r="L86" s="22">
        <v>-9</v>
      </c>
      <c r="M86" s="22"/>
      <c r="N86" s="22">
        <v>-9</v>
      </c>
    </row>
    <row r="87" spans="1:14" x14ac:dyDescent="0.4">
      <c r="A87" s="20" t="s">
        <v>53</v>
      </c>
      <c r="B87" s="20"/>
      <c r="C87" s="20"/>
      <c r="D87" s="22">
        <v>21</v>
      </c>
      <c r="E87" s="22"/>
      <c r="F87" s="22">
        <v>17</v>
      </c>
      <c r="G87" s="22"/>
      <c r="H87" s="22">
        <v>14</v>
      </c>
      <c r="I87" s="22"/>
      <c r="J87" s="22">
        <v>12</v>
      </c>
      <c r="K87" s="22"/>
      <c r="L87" s="22">
        <v>11</v>
      </c>
      <c r="M87" s="22"/>
      <c r="N87" s="22">
        <v>10</v>
      </c>
    </row>
    <row r="88" spans="1:14" x14ac:dyDescent="0.4">
      <c r="A88" s="20" t="s">
        <v>69</v>
      </c>
      <c r="B88" s="20"/>
      <c r="C88" s="20"/>
      <c r="D88" s="22">
        <f>443-16-53-53+148</f>
        <v>469</v>
      </c>
      <c r="E88" s="22"/>
      <c r="F88" s="22">
        <f>320-40+57-1+127</f>
        <v>463</v>
      </c>
      <c r="G88" s="22"/>
      <c r="H88" s="22">
        <f>-116+27-14-3-18</f>
        <v>-124</v>
      </c>
      <c r="I88" s="22"/>
      <c r="J88" s="22">
        <v>-107</v>
      </c>
      <c r="K88" s="22"/>
      <c r="L88" s="22">
        <v>-177</v>
      </c>
      <c r="M88" s="22"/>
      <c r="N88" s="22">
        <v>-74</v>
      </c>
    </row>
    <row r="89" spans="1:14" x14ac:dyDescent="0.4">
      <c r="A89" s="20" t="s">
        <v>54</v>
      </c>
      <c r="B89" s="20"/>
      <c r="C89" s="20"/>
      <c r="D89" s="22">
        <v>3630</v>
      </c>
      <c r="E89" s="22"/>
      <c r="F89" s="22">
        <v>3326</v>
      </c>
      <c r="G89" s="22"/>
      <c r="H89" s="22">
        <v>3238</v>
      </c>
      <c r="I89" s="22"/>
      <c r="J89" s="22">
        <v>3263</v>
      </c>
      <c r="K89" s="22"/>
      <c r="L89" s="22">
        <v>3039</v>
      </c>
      <c r="M89" s="22"/>
      <c r="N89" s="22">
        <v>2845</v>
      </c>
    </row>
    <row r="90" spans="1:14" x14ac:dyDescent="0.4">
      <c r="A90" s="20" t="s">
        <v>55</v>
      </c>
      <c r="B90" s="20"/>
      <c r="C90" s="20"/>
      <c r="D90" s="22">
        <v>1030</v>
      </c>
      <c r="E90" s="22"/>
      <c r="F90" s="22">
        <v>975</v>
      </c>
      <c r="G90" s="22"/>
      <c r="H90" s="22">
        <v>924</v>
      </c>
      <c r="I90" s="22"/>
      <c r="J90" s="22">
        <v>842</v>
      </c>
      <c r="K90" s="22"/>
      <c r="L90" s="22">
        <v>803</v>
      </c>
      <c r="M90" s="22"/>
      <c r="N90" s="22">
        <v>763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924</v>
      </c>
      <c r="E92" s="22"/>
      <c r="F92" s="22">
        <v>920</v>
      </c>
      <c r="G92" s="22"/>
      <c r="H92" s="22">
        <v>876</v>
      </c>
      <c r="I92" s="22"/>
      <c r="J92" s="22">
        <v>805</v>
      </c>
      <c r="K92" s="22"/>
      <c r="L92" s="22">
        <v>725</v>
      </c>
      <c r="M92" s="22"/>
      <c r="N92" s="22">
        <v>664</v>
      </c>
    </row>
    <row r="93" spans="1:14" x14ac:dyDescent="0.4">
      <c r="A93" s="20" t="s">
        <v>58</v>
      </c>
      <c r="B93" s="20"/>
      <c r="C93" s="20"/>
      <c r="D93" s="22">
        <v>9</v>
      </c>
      <c r="E93" s="22"/>
      <c r="F93" s="22">
        <v>38</v>
      </c>
      <c r="G93" s="22"/>
      <c r="H93" s="22">
        <v>-26</v>
      </c>
      <c r="I93" s="22"/>
      <c r="J93" s="22">
        <v>0</v>
      </c>
      <c r="K93" s="22"/>
      <c r="L93" s="22">
        <v>-29</v>
      </c>
      <c r="M93" s="22"/>
      <c r="N93" s="22">
        <v>-180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1079</v>
      </c>
      <c r="E96" s="22"/>
      <c r="F96" s="22">
        <v>1023</v>
      </c>
      <c r="G96" s="22"/>
      <c r="H96" s="22">
        <v>971</v>
      </c>
      <c r="I96" s="22"/>
      <c r="J96" s="22">
        <v>889</v>
      </c>
      <c r="K96" s="22"/>
      <c r="L96" s="22">
        <v>849</v>
      </c>
      <c r="M96" s="22"/>
      <c r="N96" s="22">
        <v>809</v>
      </c>
    </row>
    <row r="97" spans="1:14" x14ac:dyDescent="0.4">
      <c r="A97" s="20" t="s">
        <v>60</v>
      </c>
      <c r="B97" s="20"/>
      <c r="C97" s="20"/>
      <c r="D97" s="22">
        <v>3.1</v>
      </c>
      <c r="E97" s="22"/>
      <c r="F97" s="22">
        <v>3.06</v>
      </c>
      <c r="G97" s="22"/>
      <c r="H97" s="22">
        <v>2.96</v>
      </c>
      <c r="I97" s="22"/>
      <c r="J97" s="22">
        <v>2.86</v>
      </c>
      <c r="K97" s="22"/>
      <c r="L97" s="22">
        <v>2.76</v>
      </c>
      <c r="M97" s="22"/>
      <c r="N97" s="22">
        <v>2.68</v>
      </c>
    </row>
    <row r="98" spans="1:14" x14ac:dyDescent="0.4">
      <c r="A98" s="20" t="s">
        <v>61</v>
      </c>
      <c r="B98" s="20"/>
      <c r="C98" s="20"/>
      <c r="D98" s="22">
        <v>3.1</v>
      </c>
      <c r="E98" s="22"/>
      <c r="F98" s="22">
        <v>3.06</v>
      </c>
      <c r="G98" s="22"/>
      <c r="H98" s="22">
        <v>2.96</v>
      </c>
      <c r="I98" s="22"/>
      <c r="J98" s="22">
        <v>2.86</v>
      </c>
      <c r="K98" s="22"/>
      <c r="L98" s="22">
        <v>2.76</v>
      </c>
      <c r="M98" s="22"/>
      <c r="N98" s="22">
        <v>2.68</v>
      </c>
    </row>
    <row r="99" spans="1:14" x14ac:dyDescent="0.4">
      <c r="A99" s="20" t="s">
        <v>62</v>
      </c>
      <c r="B99" s="20"/>
      <c r="C99" s="20"/>
      <c r="D99" s="22">
        <v>85.6</v>
      </c>
      <c r="E99" s="22"/>
      <c r="F99" s="22">
        <v>95.1</v>
      </c>
      <c r="G99" s="22"/>
      <c r="H99" s="22">
        <v>94.97</v>
      </c>
      <c r="I99" s="22"/>
      <c r="J99" s="22">
        <v>84.94</v>
      </c>
      <c r="K99" s="22"/>
      <c r="L99" s="22">
        <v>89.7</v>
      </c>
      <c r="M99" s="22"/>
      <c r="N99" s="22">
        <v>81.88</v>
      </c>
    </row>
    <row r="100" spans="1:14" x14ac:dyDescent="0.4">
      <c r="A100" s="20" t="s">
        <v>63</v>
      </c>
      <c r="B100" s="20"/>
      <c r="C100" s="20"/>
      <c r="D100" s="22">
        <v>65.56</v>
      </c>
      <c r="E100" s="22"/>
      <c r="F100" s="22">
        <v>62.03</v>
      </c>
      <c r="G100" s="22"/>
      <c r="H100" s="22">
        <v>73.3</v>
      </c>
      <c r="I100" s="22"/>
      <c r="J100" s="22">
        <v>71.12</v>
      </c>
      <c r="K100" s="22"/>
      <c r="L100" s="22">
        <v>72.13</v>
      </c>
      <c r="M100" s="22"/>
      <c r="N100" s="22">
        <v>63.47</v>
      </c>
    </row>
    <row r="101" spans="1:14" x14ac:dyDescent="0.4">
      <c r="A101" s="20" t="s">
        <v>64</v>
      </c>
      <c r="B101" s="20"/>
      <c r="C101" s="20"/>
      <c r="D101" s="22">
        <v>85.32</v>
      </c>
      <c r="E101" s="22"/>
      <c r="F101" s="22">
        <v>72.27</v>
      </c>
      <c r="G101" s="22"/>
      <c r="H101" s="22">
        <v>90.470000999999996</v>
      </c>
      <c r="I101" s="22"/>
      <c r="J101" s="22">
        <v>76.459999999999994</v>
      </c>
      <c r="K101" s="22"/>
      <c r="L101" s="22">
        <v>84.95</v>
      </c>
      <c r="M101" s="22"/>
      <c r="N101" s="22">
        <v>73.680000000000007</v>
      </c>
    </row>
    <row r="102" spans="1:14" x14ac:dyDescent="0.4">
      <c r="A102" s="20" t="s">
        <v>65</v>
      </c>
      <c r="B102" s="20"/>
      <c r="C102" s="20"/>
      <c r="D102" s="22">
        <f>354-23</f>
        <v>331</v>
      </c>
      <c r="E102" s="22"/>
      <c r="F102" s="22">
        <f>342-23</f>
        <v>319</v>
      </c>
      <c r="G102" s="22"/>
      <c r="H102" s="22">
        <f>333-23</f>
        <v>310</v>
      </c>
      <c r="I102" s="22"/>
      <c r="J102" s="22">
        <f>321-23</f>
        <v>298</v>
      </c>
      <c r="K102" s="22"/>
      <c r="L102" s="22">
        <v>310</v>
      </c>
      <c r="M102" s="22"/>
      <c r="N102" s="22">
        <v>305</v>
      </c>
    </row>
    <row r="103" spans="1:14" x14ac:dyDescent="0.4">
      <c r="A103" s="20" t="s">
        <v>91</v>
      </c>
      <c r="B103" s="20"/>
      <c r="C103" s="20"/>
      <c r="D103" s="22">
        <v>5</v>
      </c>
      <c r="E103" s="22"/>
      <c r="F103" s="22">
        <v>-25</v>
      </c>
      <c r="G103" s="22"/>
      <c r="H103" s="22">
        <v>-19</v>
      </c>
      <c r="I103" s="22"/>
      <c r="J103" s="22">
        <v>-16</v>
      </c>
      <c r="K103" s="22"/>
      <c r="L103" s="22">
        <v>-26</v>
      </c>
      <c r="M103" s="22"/>
      <c r="N103" s="22">
        <v>-27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3.86</v>
      </c>
      <c r="F105" s="15">
        <f>F67/F94</f>
        <v>3.29</v>
      </c>
      <c r="H105" s="15">
        <f>H67/H94</f>
        <v>4.09</v>
      </c>
      <c r="J105" s="15">
        <f>J67/J94</f>
        <v>4.43</v>
      </c>
      <c r="L105" s="15">
        <f>L67/L94</f>
        <v>4.97</v>
      </c>
      <c r="N105" s="15">
        <f>N67/N94</f>
        <v>4.1500000000000004</v>
      </c>
    </row>
    <row r="106" spans="1:14" x14ac:dyDescent="0.4">
      <c r="B106" t="s">
        <v>60</v>
      </c>
      <c r="D106" s="15">
        <f>D97/D94</f>
        <v>3.1</v>
      </c>
      <c r="F106" s="15">
        <f>F97/F94</f>
        <v>3.06</v>
      </c>
      <c r="H106" s="15">
        <f>H97/H94</f>
        <v>2.96</v>
      </c>
      <c r="J106" s="15">
        <f>J97/J94</f>
        <v>2.86</v>
      </c>
      <c r="L106" s="15">
        <f>L97/L94</f>
        <v>2.76</v>
      </c>
      <c r="N106" s="15">
        <f>N97/N94</f>
        <v>2.68</v>
      </c>
    </row>
    <row r="107" spans="1:14" x14ac:dyDescent="0.4">
      <c r="B107" t="s">
        <v>61</v>
      </c>
      <c r="D107" s="15">
        <f>D98/D94</f>
        <v>3.1</v>
      </c>
      <c r="F107" s="15">
        <f>F98/F94</f>
        <v>3.06</v>
      </c>
      <c r="H107" s="15">
        <f>H98/H94</f>
        <v>2.96</v>
      </c>
      <c r="J107" s="15">
        <f>J98/J94</f>
        <v>2.86</v>
      </c>
      <c r="L107" s="15">
        <f>L98/L94</f>
        <v>2.76</v>
      </c>
      <c r="N107" s="15">
        <f>N98/N94</f>
        <v>2.68</v>
      </c>
    </row>
    <row r="108" spans="1:14" x14ac:dyDescent="0.4">
      <c r="B108" t="s">
        <v>62</v>
      </c>
      <c r="D108" s="15">
        <f>D99/D94</f>
        <v>85.6</v>
      </c>
      <c r="F108" s="15">
        <f>F99/F94</f>
        <v>95.1</v>
      </c>
      <c r="H108" s="15">
        <f>H99/H94</f>
        <v>94.97</v>
      </c>
      <c r="J108" s="15">
        <f>J99/J94</f>
        <v>84.94</v>
      </c>
      <c r="L108" s="15">
        <f>L99/L94</f>
        <v>89.7</v>
      </c>
      <c r="N108" s="15">
        <f>N99/N94</f>
        <v>81.88</v>
      </c>
    </row>
    <row r="109" spans="1:14" x14ac:dyDescent="0.4">
      <c r="B109" t="s">
        <v>63</v>
      </c>
      <c r="D109" s="15">
        <f>D100/D94</f>
        <v>65.56</v>
      </c>
      <c r="F109" s="15">
        <f>F100/F94</f>
        <v>62.03</v>
      </c>
      <c r="H109" s="15">
        <f>H100/H94</f>
        <v>73.3</v>
      </c>
      <c r="J109" s="15">
        <f>J100/J94</f>
        <v>71.12</v>
      </c>
      <c r="L109" s="15">
        <f>L100/L94</f>
        <v>72.13</v>
      </c>
      <c r="N109" s="15">
        <f>N100/N94</f>
        <v>63.47</v>
      </c>
    </row>
    <row r="110" spans="1:14" x14ac:dyDescent="0.4">
      <c r="B110" t="s">
        <v>64</v>
      </c>
      <c r="D110" s="15">
        <f>D101/D94</f>
        <v>85.32</v>
      </c>
      <c r="F110" s="15">
        <f>F101/F94</f>
        <v>72.27</v>
      </c>
      <c r="H110" s="15">
        <f>H101/H94</f>
        <v>90.470000999999996</v>
      </c>
      <c r="J110" s="15">
        <f>J101/J94</f>
        <v>76.459999999999994</v>
      </c>
      <c r="L110" s="15">
        <f>L101/L94</f>
        <v>84.95</v>
      </c>
      <c r="N110" s="15">
        <f>N101/N94</f>
        <v>73.680000000000007</v>
      </c>
    </row>
    <row r="111" spans="1:14" x14ac:dyDescent="0.4">
      <c r="B111" t="s">
        <v>65</v>
      </c>
      <c r="D111" s="16">
        <f>D102*D94</f>
        <v>331</v>
      </c>
      <c r="E111" s="16"/>
      <c r="F111" s="16">
        <f>F102*F94</f>
        <v>319</v>
      </c>
      <c r="G111" s="16"/>
      <c r="H111" s="16">
        <f>H102*H94</f>
        <v>310</v>
      </c>
      <c r="I111" s="16"/>
      <c r="J111" s="16">
        <f>J102*J94</f>
        <v>298</v>
      </c>
      <c r="K111" s="16"/>
      <c r="L111" s="16">
        <f>L102*L94</f>
        <v>310</v>
      </c>
      <c r="M111" s="16"/>
      <c r="N111" s="16">
        <f>N102*N94</f>
        <v>305</v>
      </c>
    </row>
    <row r="112" spans="1:14" x14ac:dyDescent="0.4">
      <c r="B112" t="s">
        <v>66</v>
      </c>
      <c r="D112" s="15">
        <f>ROUND(D68/D111,2)</f>
        <v>60.53</v>
      </c>
      <c r="F112" s="15">
        <f>ROUND(F68/F111,2)</f>
        <v>59.08</v>
      </c>
      <c r="H112" s="15">
        <f>ROUND(H68/H111,2)</f>
        <v>58.14</v>
      </c>
      <c r="J112" s="15">
        <f>ROUND(J68/J111,2)</f>
        <v>56.13</v>
      </c>
      <c r="L112" s="15">
        <f>ROUND(L68/L111,2)</f>
        <v>49.74</v>
      </c>
      <c r="N112" s="15">
        <f>ROUND(N68/N111,2)</f>
        <v>46.88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12"/>
  <sheetViews>
    <sheetView zoomScale="75" zoomScaleNormal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6640625" customWidth="1"/>
    <col min="5" max="5" width="3.71875" customWidth="1"/>
    <col min="6" max="6" width="10.6640625" customWidth="1"/>
    <col min="7" max="7" width="3.71875" customWidth="1"/>
    <col min="8" max="8" width="10.6640625" customWidth="1"/>
    <col min="9" max="9" width="3.71875" customWidth="1"/>
    <col min="10" max="10" width="10.6640625" customWidth="1"/>
    <col min="11" max="11" width="3.71875" customWidth="1"/>
    <col min="12" max="12" width="10.664062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3" t="str">
        <f>A54</f>
        <v>DOMINION ENERGY INC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4">
      <c r="A3" s="38" t="str">
        <f>'Page 1'!A3:N3</f>
        <v>2017-2021, Inclusive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2" t="s">
        <v>18</v>
      </c>
      <c r="E6" s="42"/>
      <c r="F6" s="42"/>
      <c r="G6" s="42"/>
      <c r="H6" s="42"/>
      <c r="I6" s="42"/>
      <c r="J6" s="42"/>
      <c r="K6" s="42"/>
      <c r="L6" s="42"/>
    </row>
    <row r="7" spans="1:15" x14ac:dyDescent="0.4">
      <c r="A7" t="s">
        <v>1</v>
      </c>
    </row>
    <row r="8" spans="1:15" x14ac:dyDescent="0.4">
      <c r="B8" t="s">
        <v>6</v>
      </c>
      <c r="D8" s="34">
        <f>D78+D79+D81-D103</f>
        <v>68643</v>
      </c>
      <c r="F8" s="34">
        <f>F78+F79+F81-F103</f>
        <v>64072</v>
      </c>
      <c r="H8" s="34">
        <f>H78+H79+H81-H103</f>
        <v>72812</v>
      </c>
      <c r="J8" s="34">
        <f>J78+J79+J81-J103</f>
        <v>58589</v>
      </c>
      <c r="L8" s="34">
        <f>L78+L79+L81-L103</f>
        <v>54055</v>
      </c>
    </row>
    <row r="9" spans="1:15" x14ac:dyDescent="0.4">
      <c r="B9" t="s">
        <v>5</v>
      </c>
      <c r="D9" s="9">
        <f>D80</f>
        <v>2314</v>
      </c>
      <c r="F9" s="9">
        <f>F80</f>
        <v>1120</v>
      </c>
      <c r="H9" s="9">
        <f>H80</f>
        <v>911</v>
      </c>
      <c r="J9" s="9">
        <f>J80</f>
        <v>334</v>
      </c>
      <c r="L9" s="9">
        <f>L80</f>
        <v>3298</v>
      </c>
    </row>
    <row r="10" spans="1:15" ht="15.4" thickBot="1" x14ac:dyDescent="0.45">
      <c r="B10" t="s">
        <v>7</v>
      </c>
      <c r="D10" s="10">
        <f>D8+D9</f>
        <v>70957</v>
      </c>
      <c r="F10" s="10">
        <f>F8+F9</f>
        <v>65192</v>
      </c>
      <c r="H10" s="10">
        <f>H8+H9</f>
        <v>73723</v>
      </c>
      <c r="J10" s="10">
        <f>J8+J9</f>
        <v>58923</v>
      </c>
      <c r="L10" s="10">
        <f>L8+L9</f>
        <v>57353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89</v>
      </c>
      <c r="D13" s="30">
        <f>ROUND(AVERAGE(D108:D109)/D105,0)</f>
        <v>23</v>
      </c>
      <c r="E13" s="7" t="s">
        <v>3</v>
      </c>
      <c r="F13" s="30"/>
      <c r="G13" s="7" t="s">
        <v>3</v>
      </c>
      <c r="H13" s="30"/>
      <c r="I13" s="7" t="s">
        <v>3</v>
      </c>
      <c r="J13" s="30">
        <f>ROUND(AVERAGE(J108:J109)/J105,0)</f>
        <v>19</v>
      </c>
      <c r="K13" s="7" t="s">
        <v>3</v>
      </c>
      <c r="L13" s="30">
        <f>ROUND(AVERAGE(L108:L109)/L105,0)</f>
        <v>17</v>
      </c>
      <c r="M13" s="7" t="s">
        <v>3</v>
      </c>
      <c r="N13" s="30">
        <f>AVERAGE(D13,F13,H13,J13,L13)</f>
        <v>19.666666666666668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2.4430000000000001</v>
      </c>
      <c r="E14" s="3"/>
      <c r="F14" s="3">
        <f>ROUND(AVERAGE(F108:F109)/AVERAGE(F112,H112),3)</f>
        <v>2.2959999999999998</v>
      </c>
      <c r="G14" s="3"/>
      <c r="H14" s="3">
        <f>ROUND(AVERAGE(H108:H109)/AVERAGE(H112,J112),3)</f>
        <v>2.3330000000000002</v>
      </c>
      <c r="I14" s="3"/>
      <c r="J14" s="3">
        <f>ROUND(AVERAGE(J108:J109)/AVERAGE(J112,L112),3)</f>
        <v>2.552</v>
      </c>
      <c r="K14" s="3"/>
      <c r="L14" s="3">
        <f>ROUND(AVERAGE(L108:L109)/AVERAGE(L112,N112),3)</f>
        <v>3.133</v>
      </c>
      <c r="M14" s="3"/>
      <c r="N14" s="3">
        <f>AVERAGE(D14,F14,H14,J14,L14)</f>
        <v>2.5514000000000001</v>
      </c>
    </row>
    <row r="15" spans="1:15" x14ac:dyDescent="0.4">
      <c r="B15" t="s">
        <v>9</v>
      </c>
      <c r="D15" s="3">
        <f>ROUND(D106/AVERAGE(D108:D109),3)</f>
        <v>3.4000000000000002E-2</v>
      </c>
      <c r="E15" s="3"/>
      <c r="F15" s="3">
        <f>ROUND(F106/AVERAGE(F108:F109),3)</f>
        <v>4.5999999999999999E-2</v>
      </c>
      <c r="G15" s="3"/>
      <c r="H15" s="3">
        <f>ROUND(H106/AVERAGE(H108:H109),3)</f>
        <v>4.9000000000000002E-2</v>
      </c>
      <c r="I15" s="3"/>
      <c r="J15" s="3">
        <f>ROUND(J106/AVERAGE(J108:J109),3)</f>
        <v>4.7E-2</v>
      </c>
      <c r="K15" s="3"/>
      <c r="L15" s="3">
        <f>ROUND(L106/AVERAGE(L108:L109),3)</f>
        <v>3.9E-2</v>
      </c>
      <c r="M15" s="3"/>
      <c r="N15" s="3">
        <f>AVERAGE(D15,F15,H15,J15,L15)</f>
        <v>4.2999999999999997E-2</v>
      </c>
    </row>
    <row r="16" spans="1:15" x14ac:dyDescent="0.4">
      <c r="B16" t="s">
        <v>10</v>
      </c>
      <c r="D16" s="3">
        <f>ROUND(D96/D66,3)</f>
        <v>0.76900000000000002</v>
      </c>
      <c r="E16" s="3"/>
      <c r="F16" s="3"/>
      <c r="G16" s="3"/>
      <c r="H16" s="3"/>
      <c r="I16" s="3"/>
      <c r="J16" s="3">
        <f>ROUND(J96/J66,3)</f>
        <v>0.95299999999999996</v>
      </c>
      <c r="K16" s="3"/>
      <c r="L16" s="3">
        <f>ROUND(L96/L66,3)</f>
        <v>0.64400000000000002</v>
      </c>
      <c r="M16" s="3"/>
      <c r="N16" s="3">
        <f>AVERAGE(D16,F16,H16,J16,L16)</f>
        <v>0.78866666666666674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1" t="s">
        <v>92</v>
      </c>
      <c r="D20" s="3">
        <f>ROUND((+D76+D79)/D8,3)</f>
        <v>0.55700000000000005</v>
      </c>
      <c r="E20" s="3"/>
      <c r="F20" s="3">
        <f>ROUND((+F76+F79)/F8,3)</f>
        <v>0.56000000000000005</v>
      </c>
      <c r="G20" s="3"/>
      <c r="H20" s="3">
        <f>ROUND((+H76+H79)/H8,3)</f>
        <v>0.50800000000000001</v>
      </c>
      <c r="I20" s="3"/>
      <c r="J20" s="3">
        <f>ROUND((+J76+J79)/J8,3)</f>
        <v>0.59499999999999997</v>
      </c>
      <c r="K20" s="3"/>
      <c r="L20" s="3">
        <f>ROUND((+L76+L79)/L8,3)</f>
        <v>0.629</v>
      </c>
      <c r="M20" s="3"/>
      <c r="N20" s="3">
        <f>AVERAGE(D20,F20,H20,J20,L20)</f>
        <v>0.56979999999999997</v>
      </c>
    </row>
    <row r="21" spans="1:14" x14ac:dyDescent="0.4">
      <c r="B21" s="31" t="s">
        <v>93</v>
      </c>
      <c r="D21" s="3">
        <f>ROUND((SUM(D69:D75)+D81)/D8,3)</f>
        <v>4.9000000000000002E-2</v>
      </c>
      <c r="E21" s="3"/>
      <c r="F21" s="3">
        <f>ROUND((SUM(F69:F75)+F81)/F8,3)</f>
        <v>4.2999999999999997E-2</v>
      </c>
      <c r="G21" s="3"/>
      <c r="H21" s="3">
        <f>ROUND((SUM(H69:H75)+H81)/H8,3)</f>
        <v>6.0999999999999999E-2</v>
      </c>
      <c r="I21" s="3"/>
      <c r="J21" s="3">
        <f>ROUND((SUM(J69:J75)+J81)/J8,3)</f>
        <v>3.3000000000000002E-2</v>
      </c>
      <c r="K21" s="3"/>
      <c r="L21" s="3">
        <f>ROUND((SUM(L69:L75)+L81)/L8,3)</f>
        <v>4.1000000000000002E-2</v>
      </c>
      <c r="M21" s="3"/>
      <c r="N21" s="3">
        <f>AVERAGE(D21,F21,H21,J21,L21)</f>
        <v>4.5400000000000003E-2</v>
      </c>
    </row>
    <row r="22" spans="1:14" ht="17.25" x14ac:dyDescent="0.4">
      <c r="B22" s="32" t="s">
        <v>94</v>
      </c>
      <c r="D22" s="4">
        <f>ROUND((D68-D103)/D8,3)</f>
        <v>0.39300000000000002</v>
      </c>
      <c r="E22" s="3"/>
      <c r="F22" s="4">
        <f>ROUND((F68-F103)/F8,3)</f>
        <v>0.39700000000000002</v>
      </c>
      <c r="G22" s="3"/>
      <c r="H22" s="4">
        <f>ROUND((H68-H103)/H8,3)</f>
        <v>0.43099999999999999</v>
      </c>
      <c r="I22" s="3"/>
      <c r="J22" s="4">
        <f>ROUND((J68-J103)/J8,3)</f>
        <v>0.372</v>
      </c>
      <c r="K22" s="3"/>
      <c r="L22" s="4">
        <f>ROUND((L68-L103)/L8,3)</f>
        <v>0.32900000000000001</v>
      </c>
      <c r="M22" s="3"/>
      <c r="N22" s="4">
        <f>AVERAGE(D22,F22,H22,J22,L22)</f>
        <v>0.38439999999999996</v>
      </c>
    </row>
    <row r="23" spans="1:14" ht="15.4" thickBot="1" x14ac:dyDescent="0.45">
      <c r="D23" s="5">
        <f>SUM(D20:D22)</f>
        <v>0.99900000000000011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0.99900000000000011</v>
      </c>
      <c r="M23" s="3"/>
      <c r="N23" s="5">
        <f>AVERAGE(D23,F23,H23,J23,L23)</f>
        <v>0.99960000000000004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1" t="s">
        <v>95</v>
      </c>
      <c r="D25" s="3">
        <f>ROUND((+D76+D79+D80)/D10,3)</f>
        <v>0.57199999999999995</v>
      </c>
      <c r="E25" s="3"/>
      <c r="F25" s="3">
        <f>ROUND((+F76+F79+F80)/F10,3)</f>
        <v>0.56799999999999995</v>
      </c>
      <c r="G25" s="3"/>
      <c r="H25" s="3">
        <f>ROUND((+H76+H79+H80)/H10,3)</f>
        <v>0.51400000000000001</v>
      </c>
      <c r="I25" s="3"/>
      <c r="J25" s="3">
        <f>ROUND((+J76+J79+J80)/J10,3)</f>
        <v>0.59699999999999998</v>
      </c>
      <c r="K25" s="3"/>
      <c r="L25" s="3">
        <f>ROUND((+L76+L79+L80)/L10,3)</f>
        <v>0.65100000000000002</v>
      </c>
      <c r="M25" s="3"/>
      <c r="N25" s="3">
        <f>AVERAGE(D25,F25,H25,J25,L25)</f>
        <v>0.58040000000000003</v>
      </c>
    </row>
    <row r="26" spans="1:14" x14ac:dyDescent="0.4">
      <c r="B26" s="31" t="s">
        <v>93</v>
      </c>
      <c r="D26" s="3">
        <f>ROUND((SUM(D69:D75)+D81)/D10,3)</f>
        <v>4.8000000000000001E-2</v>
      </c>
      <c r="E26" s="3"/>
      <c r="F26" s="3">
        <f>ROUND((SUM(F69:F75)+F81)/F10,3)</f>
        <v>4.2000000000000003E-2</v>
      </c>
      <c r="G26" s="3"/>
      <c r="H26" s="3">
        <f>ROUND((SUM(H69:H75)+H81)/H10,3)</f>
        <v>0.06</v>
      </c>
      <c r="I26" s="3"/>
      <c r="J26" s="3">
        <f>ROUND((SUM(J69:J75)+J81)/J10,3)</f>
        <v>3.3000000000000002E-2</v>
      </c>
      <c r="K26" s="3"/>
      <c r="L26" s="3">
        <f>ROUND((SUM(L69:L75)+L81)/L10,3)</f>
        <v>3.9E-2</v>
      </c>
      <c r="M26" s="3"/>
      <c r="N26" s="3">
        <f>AVERAGE(D26,F26,H26,J26,L26)</f>
        <v>4.4400000000000002E-2</v>
      </c>
    </row>
    <row r="27" spans="1:14" ht="17.25" x14ac:dyDescent="0.4">
      <c r="B27" s="32" t="s">
        <v>94</v>
      </c>
      <c r="D27" s="4">
        <f>ROUND((D68-D103)/D10,3)</f>
        <v>0.38</v>
      </c>
      <c r="E27" s="3"/>
      <c r="F27" s="4">
        <f>ROUND((F68-F103)/F10,3)</f>
        <v>0.39</v>
      </c>
      <c r="G27" s="3"/>
      <c r="H27" s="4">
        <f>ROUND((H68-H103)/H10,3)</f>
        <v>0.42599999999999999</v>
      </c>
      <c r="I27" s="3"/>
      <c r="J27" s="4">
        <f>ROUND((J68-J103)/J10,3)</f>
        <v>0.37</v>
      </c>
      <c r="K27" s="3"/>
      <c r="L27" s="4">
        <f>ROUND((L68-L103)/L10,3)</f>
        <v>0.31</v>
      </c>
      <c r="M27" s="3"/>
      <c r="N27" s="4">
        <f>AVERAGE(D27,F27,H27,J27,L27)</f>
        <v>0.37519999999999998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5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3" t="s">
        <v>96</v>
      </c>
      <c r="D30" s="3">
        <f>ROUND(+D66/(((D68-D103)+(F68-F103))/2),3)</f>
        <v>0.10100000000000001</v>
      </c>
      <c r="E30" s="3"/>
      <c r="F30" s="3">
        <f>ROUND(+F66/(((F68-F103)+(H68-H103))/2),3)</f>
        <v>4.1000000000000002E-2</v>
      </c>
      <c r="G30" s="3"/>
      <c r="H30" s="3">
        <f>ROUND(+H66/(((H68-H103)+(J68-J103))/2),3)</f>
        <v>5.0999999999999997E-2</v>
      </c>
      <c r="I30" s="3"/>
      <c r="J30" s="3">
        <f>ROUND(+J66/(((J68-J103)+(L68-L103))/2),3)</f>
        <v>0.124</v>
      </c>
      <c r="K30" s="3"/>
      <c r="L30" s="3">
        <f>ROUND(+L66/(((L68-L103)+(N68-N103))/2),3)</f>
        <v>0.18099999999999999</v>
      </c>
      <c r="M30" s="3"/>
      <c r="N30" s="3">
        <f>AVERAGE(D30,F30,H30,J30,L30)</f>
        <v>9.9599999999999994E-2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3" t="s">
        <v>97</v>
      </c>
      <c r="D32" s="3">
        <f>ROUND((+D58-D57)/D56,3)</f>
        <v>0.78400000000000003</v>
      </c>
      <c r="E32" s="3"/>
      <c r="F32" s="3">
        <f>ROUND((+F58-F57)/F56,3)</f>
        <v>0.85499999999999998</v>
      </c>
      <c r="G32" s="3"/>
      <c r="H32" s="3">
        <f>ROUND((+H58-H57)/H56,3)</f>
        <v>0.84799999999999998</v>
      </c>
      <c r="I32" s="3"/>
      <c r="J32" s="3">
        <f>ROUND((+J58-J57)/J56,3)</f>
        <v>0.68899999999999995</v>
      </c>
      <c r="K32" s="3"/>
      <c r="L32" s="3">
        <f>ROUND((+L58-L57)/L56,3)</f>
        <v>0.67200000000000004</v>
      </c>
      <c r="M32" s="3"/>
      <c r="N32" s="3">
        <f>AVERAGE(D32,F32,H32,J32,L32)</f>
        <v>0.76960000000000006</v>
      </c>
    </row>
    <row r="34" spans="1:15" ht="17.25" x14ac:dyDescent="0.4">
      <c r="A34" s="33" t="s">
        <v>98</v>
      </c>
    </row>
    <row r="35" spans="1:15" x14ac:dyDescent="0.4">
      <c r="B35" t="s">
        <v>13</v>
      </c>
      <c r="D35" s="7">
        <f>ROUND(((+D66+D65+D64+D63+D61+D59+D57)/D61),2)</f>
        <v>3.27</v>
      </c>
      <c r="E35" s="7" t="s">
        <v>3</v>
      </c>
      <c r="F35" s="7">
        <f>ROUND(((+F66+F65+F64+F63+F61+F59+F57)/F61),2)</f>
        <v>1.92</v>
      </c>
      <c r="G35" s="7" t="s">
        <v>3</v>
      </c>
      <c r="H35" s="7">
        <f>ROUND(((+H66+H65+H64+H63+H61+H59+H57)/H61),2)</f>
        <v>1.96</v>
      </c>
      <c r="I35" s="7" t="s">
        <v>3</v>
      </c>
      <c r="J35" s="7">
        <f>ROUND(((+J66+J65+J64+J63+J61+J59+J57)/J61),2)</f>
        <v>2.86</v>
      </c>
      <c r="K35" s="7" t="s">
        <v>3</v>
      </c>
      <c r="L35" s="7">
        <f>ROUND(((+L66+L65+L64+L63+L61+L59+L57)/L61),2)</f>
        <v>3.06</v>
      </c>
      <c r="M35" s="7" t="s">
        <v>3</v>
      </c>
      <c r="N35" s="26">
        <f>AVERAGE(D35,F35,H35,J35,L35)</f>
        <v>2.6139999999999999</v>
      </c>
      <c r="O35" t="s">
        <v>3</v>
      </c>
    </row>
    <row r="36" spans="1:15" x14ac:dyDescent="0.4">
      <c r="B36" t="s">
        <v>21</v>
      </c>
      <c r="D36" s="7">
        <f>ROUND(((+D66+D65+D64+D63+D61)/(D61)),2)</f>
        <v>2.95</v>
      </c>
      <c r="E36" s="7" t="s">
        <v>3</v>
      </c>
      <c r="F36" s="7">
        <f>ROUND(((+F66+F65+F64+F63+F61)/(F61)),2)</f>
        <v>1.86</v>
      </c>
      <c r="G36" s="7" t="s">
        <v>3</v>
      </c>
      <c r="H36" s="7">
        <f>ROUND(((+H66+H65+H64+H63+H61)/(H61)),2)</f>
        <v>1.77</v>
      </c>
      <c r="I36" s="7" t="s">
        <v>3</v>
      </c>
      <c r="J36" s="7">
        <f>ROUND(((+J66+J65+J64+J63+J61)/(J61)),2)</f>
        <v>2.5</v>
      </c>
      <c r="K36" s="7" t="s">
        <v>3</v>
      </c>
      <c r="L36" s="7">
        <f>ROUND(((+L66+L65+L64+L63+L61)/(L61)),2)</f>
        <v>3.08</v>
      </c>
      <c r="M36" s="7" t="s">
        <v>3</v>
      </c>
      <c r="N36" s="26">
        <f>AVERAGE(D36,F36,H36,J36,L36)</f>
        <v>2.4319999999999999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2.95</v>
      </c>
      <c r="E37" s="7" t="s">
        <v>3</v>
      </c>
      <c r="F37" s="7">
        <f>ROUND(((+F66+F65+F64+F63+F61)/(F61+F63+F64+F65)),2)</f>
        <v>1.86</v>
      </c>
      <c r="G37" s="7" t="s">
        <v>3</v>
      </c>
      <c r="H37" s="7">
        <f>ROUND(((+H66+H65+H64+H63+H61)/(H61+H63+H64+H65)),2)</f>
        <v>1.77</v>
      </c>
      <c r="I37" s="7" t="s">
        <v>3</v>
      </c>
      <c r="J37" s="7">
        <f>ROUND(((+J66+J65+J64+J63+J61)/(J61+J63+J64+J65)),2)</f>
        <v>2.5</v>
      </c>
      <c r="K37" s="7" t="s">
        <v>3</v>
      </c>
      <c r="L37" s="7">
        <f>ROUND(((+L66+L65+L64+L63+L61)/(L61+L63+L64+L65)),2)</f>
        <v>3.08</v>
      </c>
      <c r="M37" s="7" t="s">
        <v>3</v>
      </c>
      <c r="N37" s="26">
        <f>AVERAGE(D37,F37,H37,J37,L37)</f>
        <v>2.4319999999999999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3" t="s">
        <v>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3.27</v>
      </c>
      <c r="E40" s="7" t="s">
        <v>3</v>
      </c>
      <c r="F40" s="7">
        <f>ROUND(((+F66+F65+F64+F63-F62+F61+F59+F57)/F61),2)</f>
        <v>1.92</v>
      </c>
      <c r="G40" s="7" t="s">
        <v>3</v>
      </c>
      <c r="H40" s="7">
        <f>ROUND(((+H66+H65+H64+H63-H62+H61+H59+H57)/H61),2)</f>
        <v>1.96</v>
      </c>
      <c r="I40" s="7" t="s">
        <v>3</v>
      </c>
      <c r="J40" s="7">
        <f>ROUND(((+J66+J65+J64+J63-J62+J61+J59+J57)/J61),2)</f>
        <v>2.86</v>
      </c>
      <c r="K40" s="7" t="s">
        <v>3</v>
      </c>
      <c r="L40" s="7">
        <f>ROUND(((+L66+L65+L64+L63-L62+L61+L59+L57)/L61),2)</f>
        <v>3.06</v>
      </c>
      <c r="M40" s="7" t="s">
        <v>3</v>
      </c>
      <c r="N40" s="26">
        <f>AVERAGE(D40,F40,H40,J40,L40)</f>
        <v>2.6139999999999999</v>
      </c>
      <c r="O40" t="s">
        <v>3</v>
      </c>
    </row>
    <row r="41" spans="1:15" x14ac:dyDescent="0.4">
      <c r="B41" t="s">
        <v>21</v>
      </c>
      <c r="D41" s="7">
        <f>ROUND(((+D66+D65+D64+D63-D62+D61)/D61),2)</f>
        <v>2.95</v>
      </c>
      <c r="E41" s="7" t="s">
        <v>3</v>
      </c>
      <c r="F41" s="7">
        <f>ROUND(((+F66+F65+F64+F63-F62+F61)/F61),2)</f>
        <v>1.86</v>
      </c>
      <c r="G41" s="7" t="s">
        <v>3</v>
      </c>
      <c r="H41" s="7">
        <f>ROUND(((+H66+H65+H64+H63-H62+H61)/H61),2)</f>
        <v>1.77</v>
      </c>
      <c r="I41" s="7" t="s">
        <v>3</v>
      </c>
      <c r="J41" s="7">
        <f>ROUND(((+J66+J65+J64+J63-J62+J61)/J61),2)</f>
        <v>2.5</v>
      </c>
      <c r="K41" s="7" t="s">
        <v>3</v>
      </c>
      <c r="L41" s="7">
        <f>ROUND(((+L66+L65+L64+L63-L62+L61)/L61),2)</f>
        <v>3.08</v>
      </c>
      <c r="M41" s="7" t="s">
        <v>3</v>
      </c>
      <c r="N41" s="26">
        <f>AVERAGE(D41,F41,H41,J41,L41)</f>
        <v>2.4319999999999999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2.95</v>
      </c>
      <c r="E42" s="7" t="s">
        <v>3</v>
      </c>
      <c r="F42" s="7">
        <f>ROUND(((+F66+F65+F64+F63-F62+F61)/(F61+F63+F64+F65)),2)</f>
        <v>1.86</v>
      </c>
      <c r="G42" s="7" t="s">
        <v>3</v>
      </c>
      <c r="H42" s="7">
        <f>ROUND(((+H66+H65+H64+H63-H62+H61)/(H61+H63+H64+H65)),2)</f>
        <v>1.77</v>
      </c>
      <c r="I42" s="7" t="s">
        <v>3</v>
      </c>
      <c r="J42" s="7">
        <f>ROUND(((+J66+J65+J64+J63-J62+J61)/(J61+J63+J64+J65)),2)</f>
        <v>2.5</v>
      </c>
      <c r="K42" s="7" t="s">
        <v>3</v>
      </c>
      <c r="L42" s="7">
        <f>ROUND(((+L66+L65+L64+L63-L62+L61)/(L61+L63+L64+L65)),2)</f>
        <v>3.08</v>
      </c>
      <c r="M42" s="7" t="s">
        <v>3</v>
      </c>
      <c r="N42" s="26">
        <f>AVERAGE(D42,F42,H42,J42,L42)</f>
        <v>2.4319999999999999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1">
        <f>ROUND(D62/D66,3)</f>
        <v>0</v>
      </c>
      <c r="E45" s="11"/>
      <c r="F45" s="11">
        <f>ROUND(F62/F66,3)</f>
        <v>0</v>
      </c>
      <c r="G45" s="11"/>
      <c r="H45" s="11">
        <f>ROUND(H62/H66,3)</f>
        <v>0</v>
      </c>
      <c r="I45" s="11"/>
      <c r="J45" s="11">
        <f>ROUND(J62/J66,3)</f>
        <v>0</v>
      </c>
      <c r="K45" s="11"/>
      <c r="L45" s="11">
        <f>ROUND(L62/L66,3)</f>
        <v>0</v>
      </c>
      <c r="M45" s="3"/>
      <c r="N45" s="3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0.13800000000000001</v>
      </c>
      <c r="E46" s="18"/>
      <c r="F46" s="17">
        <f>ROUND((F57+F59)/(F57+F59+F66+F63+F64+F65),3)</f>
        <v>6.6000000000000003E-2</v>
      </c>
      <c r="G46" s="18"/>
      <c r="H46" s="17">
        <f>ROUND((H57+H59)/(H57+H59+H66+H63+H64+H65),3)</f>
        <v>0.20499999999999999</v>
      </c>
      <c r="I46" s="18"/>
      <c r="J46" s="17">
        <f>ROUND((J57+J59)/(J57+J59+J66+J63+J64+J65),3)</f>
        <v>0.192</v>
      </c>
      <c r="K46" s="18"/>
      <c r="L46" s="17">
        <f>ROUND((L57+L59)/(L57+L59+L66+L63+L64+L65),3)</f>
        <v>-0.01</v>
      </c>
      <c r="N46" s="3">
        <f t="shared" si="0"/>
        <v>0.1182</v>
      </c>
    </row>
    <row r="47" spans="1:15" ht="17.25" x14ac:dyDescent="0.4">
      <c r="B47" s="33" t="s">
        <v>100</v>
      </c>
      <c r="D47" s="11">
        <f>ROUND(((+D82+D83+D84+D85+D86-D87+D88-D90-D91)/(+D89-D87)),3)</f>
        <v>0.70099999999999996</v>
      </c>
      <c r="E47" s="12"/>
      <c r="F47" s="11">
        <f>ROUND(((+F82+F83+F84+F85+F86-F87+F88-F90-F91)/(+F89-F87)),3)</f>
        <v>0.52300000000000002</v>
      </c>
      <c r="G47" s="12"/>
      <c r="H47" s="11">
        <f>ROUND(((+H82+H83+H84+H85+H86-H87+H88-H90-H91)/(+H89-H87)),3)</f>
        <v>0.624</v>
      </c>
      <c r="I47" s="12"/>
      <c r="J47" s="11">
        <f>ROUND(((+J82+J83+J84+J85+J86-J87+J88-J90-J91)/(+J89-J87)),3)</f>
        <v>0.878</v>
      </c>
      <c r="K47" s="12"/>
      <c r="L47" s="11">
        <f>ROUND(((+L82+L83+L84+L85+L86-L87+L88-L90-L91)/(+L89-L87)),3)</f>
        <v>0.64</v>
      </c>
      <c r="N47" s="3">
        <f t="shared" si="0"/>
        <v>0.67320000000000002</v>
      </c>
    </row>
    <row r="48" spans="1:15" ht="17.25" x14ac:dyDescent="0.4">
      <c r="B48" s="33" t="s">
        <v>101</v>
      </c>
      <c r="D48" s="11">
        <f>ROUND(((+D82+D83+D84+D85+D86-D87+D88)/(AVERAGE(D76,F76)+AVERAGE(D79,F79)+AVERAGE(D80,F80))),3)</f>
        <v>0.16</v>
      </c>
      <c r="E48" s="12"/>
      <c r="F48" s="11">
        <f>ROUND(((+F82+F83+F84+F85+F86-F87+F88)/(AVERAGE(F76,H76)+AVERAGE(F79,H79)+AVERAGE(F80,H80))),3)</f>
        <v>0.161</v>
      </c>
      <c r="G48" s="12"/>
      <c r="H48" s="11">
        <f>ROUND(((+H82+H83+H84+H85+H86-H87+H88)/(AVERAGE(H76,J76)+AVERAGE(H79,J79)+AVERAGE(H80,J80))),3)</f>
        <v>0.16700000000000001</v>
      </c>
      <c r="I48" s="12"/>
      <c r="J48" s="11">
        <f>ROUND(((+J82+J83+J84+J85+J86-J87+J88)/(AVERAGE(J76,L76)+AVERAGE(J79,L79)+AVERAGE(J80,L80))),3)</f>
        <v>0.16300000000000001</v>
      </c>
      <c r="K48" s="12"/>
      <c r="L48" s="11">
        <f>ROUND(((+L82+L83+L84+L85+L86-L87+L88)/(AVERAGE(L76,N76)+AVERAGE(L79,N79)+AVERAGE(L80,N80))),3)</f>
        <v>0.151</v>
      </c>
      <c r="N48" s="3">
        <f t="shared" si="0"/>
        <v>0.16040000000000001</v>
      </c>
    </row>
    <row r="49" spans="1:15" ht="17.25" x14ac:dyDescent="0.4">
      <c r="B49" s="33" t="s">
        <v>102</v>
      </c>
      <c r="D49" s="27">
        <f>ROUND(((+D82+D83+D84+D85+D86-D87+D88+D92)/D61),2)</f>
        <v>5.58</v>
      </c>
      <c r="E49" t="s">
        <v>3</v>
      </c>
      <c r="F49" s="27">
        <f>ROUND(((+F82+F83+F84+F85+F86-F87+F88+F92)/F61),2)</f>
        <v>5.48</v>
      </c>
      <c r="G49" t="s">
        <v>3</v>
      </c>
      <c r="H49" s="27">
        <f>ROUND(((+H82+H83+H84+H85+H86-H87+H88+H92)/H61),2)</f>
        <v>4.3600000000000003</v>
      </c>
      <c r="I49" t="s">
        <v>3</v>
      </c>
      <c r="J49" s="27">
        <f>ROUND(((+J82+J83+J84+J85+J86-J87+J88+J92)/J61),2)</f>
        <v>4.47</v>
      </c>
      <c r="K49" t="s">
        <v>3</v>
      </c>
      <c r="L49" s="27">
        <f>ROUND(((+L82+L83+L84+L85+L86-L87+L88+L92)/L61),2)</f>
        <v>4.54</v>
      </c>
      <c r="M49" t="s">
        <v>3</v>
      </c>
      <c r="N49" s="27">
        <f t="shared" si="0"/>
        <v>4.8860000000000001</v>
      </c>
      <c r="O49" t="s">
        <v>3</v>
      </c>
    </row>
    <row r="50" spans="1:15" ht="17.25" x14ac:dyDescent="0.4">
      <c r="B50" s="33" t="s">
        <v>103</v>
      </c>
      <c r="D50" s="27">
        <f>ROUND(((+D82+D83+D84+D85+D86-D87+D88-D91)/+D90),2)</f>
        <v>3.05</v>
      </c>
      <c r="E50" t="s">
        <v>3</v>
      </c>
      <c r="F50" s="27">
        <f>ROUND(((+F82+F83+F84+F85+F86-F87+F88-F91)/+F90),2)</f>
        <v>2.1</v>
      </c>
      <c r="G50" t="s">
        <v>3</v>
      </c>
      <c r="H50" s="27">
        <f>ROUND(((+H82+H83+H84+H85+H86-H87+H88-H91)/+H90),2)</f>
        <v>2.04</v>
      </c>
      <c r="I50" t="s">
        <v>3</v>
      </c>
      <c r="J50" s="27">
        <f>ROUND(((+J82+J83+J84+J85+J86-J87+J88-J91)/+J90),2)</f>
        <v>2.71</v>
      </c>
      <c r="K50" t="s">
        <v>3</v>
      </c>
      <c r="L50" s="27">
        <f>ROUND(((+L82+L83+L84+L85+L86-L87+L88-L91)/+L90),2)</f>
        <v>2.83</v>
      </c>
      <c r="M50" t="s">
        <v>3</v>
      </c>
      <c r="N50" s="27">
        <f t="shared" si="0"/>
        <v>2.5460000000000003</v>
      </c>
      <c r="O50" t="s">
        <v>3</v>
      </c>
    </row>
    <row r="52" spans="1:15" x14ac:dyDescent="0.4">
      <c r="A52" t="s">
        <v>4</v>
      </c>
    </row>
    <row r="53" spans="1:15" x14ac:dyDescent="0.4">
      <c r="D53" s="35"/>
      <c r="F53" s="35"/>
    </row>
    <row r="54" spans="1:15" x14ac:dyDescent="0.4">
      <c r="A54" s="19" t="s">
        <v>114</v>
      </c>
      <c r="B54" s="19"/>
      <c r="C54" s="19"/>
      <c r="D54" s="35"/>
      <c r="E54" s="20"/>
      <c r="F54" s="35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13964</v>
      </c>
      <c r="E56" s="22"/>
      <c r="F56" s="22">
        <v>14172</v>
      </c>
      <c r="G56" s="22"/>
      <c r="H56" s="22">
        <v>16572</v>
      </c>
      <c r="I56" s="22"/>
      <c r="J56" s="22">
        <v>13581</v>
      </c>
      <c r="K56" s="22"/>
      <c r="L56" s="22">
        <v>12586</v>
      </c>
      <c r="M56" s="22"/>
      <c r="N56" s="22">
        <v>11737</v>
      </c>
    </row>
    <row r="57" spans="1:15" x14ac:dyDescent="0.4">
      <c r="A57" s="20" t="s">
        <v>23</v>
      </c>
      <c r="B57" s="20"/>
      <c r="C57" s="20"/>
      <c r="D57" s="22">
        <v>425</v>
      </c>
      <c r="E57" s="22"/>
      <c r="F57" s="22">
        <v>83</v>
      </c>
      <c r="G57" s="22"/>
      <c r="H57" s="22">
        <v>351</v>
      </c>
      <c r="I57" s="22"/>
      <c r="J57" s="22">
        <v>580</v>
      </c>
      <c r="K57" s="22"/>
      <c r="L57" s="22">
        <v>-30</v>
      </c>
      <c r="M57" s="22"/>
      <c r="N57" s="22">
        <v>655</v>
      </c>
    </row>
    <row r="58" spans="1:15" x14ac:dyDescent="0.4">
      <c r="A58" s="20" t="s">
        <v>24</v>
      </c>
      <c r="B58" s="20"/>
      <c r="C58" s="20"/>
      <c r="D58" s="22">
        <f>10945+D57</f>
        <v>11370</v>
      </c>
      <c r="E58" s="22"/>
      <c r="F58" s="22">
        <f>12117+F57</f>
        <v>12200</v>
      </c>
      <c r="G58" s="22"/>
      <c r="H58" s="22">
        <f>14058+H57</f>
        <v>14409</v>
      </c>
      <c r="I58" s="22"/>
      <c r="J58" s="22">
        <v>9934</v>
      </c>
      <c r="K58" s="22"/>
      <c r="L58" s="22">
        <v>8432</v>
      </c>
      <c r="M58" s="22"/>
      <c r="N58" s="22">
        <v>8684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3019-D57+276+1157-26</f>
        <v>4001</v>
      </c>
      <c r="E60" s="22"/>
      <c r="F60" s="22">
        <f>2055-F57+733-149</f>
        <v>2556</v>
      </c>
      <c r="G60" s="22"/>
      <c r="H60" s="22">
        <f>2514-H57+986-18</f>
        <v>3131</v>
      </c>
      <c r="I60" s="22"/>
      <c r="J60" s="22">
        <v>4042</v>
      </c>
      <c r="K60" s="22"/>
      <c r="L60" s="22">
        <v>4325</v>
      </c>
      <c r="M60" s="22"/>
      <c r="N60" s="22">
        <v>3206</v>
      </c>
    </row>
    <row r="61" spans="1:15" x14ac:dyDescent="0.4">
      <c r="A61" s="20" t="s">
        <v>27</v>
      </c>
      <c r="B61" s="20"/>
      <c r="C61" s="20"/>
      <c r="D61" s="22">
        <v>1354</v>
      </c>
      <c r="E61" s="22"/>
      <c r="F61" s="22">
        <v>1377</v>
      </c>
      <c r="G61" s="22"/>
      <c r="H61" s="22">
        <v>1773</v>
      </c>
      <c r="I61" s="22"/>
      <c r="J61" s="22">
        <v>1627</v>
      </c>
      <c r="K61" s="22"/>
      <c r="L61" s="22">
        <v>1441</v>
      </c>
      <c r="M61" s="22"/>
      <c r="N61" s="22">
        <v>1153</v>
      </c>
    </row>
    <row r="62" spans="1:15" x14ac:dyDescent="0.4">
      <c r="A62" s="20" t="s">
        <v>28</v>
      </c>
      <c r="B62" s="20"/>
      <c r="C62" s="20"/>
      <c r="D62" s="22">
        <v>0</v>
      </c>
      <c r="E62" s="22"/>
      <c r="F62" s="22">
        <v>0</v>
      </c>
      <c r="G62" s="22"/>
      <c r="H62" s="22">
        <v>0</v>
      </c>
      <c r="I62" s="22"/>
      <c r="J62" s="22">
        <v>0</v>
      </c>
      <c r="K62" s="22"/>
      <c r="L62" s="22">
        <v>0</v>
      </c>
      <c r="M62" s="22"/>
      <c r="N62" s="22">
        <v>0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f>3288-641</f>
        <v>2647</v>
      </c>
      <c r="E66" s="22"/>
      <c r="F66" s="22">
        <f>1328-149</f>
        <v>1179</v>
      </c>
      <c r="G66" s="22"/>
      <c r="H66" s="22">
        <v>1358</v>
      </c>
      <c r="I66" s="22"/>
      <c r="J66" s="22">
        <v>2447</v>
      </c>
      <c r="K66" s="22"/>
      <c r="L66" s="22">
        <v>2999</v>
      </c>
      <c r="M66" s="22"/>
      <c r="N66" s="22">
        <v>2123</v>
      </c>
    </row>
    <row r="67" spans="1:14" x14ac:dyDescent="0.4">
      <c r="A67" s="20" t="s">
        <v>33</v>
      </c>
      <c r="B67" s="20"/>
      <c r="C67" s="20"/>
      <c r="D67" s="22">
        <v>3.19</v>
      </c>
      <c r="E67" s="22"/>
      <c r="F67" s="22">
        <v>1.83</v>
      </c>
      <c r="G67" s="22"/>
      <c r="H67" s="22">
        <v>1.66</v>
      </c>
      <c r="I67" s="22"/>
      <c r="J67" s="22">
        <v>3.74</v>
      </c>
      <c r="K67" s="22"/>
      <c r="L67" s="22">
        <v>4.72</v>
      </c>
      <c r="M67" s="22"/>
      <c r="N67" s="22">
        <v>3.44</v>
      </c>
    </row>
    <row r="68" spans="1:14" x14ac:dyDescent="0.4">
      <c r="A68" s="20" t="s">
        <v>34</v>
      </c>
      <c r="B68" s="20"/>
      <c r="C68" s="20"/>
      <c r="D68" s="22">
        <f>27308-1783</f>
        <v>25525</v>
      </c>
      <c r="E68" s="22"/>
      <c r="F68" s="22">
        <f>26117-F71</f>
        <v>23730</v>
      </c>
      <c r="G68" s="22"/>
      <c r="H68" s="22">
        <f>31994-H71</f>
        <v>29607</v>
      </c>
      <c r="I68" s="22"/>
      <c r="J68" s="22">
        <v>20107</v>
      </c>
      <c r="K68" s="22"/>
      <c r="L68" s="22">
        <v>17142</v>
      </c>
      <c r="M68" s="22"/>
      <c r="N68" s="22">
        <v>14605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f>1610+1783</f>
        <v>3393</v>
      </c>
      <c r="E71" s="22"/>
      <c r="F71" s="22">
        <v>2387</v>
      </c>
      <c r="G71" s="22"/>
      <c r="H71" s="22">
        <v>2387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344</v>
      </c>
      <c r="G75" s="22"/>
      <c r="H75" s="22">
        <v>2039</v>
      </c>
      <c r="I75" s="22"/>
      <c r="J75" s="22">
        <v>1941</v>
      </c>
      <c r="K75" s="22"/>
      <c r="L75" s="22">
        <v>2228</v>
      </c>
      <c r="M75" s="22"/>
      <c r="N75" s="22">
        <v>2235</v>
      </c>
    </row>
    <row r="76" spans="1:14" x14ac:dyDescent="0.4">
      <c r="A76" s="20" t="s">
        <v>42</v>
      </c>
      <c r="B76" s="20"/>
      <c r="C76" s="20"/>
      <c r="D76" s="22">
        <v>37426</v>
      </c>
      <c r="E76" s="22"/>
      <c r="F76" s="22">
        <v>33957</v>
      </c>
      <c r="G76" s="22"/>
      <c r="H76" s="22">
        <v>33824</v>
      </c>
      <c r="I76" s="22"/>
      <c r="J76" s="22">
        <v>31144</v>
      </c>
      <c r="K76" s="22"/>
      <c r="L76" s="22">
        <v>30948</v>
      </c>
      <c r="M76" s="22"/>
      <c r="N76" s="22">
        <v>30231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66344</v>
      </c>
      <c r="E78" s="22"/>
      <c r="F78" s="22">
        <f>SUM(F68:F77)</f>
        <v>60418</v>
      </c>
      <c r="G78" s="22"/>
      <c r="H78" s="22">
        <f>SUM(H68:H77)</f>
        <v>67857</v>
      </c>
      <c r="I78" s="22"/>
      <c r="J78" s="22">
        <v>53192</v>
      </c>
      <c r="K78" s="22"/>
      <c r="L78" s="22">
        <v>50318</v>
      </c>
      <c r="M78" s="22"/>
      <c r="N78" s="22">
        <v>47071</v>
      </c>
    </row>
    <row r="79" spans="1:14" x14ac:dyDescent="0.4">
      <c r="A79" s="20" t="s">
        <v>45</v>
      </c>
      <c r="B79" s="20"/>
      <c r="C79" s="20"/>
      <c r="D79" s="22">
        <v>841</v>
      </c>
      <c r="E79" s="22"/>
      <c r="F79" s="22">
        <v>1937</v>
      </c>
      <c r="G79" s="22"/>
      <c r="H79" s="22">
        <v>3162</v>
      </c>
      <c r="I79" s="22"/>
      <c r="J79" s="22">
        <v>3697</v>
      </c>
      <c r="K79" s="22"/>
      <c r="L79" s="22">
        <v>3078</v>
      </c>
      <c r="M79" s="22"/>
      <c r="N79" s="22">
        <v>1709</v>
      </c>
    </row>
    <row r="80" spans="1:14" x14ac:dyDescent="0.4">
      <c r="A80" s="20" t="s">
        <v>46</v>
      </c>
      <c r="B80" s="20"/>
      <c r="C80" s="20"/>
      <c r="D80" s="22">
        <v>2314</v>
      </c>
      <c r="E80" s="22"/>
      <c r="F80" s="22">
        <f>225+895</f>
        <v>1120</v>
      </c>
      <c r="G80" s="22"/>
      <c r="H80" s="22">
        <v>911</v>
      </c>
      <c r="I80" s="22"/>
      <c r="J80" s="22">
        <v>334</v>
      </c>
      <c r="K80" s="22"/>
      <c r="L80" s="22">
        <v>3298</v>
      </c>
      <c r="M80" s="22"/>
      <c r="N80" s="22">
        <v>3155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3314</v>
      </c>
      <c r="E82" s="22"/>
      <c r="F82" s="22">
        <v>-550</v>
      </c>
      <c r="G82" s="22"/>
      <c r="H82" s="22">
        <v>1376</v>
      </c>
      <c r="I82" s="22"/>
      <c r="J82" s="22">
        <v>2549</v>
      </c>
      <c r="K82" s="22"/>
      <c r="L82" s="22">
        <v>3120</v>
      </c>
      <c r="M82" s="22"/>
      <c r="N82" s="22">
        <v>2212</v>
      </c>
    </row>
    <row r="83" spans="1:14" x14ac:dyDescent="0.4">
      <c r="A83" s="20" t="s">
        <v>49</v>
      </c>
      <c r="B83" s="20"/>
      <c r="C83" s="20"/>
      <c r="D83" s="22">
        <v>2768</v>
      </c>
      <c r="E83" s="22"/>
      <c r="F83" s="22">
        <v>2836</v>
      </c>
      <c r="G83" s="22"/>
      <c r="H83" s="22">
        <v>2977</v>
      </c>
      <c r="I83" s="22"/>
      <c r="J83" s="22">
        <v>2280</v>
      </c>
      <c r="K83" s="22"/>
      <c r="L83" s="22">
        <v>2202</v>
      </c>
      <c r="M83" s="22"/>
      <c r="N83" s="22">
        <v>1849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0</v>
      </c>
      <c r="G84" s="22"/>
      <c r="H84" s="22">
        <v>0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487</v>
      </c>
      <c r="E85" s="22"/>
      <c r="F85" s="22">
        <v>-324</v>
      </c>
      <c r="G85" s="22"/>
      <c r="H85" s="22">
        <v>216</v>
      </c>
      <c r="I85" s="22"/>
      <c r="J85" s="22">
        <v>517</v>
      </c>
      <c r="K85" s="22"/>
      <c r="L85" s="22">
        <v>-6</v>
      </c>
      <c r="M85" s="22"/>
      <c r="N85" s="22">
        <v>691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3</v>
      </c>
      <c r="M86" s="22"/>
      <c r="N86" s="22">
        <v>34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0</v>
      </c>
      <c r="G87" s="22"/>
      <c r="H87" s="22">
        <v>0</v>
      </c>
      <c r="I87" s="22"/>
      <c r="J87" s="22">
        <v>0</v>
      </c>
      <c r="K87" s="22"/>
      <c r="L87" s="22">
        <v>0</v>
      </c>
      <c r="M87" s="22"/>
      <c r="N87" s="22">
        <v>0</v>
      </c>
    </row>
    <row r="88" spans="1:14" x14ac:dyDescent="0.4">
      <c r="A88" s="20" t="s">
        <v>69</v>
      </c>
      <c r="B88" s="20"/>
      <c r="C88" s="20"/>
      <c r="D88" s="22">
        <f>-685+211+356+182+20-97-639+294</f>
        <v>-358</v>
      </c>
      <c r="E88" s="22"/>
      <c r="F88" s="22">
        <f>-134-250+2345+2405-63-412+11+159</f>
        <v>4061</v>
      </c>
      <c r="G88" s="22"/>
      <c r="H88" s="22">
        <f>-21+800+1333+320-167-626-113-5</f>
        <v>1521</v>
      </c>
      <c r="I88" s="22"/>
      <c r="J88" s="22">
        <v>572</v>
      </c>
      <c r="K88" s="22"/>
      <c r="L88" s="22">
        <v>137</v>
      </c>
      <c r="M88" s="22"/>
      <c r="N88" s="22">
        <v>-123</v>
      </c>
    </row>
    <row r="89" spans="1:14" x14ac:dyDescent="0.4">
      <c r="A89" s="20" t="s">
        <v>54</v>
      </c>
      <c r="B89" s="20"/>
      <c r="C89" s="20"/>
      <c r="D89" s="22">
        <v>5960</v>
      </c>
      <c r="E89" s="22"/>
      <c r="F89" s="22">
        <v>6020</v>
      </c>
      <c r="G89" s="22"/>
      <c r="H89" s="22">
        <v>4980</v>
      </c>
      <c r="I89" s="22"/>
      <c r="J89" s="22">
        <v>4254</v>
      </c>
      <c r="K89" s="22"/>
      <c r="L89" s="22">
        <v>5504</v>
      </c>
      <c r="M89" s="22"/>
      <c r="N89" s="22">
        <v>6085</v>
      </c>
    </row>
    <row r="90" spans="1:14" x14ac:dyDescent="0.4">
      <c r="A90" s="20" t="s">
        <v>55</v>
      </c>
      <c r="B90" s="20"/>
      <c r="C90" s="20"/>
      <c r="D90" s="22">
        <v>2036</v>
      </c>
      <c r="E90" s="22"/>
      <c r="F90" s="22">
        <v>2873</v>
      </c>
      <c r="G90" s="22"/>
      <c r="H90" s="22">
        <v>2983</v>
      </c>
      <c r="I90" s="22"/>
      <c r="J90" s="22">
        <v>2185</v>
      </c>
      <c r="K90" s="22"/>
      <c r="L90" s="22">
        <v>1931</v>
      </c>
      <c r="M90" s="22"/>
      <c r="N90" s="22">
        <v>1727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1340</v>
      </c>
      <c r="E92" s="22"/>
      <c r="F92" s="22">
        <v>1519</v>
      </c>
      <c r="G92" s="22"/>
      <c r="H92" s="22">
        <v>1643</v>
      </c>
      <c r="I92" s="22"/>
      <c r="J92" s="22">
        <v>1362</v>
      </c>
      <c r="K92" s="22"/>
      <c r="L92" s="22">
        <v>1083</v>
      </c>
      <c r="M92" s="22"/>
      <c r="N92" s="22">
        <v>905</v>
      </c>
    </row>
    <row r="93" spans="1:14" x14ac:dyDescent="0.4">
      <c r="A93" s="20" t="s">
        <v>58</v>
      </c>
      <c r="B93" s="20"/>
      <c r="C93" s="20"/>
      <c r="D93" s="22">
        <v>160</v>
      </c>
      <c r="E93" s="22"/>
      <c r="F93" s="22">
        <v>292</v>
      </c>
      <c r="G93" s="22"/>
      <c r="H93" s="22">
        <v>106</v>
      </c>
      <c r="I93" s="22"/>
      <c r="J93" s="22">
        <v>89</v>
      </c>
      <c r="K93" s="22"/>
      <c r="L93" s="22">
        <v>9</v>
      </c>
      <c r="M93" s="22"/>
      <c r="N93" s="22">
        <v>145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2036</v>
      </c>
      <c r="E96" s="22"/>
      <c r="F96" s="22">
        <v>2873</v>
      </c>
      <c r="G96" s="22"/>
      <c r="H96" s="22">
        <v>2983</v>
      </c>
      <c r="I96" s="22"/>
      <c r="J96" s="22">
        <v>2331</v>
      </c>
      <c r="K96" s="22"/>
      <c r="L96" s="22">
        <v>1931</v>
      </c>
      <c r="M96" s="22"/>
      <c r="N96" s="22">
        <v>1727</v>
      </c>
    </row>
    <row r="97" spans="1:14" x14ac:dyDescent="0.4">
      <c r="A97" s="20" t="s">
        <v>60</v>
      </c>
      <c r="B97" s="20"/>
      <c r="C97" s="20"/>
      <c r="D97" s="22">
        <v>2.52</v>
      </c>
      <c r="E97" s="22"/>
      <c r="F97" s="22">
        <v>3.45</v>
      </c>
      <c r="G97" s="22"/>
      <c r="H97" s="22">
        <v>3.67</v>
      </c>
      <c r="I97" s="22"/>
      <c r="J97" s="22">
        <v>3.34</v>
      </c>
      <c r="K97" s="22"/>
      <c r="L97" s="22">
        <v>3.0350000000000001</v>
      </c>
      <c r="M97" s="22"/>
      <c r="N97" s="22">
        <v>2.8</v>
      </c>
    </row>
    <row r="98" spans="1:14" x14ac:dyDescent="0.4">
      <c r="A98" s="20" t="s">
        <v>61</v>
      </c>
      <c r="B98" s="20"/>
      <c r="C98" s="20"/>
      <c r="D98" s="22">
        <v>2.52</v>
      </c>
      <c r="E98" s="22"/>
      <c r="F98" s="22">
        <v>3.45</v>
      </c>
      <c r="G98" s="22"/>
      <c r="H98" s="22">
        <v>3.67</v>
      </c>
      <c r="I98" s="22"/>
      <c r="J98" s="22">
        <v>3.34</v>
      </c>
      <c r="K98" s="22"/>
      <c r="L98" s="22">
        <v>3.0350000000000001</v>
      </c>
      <c r="M98" s="22"/>
      <c r="N98" s="22">
        <v>2.8</v>
      </c>
    </row>
    <row r="99" spans="1:14" x14ac:dyDescent="0.4">
      <c r="A99" s="20" t="s">
        <v>62</v>
      </c>
      <c r="B99" s="20"/>
      <c r="C99" s="20"/>
      <c r="D99" s="22">
        <v>81.08</v>
      </c>
      <c r="E99" s="22"/>
      <c r="F99" s="22">
        <v>90.89</v>
      </c>
      <c r="G99" s="22"/>
      <c r="H99" s="22">
        <v>83.93</v>
      </c>
      <c r="I99" s="22"/>
      <c r="J99" s="22">
        <v>81.67</v>
      </c>
      <c r="K99" s="22"/>
      <c r="L99" s="22">
        <v>85.3</v>
      </c>
      <c r="M99" s="22"/>
      <c r="N99" s="22">
        <v>78.97</v>
      </c>
    </row>
    <row r="100" spans="1:14" x14ac:dyDescent="0.4">
      <c r="A100" s="20" t="s">
        <v>63</v>
      </c>
      <c r="B100" s="20"/>
      <c r="C100" s="20"/>
      <c r="D100" s="22">
        <v>67.849999999999994</v>
      </c>
      <c r="E100" s="22"/>
      <c r="F100" s="22">
        <v>57.79</v>
      </c>
      <c r="G100" s="22"/>
      <c r="H100" s="22">
        <v>67.41</v>
      </c>
      <c r="I100" s="22"/>
      <c r="J100" s="22">
        <v>61.53</v>
      </c>
      <c r="K100" s="22"/>
      <c r="L100" s="22">
        <v>70.87</v>
      </c>
      <c r="M100" s="22"/>
      <c r="N100" s="22">
        <v>66.25</v>
      </c>
    </row>
    <row r="101" spans="1:14" x14ac:dyDescent="0.4">
      <c r="A101" s="20" t="s">
        <v>64</v>
      </c>
      <c r="B101" s="20"/>
      <c r="C101" s="20"/>
      <c r="D101" s="22">
        <v>78.56</v>
      </c>
      <c r="E101" s="22"/>
      <c r="F101" s="22">
        <v>75.199996999999996</v>
      </c>
      <c r="G101" s="22"/>
      <c r="H101" s="22">
        <v>82.82</v>
      </c>
      <c r="I101" s="22"/>
      <c r="J101" s="22">
        <v>71.459999999999994</v>
      </c>
      <c r="K101" s="22"/>
      <c r="L101" s="22">
        <v>81.06</v>
      </c>
      <c r="M101" s="22"/>
      <c r="N101" s="22">
        <v>76.59</v>
      </c>
    </row>
    <row r="102" spans="1:14" x14ac:dyDescent="0.4">
      <c r="A102" s="20" t="s">
        <v>65</v>
      </c>
      <c r="B102" s="20"/>
      <c r="C102" s="20"/>
      <c r="D102" s="22">
        <v>810</v>
      </c>
      <c r="E102" s="22"/>
      <c r="F102" s="22">
        <v>806</v>
      </c>
      <c r="G102" s="22"/>
      <c r="H102" s="22">
        <v>838</v>
      </c>
      <c r="I102" s="22"/>
      <c r="J102" s="22">
        <v>681</v>
      </c>
      <c r="K102" s="22"/>
      <c r="L102" s="22">
        <v>645</v>
      </c>
      <c r="M102" s="22"/>
      <c r="N102" s="22">
        <v>628</v>
      </c>
    </row>
    <row r="103" spans="1:14" x14ac:dyDescent="0.4">
      <c r="A103" s="20" t="s">
        <v>91</v>
      </c>
      <c r="B103" s="20"/>
      <c r="C103" s="20"/>
      <c r="D103" s="22">
        <v>-1458</v>
      </c>
      <c r="E103" s="22"/>
      <c r="F103" s="22">
        <v>-1717</v>
      </c>
      <c r="G103" s="22"/>
      <c r="H103" s="22">
        <v>-1793</v>
      </c>
      <c r="I103" s="22"/>
      <c r="J103" s="22">
        <v>-1700</v>
      </c>
      <c r="K103" s="22"/>
      <c r="L103" s="22">
        <v>-659</v>
      </c>
      <c r="M103" s="22"/>
      <c r="N103" s="22">
        <v>-799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3.19</v>
      </c>
      <c r="F105" s="15">
        <f>F67/F94</f>
        <v>1.83</v>
      </c>
      <c r="H105" s="15">
        <f>H67/H94</f>
        <v>1.66</v>
      </c>
      <c r="J105" s="15">
        <f>J67/J94</f>
        <v>3.74</v>
      </c>
      <c r="L105" s="15">
        <f>L67/L94</f>
        <v>4.72</v>
      </c>
      <c r="N105" s="15">
        <f>N67/N94</f>
        <v>3.44</v>
      </c>
    </row>
    <row r="106" spans="1:14" x14ac:dyDescent="0.4">
      <c r="B106" t="s">
        <v>60</v>
      </c>
      <c r="D106" s="15">
        <f>D97/D94</f>
        <v>2.52</v>
      </c>
      <c r="F106" s="15">
        <f>F97/F94</f>
        <v>3.45</v>
      </c>
      <c r="H106" s="15">
        <f>H97/H94</f>
        <v>3.67</v>
      </c>
      <c r="J106" s="15">
        <f>J97/J94</f>
        <v>3.34</v>
      </c>
      <c r="L106" s="15">
        <f>L97/L94</f>
        <v>3.0350000000000001</v>
      </c>
      <c r="N106" s="15">
        <f>N97/N94</f>
        <v>2.8</v>
      </c>
    </row>
    <row r="107" spans="1:14" x14ac:dyDescent="0.4">
      <c r="B107" t="s">
        <v>61</v>
      </c>
      <c r="D107" s="15">
        <f>D98/D94</f>
        <v>2.52</v>
      </c>
      <c r="F107" s="15">
        <f>F98/F94</f>
        <v>3.45</v>
      </c>
      <c r="H107" s="15">
        <f>H98/H94</f>
        <v>3.67</v>
      </c>
      <c r="J107" s="15">
        <f>J98/J94</f>
        <v>3.34</v>
      </c>
      <c r="L107" s="15">
        <f>L98/L94</f>
        <v>3.0350000000000001</v>
      </c>
      <c r="N107" s="15">
        <f>N98/N94</f>
        <v>2.8</v>
      </c>
    </row>
    <row r="108" spans="1:14" x14ac:dyDescent="0.4">
      <c r="B108" t="s">
        <v>62</v>
      </c>
      <c r="D108" s="15">
        <f>D99/D94</f>
        <v>81.08</v>
      </c>
      <c r="F108" s="15">
        <f>F99/F94</f>
        <v>90.89</v>
      </c>
      <c r="H108" s="15">
        <f>H99/H94</f>
        <v>83.93</v>
      </c>
      <c r="J108" s="15">
        <f>J99/J94</f>
        <v>81.67</v>
      </c>
      <c r="L108" s="15">
        <f>L99/L94</f>
        <v>85.3</v>
      </c>
      <c r="N108" s="15">
        <f>N99/N94</f>
        <v>78.97</v>
      </c>
    </row>
    <row r="109" spans="1:14" x14ac:dyDescent="0.4">
      <c r="B109" t="s">
        <v>63</v>
      </c>
      <c r="D109" s="15">
        <f>D100/D94</f>
        <v>67.849999999999994</v>
      </c>
      <c r="F109" s="15">
        <f>F100/F94</f>
        <v>57.79</v>
      </c>
      <c r="H109" s="15">
        <f>H100/H94</f>
        <v>67.41</v>
      </c>
      <c r="J109" s="15">
        <f>J100/J94</f>
        <v>61.53</v>
      </c>
      <c r="L109" s="15">
        <f>L100/L94</f>
        <v>70.87</v>
      </c>
      <c r="N109" s="15">
        <f>N100/N94</f>
        <v>66.25</v>
      </c>
    </row>
    <row r="110" spans="1:14" x14ac:dyDescent="0.4">
      <c r="B110" t="s">
        <v>64</v>
      </c>
      <c r="D110" s="15">
        <f>D101/D94</f>
        <v>78.56</v>
      </c>
      <c r="F110" s="15">
        <f>F101/F94</f>
        <v>75.199996999999996</v>
      </c>
      <c r="H110" s="15">
        <f>H101/H94</f>
        <v>82.82</v>
      </c>
      <c r="J110" s="15">
        <f>J101/J94</f>
        <v>71.459999999999994</v>
      </c>
      <c r="L110" s="15">
        <f>L101/L94</f>
        <v>81.06</v>
      </c>
      <c r="N110" s="15">
        <f>N101/N94</f>
        <v>76.59</v>
      </c>
    </row>
    <row r="111" spans="1:14" x14ac:dyDescent="0.4">
      <c r="B111" t="s">
        <v>65</v>
      </c>
      <c r="D111" s="16">
        <f>D102*D94</f>
        <v>810</v>
      </c>
      <c r="E111" s="16"/>
      <c r="F111" s="16">
        <f>F102*F94</f>
        <v>806</v>
      </c>
      <c r="G111" s="16"/>
      <c r="H111" s="16">
        <f>H102*H94</f>
        <v>838</v>
      </c>
      <c r="I111" s="16"/>
      <c r="J111" s="16">
        <f>J102*J94</f>
        <v>681</v>
      </c>
      <c r="K111" s="16"/>
      <c r="L111" s="16">
        <f>L102*L94</f>
        <v>645</v>
      </c>
      <c r="M111" s="16"/>
      <c r="N111" s="16">
        <f>N102*N94</f>
        <v>628</v>
      </c>
    </row>
    <row r="112" spans="1:14" x14ac:dyDescent="0.4">
      <c r="B112" t="s">
        <v>66</v>
      </c>
      <c r="D112" s="15">
        <f>ROUND(D68/D111,2)</f>
        <v>31.51</v>
      </c>
      <c r="F112" s="15">
        <f>ROUND(F68/F111,2)</f>
        <v>29.44</v>
      </c>
      <c r="H112" s="15">
        <f>ROUND(H68/H111,2)</f>
        <v>35.33</v>
      </c>
      <c r="J112" s="15">
        <f>ROUND(J68/J111,2)</f>
        <v>29.53</v>
      </c>
      <c r="L112" s="15">
        <f>ROUND(L68/L111,2)</f>
        <v>26.58</v>
      </c>
      <c r="N112" s="15">
        <f>ROUND(N68/N111,2)</f>
        <v>23.26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 A C T I V E ! 1 5 6 7 5 8 2 6 . 1 < / d o c u m e n t i d >  
     < s e n d e r i d > K E A B E T < / s e n d e r i d >  
     < s e n d e r e m a i l > B K E A T I N G @ G U N S T E R . C O M < / s e n d e r e m a i l >  
     < l a s t m o d i f i e d > 2 0 2 2 - 0 6 - 0 3 T 1 0 : 5 1 : 0 6 . 0 0 0 0 0 0 0 - 0 4 : 0 0 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Page 1</vt:lpstr>
      <vt:lpstr>Alliant</vt:lpstr>
      <vt:lpstr>Ameren</vt:lpstr>
      <vt:lpstr>American</vt:lpstr>
      <vt:lpstr>AWW</vt:lpstr>
      <vt:lpstr>CenterPoint</vt:lpstr>
      <vt:lpstr>CMS Energy</vt:lpstr>
      <vt:lpstr>ConEd</vt:lpstr>
      <vt:lpstr>Dominion</vt:lpstr>
      <vt:lpstr>DTE</vt:lpstr>
      <vt:lpstr>Duke</vt:lpstr>
      <vt:lpstr>Edison</vt:lpstr>
      <vt:lpstr>Entergy</vt:lpstr>
      <vt:lpstr>Evergy</vt:lpstr>
      <vt:lpstr>Eversource</vt:lpstr>
      <vt:lpstr>Exelon</vt:lpstr>
      <vt:lpstr>FirstEnergy</vt:lpstr>
      <vt:lpstr>NextEra</vt:lpstr>
      <vt:lpstr>NiSource</vt:lpstr>
      <vt:lpstr>NRG</vt:lpstr>
      <vt:lpstr>Pinnacle</vt:lpstr>
      <vt:lpstr>PPL</vt:lpstr>
      <vt:lpstr>PublicServ</vt:lpstr>
      <vt:lpstr>Sempra</vt:lpstr>
      <vt:lpstr>Southern</vt:lpstr>
      <vt:lpstr>WEC</vt:lpstr>
      <vt:lpstr>Xcel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2009-10-21T03:16:26Z</cp:lastPrinted>
  <dcterms:created xsi:type="dcterms:W3CDTF">2001-03-03T20:55:32Z</dcterms:created>
  <dcterms:modified xsi:type="dcterms:W3CDTF">2022-06-03T14:51:06Z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{9E86609D-B92F-4AD1-8431-17F3973A4471}</vt:lpwstr>
  </property>
</Properties>
</file>