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8632C0DE-2BC7-410D-8002-22AF771154F1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2" r:id="rId1"/>
  </sheets>
  <definedNames>
    <definedName name="\P">#REF!</definedName>
    <definedName name="A">#REF!</definedName>
    <definedName name="B">'Page 1'!$A$1:$W$61</definedName>
    <definedName name="C_">#REF!</definedName>
    <definedName name="D">#REF!</definedName>
    <definedName name="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1'!$A$1:$W$61</definedName>
    <definedName name="_xlnm.Print_Area">#REF!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2" l="1"/>
  <c r="J25" i="2"/>
  <c r="J28" i="2" s="1"/>
  <c r="K21" i="2"/>
  <c r="K10" i="2" s="1"/>
  <c r="J21" i="2"/>
  <c r="K9" i="2"/>
  <c r="J8" i="2"/>
  <c r="G27" i="2"/>
  <c r="F8" i="2"/>
  <c r="J33" i="2" l="1"/>
  <c r="J32" i="2"/>
  <c r="J31" i="2"/>
  <c r="J34" i="2" s="1"/>
  <c r="K28" i="2"/>
  <c r="K11" i="2"/>
  <c r="K13" i="2" s="1"/>
  <c r="J10" i="2"/>
  <c r="F25" i="2"/>
  <c r="W8" i="2"/>
  <c r="W25" i="2"/>
  <c r="F28" i="2"/>
  <c r="F32" i="2" s="1"/>
  <c r="W9" i="2"/>
  <c r="D21" i="2"/>
  <c r="D10" i="2" s="1"/>
  <c r="E21" i="2"/>
  <c r="F21" i="2"/>
  <c r="F10" i="2" s="1"/>
  <c r="F11" i="2" s="1"/>
  <c r="F13" i="2" s="1"/>
  <c r="G21" i="2"/>
  <c r="G10" i="2" s="1"/>
  <c r="H21" i="2"/>
  <c r="H10" i="2" s="1"/>
  <c r="I21" i="2"/>
  <c r="W26" i="2"/>
  <c r="W27" i="2"/>
  <c r="D28" i="2"/>
  <c r="D31" i="2" s="1"/>
  <c r="E28" i="2"/>
  <c r="E32" i="2" s="1"/>
  <c r="G28" i="2"/>
  <c r="G31" i="2" s="1"/>
  <c r="H28" i="2"/>
  <c r="H33" i="2" s="1"/>
  <c r="I28" i="2"/>
  <c r="I32" i="2" s="1"/>
  <c r="W36" i="2"/>
  <c r="B39" i="2" s="1"/>
  <c r="B40" i="2" s="1"/>
  <c r="B41" i="2" s="1"/>
  <c r="F40" i="2"/>
  <c r="F45" i="2"/>
  <c r="J51" i="2"/>
  <c r="J52" i="2" s="1"/>
  <c r="D52" i="2"/>
  <c r="D53" i="2" s="1"/>
  <c r="D54" i="2" s="1"/>
  <c r="H58" i="2"/>
  <c r="R58" i="2"/>
  <c r="F31" i="2"/>
  <c r="F33" i="2" l="1"/>
  <c r="K32" i="2"/>
  <c r="K31" i="2"/>
  <c r="K14" i="2"/>
  <c r="K33" i="2"/>
  <c r="K15" i="2"/>
  <c r="J11" i="2"/>
  <c r="I10" i="2"/>
  <c r="I11" i="2" s="1"/>
  <c r="H31" i="2"/>
  <c r="J58" i="2"/>
  <c r="J59" i="2" s="1"/>
  <c r="G33" i="2"/>
  <c r="I31" i="2"/>
  <c r="I33" i="2"/>
  <c r="I13" i="2"/>
  <c r="I14" i="2"/>
  <c r="I15" i="2"/>
  <c r="H11" i="2"/>
  <c r="H32" i="2"/>
  <c r="G11" i="2"/>
  <c r="G15" i="2" s="1"/>
  <c r="G32" i="2"/>
  <c r="F34" i="2"/>
  <c r="F14" i="2"/>
  <c r="F15" i="2"/>
  <c r="E10" i="2"/>
  <c r="E11" i="2" s="1"/>
  <c r="E15" i="2" s="1"/>
  <c r="E31" i="2"/>
  <c r="E33" i="2"/>
  <c r="D11" i="2"/>
  <c r="D14" i="2" s="1"/>
  <c r="D32" i="2"/>
  <c r="W28" i="2"/>
  <c r="D33" i="2"/>
  <c r="K34" i="2" l="1"/>
  <c r="K16" i="2"/>
  <c r="J14" i="2"/>
  <c r="J13" i="2"/>
  <c r="J15" i="2"/>
  <c r="I34" i="2"/>
  <c r="W31" i="2"/>
  <c r="L58" i="2" s="1"/>
  <c r="H34" i="2"/>
  <c r="G34" i="2"/>
  <c r="W10" i="2"/>
  <c r="W11" i="2"/>
  <c r="I16" i="2"/>
  <c r="H14" i="2"/>
  <c r="H13" i="2"/>
  <c r="H15" i="2"/>
  <c r="W32" i="2"/>
  <c r="T58" i="2" s="1"/>
  <c r="W33" i="2"/>
  <c r="N58" i="2" s="1"/>
  <c r="G14" i="2"/>
  <c r="G13" i="2"/>
  <c r="F16" i="2"/>
  <c r="E14" i="2"/>
  <c r="E13" i="2"/>
  <c r="E34" i="2"/>
  <c r="D13" i="2"/>
  <c r="D15" i="2"/>
  <c r="D34" i="2"/>
  <c r="J16" i="2" l="1"/>
  <c r="E16" i="2"/>
  <c r="D16" i="2"/>
  <c r="G16" i="2"/>
  <c r="W15" i="2"/>
  <c r="W14" i="2"/>
  <c r="T51" i="2" s="1"/>
  <c r="I45" i="2"/>
  <c r="T59" i="2"/>
  <c r="T60" i="2" s="1"/>
  <c r="H16" i="2"/>
  <c r="G45" i="2"/>
  <c r="E46" i="2" s="1"/>
  <c r="L59" i="2"/>
  <c r="L60" i="2" s="1"/>
  <c r="W34" i="2"/>
  <c r="V58" i="2"/>
  <c r="W13" i="2" l="1"/>
  <c r="L51" i="2" s="1"/>
  <c r="N51" i="2"/>
  <c r="V51" i="2"/>
  <c r="I39" i="2"/>
  <c r="I40" i="2"/>
  <c r="T52" i="2"/>
  <c r="T53" i="2" s="1"/>
  <c r="G39" i="2" l="1"/>
  <c r="W16" i="2"/>
  <c r="L52" i="2"/>
  <c r="L53" i="2" s="1"/>
  <c r="G40" i="2"/>
  <c r="E41" i="2" s="1"/>
  <c r="B42" i="2" s="1"/>
  <c r="D45" i="2" l="1"/>
  <c r="D46" i="2"/>
  <c r="D47" i="2" s="1"/>
  <c r="D44" i="2"/>
  <c r="B51" i="2" l="1"/>
  <c r="F51" i="2"/>
  <c r="P51" i="2"/>
  <c r="B52" i="2"/>
  <c r="F52" i="2"/>
  <c r="P52" i="2"/>
  <c r="B53" i="2"/>
  <c r="F53" i="2"/>
  <c r="P53" i="2"/>
  <c r="B54" i="2"/>
  <c r="F54" i="2"/>
  <c r="P54" i="2"/>
  <c r="B58" i="2"/>
  <c r="D58" i="2"/>
  <c r="F58" i="2"/>
  <c r="P58" i="2"/>
  <c r="B59" i="2"/>
  <c r="D59" i="2"/>
  <c r="F59" i="2"/>
  <c r="P59" i="2"/>
  <c r="B60" i="2"/>
  <c r="D60" i="2"/>
  <c r="F60" i="2"/>
  <c r="P60" i="2"/>
  <c r="B61" i="2"/>
  <c r="D61" i="2"/>
  <c r="F61" i="2"/>
  <c r="P61" i="2"/>
</calcChain>
</file>

<file path=xl/sharedStrings.xml><?xml version="1.0" encoding="utf-8"?>
<sst xmlns="http://schemas.openxmlformats.org/spreadsheetml/2006/main" count="175" uniqueCount="56">
  <si>
    <t>Average</t>
  </si>
  <si>
    <t>Fiscal Year</t>
  </si>
  <si>
    <t>Capitalization at Fair Values</t>
  </si>
  <si>
    <t>Debt(D)</t>
  </si>
  <si>
    <t>Preferred(P)</t>
  </si>
  <si>
    <t>Equity(E)</t>
  </si>
  <si>
    <t>Total</t>
  </si>
  <si>
    <t>Capital Structure Ratios</t>
  </si>
  <si>
    <t>Common Stock</t>
  </si>
  <si>
    <t>Issued</t>
  </si>
  <si>
    <t>Treasury</t>
  </si>
  <si>
    <t>Outstanding</t>
  </si>
  <si>
    <t>Capitalization at Carrying Amounts</t>
  </si>
  <si>
    <t>Betas</t>
  </si>
  <si>
    <t>Value Line</t>
  </si>
  <si>
    <t>Hamada</t>
  </si>
  <si>
    <t>Bl</t>
  </si>
  <si>
    <t>=</t>
  </si>
  <si>
    <t>Bu</t>
  </si>
  <si>
    <t>[1+</t>
  </si>
  <si>
    <t>(1 - t )</t>
  </si>
  <si>
    <t>D/E</t>
  </si>
  <si>
    <t>+</t>
  </si>
  <si>
    <t>P/E</t>
  </si>
  <si>
    <t>]</t>
  </si>
  <si>
    <t>(1 - t)</t>
  </si>
  <si>
    <t>M&amp;M</t>
  </si>
  <si>
    <t>ku</t>
  </si>
  <si>
    <t>ke</t>
  </si>
  <si>
    <t xml:space="preserve"> -        (((</t>
  </si>
  <si>
    <t>-</t>
  </si>
  <si>
    <t>i</t>
  </si>
  <si>
    <t>)</t>
  </si>
  <si>
    <t>1-t</t>
  </si>
  <si>
    <t>D</t>
  </si>
  <si>
    <t>/</t>
  </si>
  <si>
    <t>E</t>
  </si>
  <si>
    <t>d</t>
  </si>
  <si>
    <t>P</t>
  </si>
  <si>
    <t xml:space="preserve"> -         ((</t>
  </si>
  <si>
    <t>+       (((</t>
  </si>
  <si>
    <t>+        ((</t>
  </si>
  <si>
    <t xml:space="preserve"> </t>
  </si>
  <si>
    <t>Financial Risk Adjustment</t>
  </si>
  <si>
    <t xml:space="preserve">New Jersey Resources (NYSE:NJR) </t>
  </si>
  <si>
    <t xml:space="preserve">Northwest Natural Gas (NYSE:NWN) </t>
  </si>
  <si>
    <t xml:space="preserve">ATMOS Energy (NYSE:ATO) </t>
  </si>
  <si>
    <t>Southwest Gas (SWX)</t>
  </si>
  <si>
    <t>Market Price</t>
  </si>
  <si>
    <t>(ku</t>
  </si>
  <si>
    <t>Gas Group</t>
  </si>
  <si>
    <t xml:space="preserve">Chesapeake Utilities (NYSE:CPK) </t>
  </si>
  <si>
    <t>ONE Gas Inc (NYSE:OGS)</t>
  </si>
  <si>
    <t xml:space="preserve">Spire Inc. (NYSESR) </t>
  </si>
  <si>
    <t>(1-0.21)</t>
  </si>
  <si>
    <t xml:space="preserve">NiSource, Inc (NYSE:NI)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</si>
</sst>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_)"/>
    <numFmt numFmtId="165" formatCode="0.00_)"/>
    <numFmt numFmtId="166" formatCode="#,##0.000_);\(#,##0.000\)"/>
    <numFmt numFmtId="167" formatCode="&quot;$&quot;#,##0.000_);\(&quot;$&quot;#,##0.000\)"/>
    <numFmt numFmtId="168" formatCode="#,##0.0000_);\(#,##0.0000\)"/>
    <numFmt numFmtId="169" formatCode="&quot;$&quot;#,##0.0000_);\(&quot;$&quot;#,##0.0000\)"/>
    <numFmt numFmtId="170" formatCode="#,##0.000"/>
  </numFmts>
  <fonts count="12">
    <font>
      <sz val="12"/>
      <name val="Arial MT"/>
    </font>
    <font>
      <sz val="10"/>
      <name val="Arial"/>
      <family val="2"/>
    </font>
    <font>
      <sz val="12"/>
      <color indexed="8"/>
      <name val="Arial MT"/>
    </font>
    <font>
      <u/>
      <sz val="12"/>
      <color indexed="8"/>
      <name val="Arial MT"/>
    </font>
    <font>
      <u val="double"/>
      <sz val="12"/>
      <color indexed="8"/>
      <name val="Arial MT"/>
    </font>
    <font>
      <sz val="8"/>
      <name val="Arial MT"/>
    </font>
    <font>
      <sz val="12"/>
      <name val="Arial MT"/>
    </font>
    <font>
      <u val="singleAccounting"/>
      <sz val="12"/>
      <name val="Arial MT"/>
    </font>
    <font>
      <u val="singleAccounting"/>
      <sz val="12"/>
      <color indexed="8"/>
      <name val="Arial MT"/>
    </font>
    <font>
      <b/>
      <u/>
      <sz val="12"/>
      <color indexed="8"/>
      <name val="Arial MT"/>
    </font>
    <font>
      <sz val="12"/>
      <name val="Arial"/>
      <family val="2"/>
    </font>
    <font>
      <b/>
      <sz val="12"/>
      <color indexed="8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164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0" fontId="2" fillId="0" borderId="0" xfId="0" applyNumberFormat="1" applyFont="1" applyProtection="1"/>
    <xf numFmtId="39" fontId="2" fillId="0" borderId="0" xfId="0" applyNumberFormat="1" applyFont="1" applyProtection="1"/>
    <xf numFmtId="0" fontId="3" fillId="0" borderId="0" xfId="0" applyFont="1" applyProtection="1"/>
    <xf numFmtId="37" fontId="2" fillId="0" borderId="0" xfId="0" applyNumberFormat="1" applyFont="1" applyProtection="1"/>
    <xf numFmtId="0" fontId="3" fillId="0" borderId="0" xfId="0" applyFont="1" applyAlignment="1" applyProtection="1">
      <alignment horizontal="centerContinuous"/>
    </xf>
    <xf numFmtId="164" fontId="2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left"/>
    </xf>
    <xf numFmtId="37" fontId="3" fillId="0" borderId="0" xfId="0" applyNumberFormat="1" applyFont="1" applyAlignment="1" applyProtection="1">
      <alignment horizontal="left"/>
    </xf>
    <xf numFmtId="37" fontId="3" fillId="0" borderId="0" xfId="0" applyNumberFormat="1" applyFont="1" applyProtection="1"/>
    <xf numFmtId="37" fontId="4" fillId="0" borderId="0" xfId="0" applyNumberFormat="1" applyFont="1" applyAlignment="1" applyProtection="1">
      <alignment horizontal="left"/>
    </xf>
    <xf numFmtId="37" fontId="4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10" fontId="2" fillId="0" borderId="0" xfId="0" applyNumberFormat="1" applyFont="1" applyAlignment="1" applyProtection="1">
      <alignment horizontal="left"/>
    </xf>
    <xf numFmtId="10" fontId="3" fillId="0" borderId="0" xfId="0" applyNumberFormat="1" applyFont="1" applyAlignment="1" applyProtection="1">
      <alignment horizontal="left"/>
    </xf>
    <xf numFmtId="10" fontId="3" fillId="0" borderId="0" xfId="0" applyNumberFormat="1" applyFont="1" applyProtection="1"/>
    <xf numFmtId="10" fontId="4" fillId="0" borderId="0" xfId="0" applyNumberFormat="1" applyFont="1" applyAlignment="1" applyProtection="1">
      <alignment horizontal="left"/>
    </xf>
    <xf numFmtId="10" fontId="4" fillId="0" borderId="0" xfId="0" applyNumberFormat="1" applyFont="1" applyProtection="1"/>
    <xf numFmtId="166" fontId="2" fillId="0" borderId="0" xfId="0" applyNumberFormat="1" applyFont="1" applyAlignment="1" applyProtection="1">
      <alignment horizontal="left"/>
    </xf>
    <xf numFmtId="166" fontId="2" fillId="0" borderId="0" xfId="0" applyNumberFormat="1" applyFont="1" applyProtection="1"/>
    <xf numFmtId="167" fontId="2" fillId="0" borderId="0" xfId="0" applyNumberFormat="1" applyFont="1" applyAlignment="1" applyProtection="1">
      <alignment horizontal="left"/>
    </xf>
    <xf numFmtId="167" fontId="2" fillId="0" borderId="0" xfId="0" applyNumberFormat="1" applyFont="1" applyProtection="1"/>
    <xf numFmtId="7" fontId="2" fillId="0" borderId="0" xfId="0" applyNumberFormat="1" applyFont="1" applyProtection="1"/>
    <xf numFmtId="165" fontId="2" fillId="0" borderId="0" xfId="0" applyNumberFormat="1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0" fontId="2" fillId="0" borderId="0" xfId="0" applyNumberFormat="1" applyFont="1" applyAlignment="1" applyProtection="1">
      <alignment horizontal="center"/>
    </xf>
    <xf numFmtId="10" fontId="2" fillId="0" borderId="0" xfId="0" applyNumberFormat="1" applyFont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</xf>
    <xf numFmtId="169" fontId="2" fillId="0" borderId="0" xfId="0" applyNumberFormat="1" applyFont="1" applyProtection="1"/>
    <xf numFmtId="39" fontId="3" fillId="0" borderId="0" xfId="0" applyNumberFormat="1" applyFont="1" applyProtection="1"/>
    <xf numFmtId="39" fontId="4" fillId="0" borderId="0" xfId="0" applyNumberFormat="1" applyFont="1" applyProtection="1"/>
    <xf numFmtId="0" fontId="3" fillId="0" borderId="0" xfId="0" applyFont="1" applyAlignment="1" applyProtection="1"/>
    <xf numFmtId="39" fontId="3" fillId="0" borderId="0" xfId="0" applyNumberFormat="1" applyFont="1" applyAlignment="1" applyProtection="1"/>
    <xf numFmtId="0" fontId="7" fillId="0" borderId="0" xfId="0" quotePrefix="1" applyFont="1" applyAlignment="1">
      <alignment horizontal="center" wrapText="1"/>
    </xf>
    <xf numFmtId="0" fontId="8" fillId="0" borderId="0" xfId="0" quotePrefix="1" applyNumberFormat="1" applyFont="1" applyAlignment="1">
      <alignment horizontal="center" wrapText="1"/>
    </xf>
    <xf numFmtId="170" fontId="2" fillId="0" borderId="0" xfId="0" applyNumberFormat="1" applyFont="1" applyAlignment="1"/>
    <xf numFmtId="2" fontId="10" fillId="0" borderId="0" xfId="0" applyNumberFormat="1" applyFont="1" applyAlignment="1">
      <alignment horizontal="center"/>
    </xf>
    <xf numFmtId="37" fontId="2" fillId="0" borderId="0" xfId="0" applyNumberFormat="1" applyFont="1" applyAlignment="1"/>
    <xf numFmtId="37" fontId="8" fillId="0" borderId="0" xfId="0" applyNumberFormat="1" applyFont="1" applyAlignment="1"/>
    <xf numFmtId="44" fontId="0" fillId="0" borderId="0" xfId="1" applyNumberFormat="1" applyFont="1"/>
    <xf numFmtId="10" fontId="6" fillId="0" borderId="0" xfId="0" applyNumberFormat="1" applyFont="1" applyAlignment="1">
      <alignment horizontal="center"/>
    </xf>
    <xf numFmtId="170" fontId="2" fillId="0" borderId="0" xfId="0" applyNumberFormat="1" applyFont="1" applyProtection="1"/>
    <xf numFmtId="14" fontId="2" fillId="0" borderId="0" xfId="0" applyNumberFormat="1" applyFont="1" applyAlignment="1" applyProtection="1">
      <alignment horizontal="center"/>
    </xf>
    <xf numFmtId="0" fontId="8" fillId="0" borderId="0" xfId="0" quotePrefix="1" applyFont="1" applyAlignment="1" applyProtection="1">
      <alignment horizontal="center" wrapText="1"/>
    </xf>
    <xf numFmtId="0" fontId="2" fillId="0" borderId="0" xfId="0" quotePrefix="1" applyFont="1" applyAlignment="1" applyProtection="1">
      <alignment horizontal="center"/>
    </xf>
    <xf numFmtId="39" fontId="11" fillId="0" borderId="0" xfId="0" applyNumberFormat="1" applyFont="1" applyProtection="1"/>
    <xf numFmtId="2" fontId="0" fillId="0" borderId="0" xfId="0" applyNumberFormat="1" applyAlignment="1">
      <alignment horizontal="center"/>
    </xf>
    <xf numFmtId="0" fontId="0" fillId="0" borderId="0" xfId="0" applyFont="1"/>
    <xf numFmtId="2" fontId="2" fillId="0" borderId="0" xfId="0" applyNumberFormat="1" applyFont="1" applyProtection="1"/>
    <xf numFmtId="44" fontId="10" fillId="0" borderId="0" xfId="1" applyFont="1" applyAlignment="1">
      <alignment horizontal="right"/>
    </xf>
    <xf numFmtId="44" fontId="0" fillId="0" borderId="0" xfId="1" applyFont="1"/>
    <xf numFmtId="2" fontId="0" fillId="0" borderId="0" xfId="0" applyNumberFormat="1" applyBorder="1" applyAlignment="1">
      <alignment horizontal="center"/>
    </xf>
    <xf numFmtId="0" fontId="3" fillId="0" borderId="0" xfId="0" applyFont="1" applyAlignment="1" applyProtection="1">
      <alignment horizontal="center"/>
    </xf>
    <xf numFmtId="44" fontId="6" fillId="0" borderId="0" xfId="1" applyFont="1"/>
    <xf numFmtId="0" fontId="9" fillId="0" borderId="0" xfId="0" quotePrefix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I128"/>
  <sheetViews>
    <sheetView tabSelected="1" defaultGridColor="0" colorId="22" zoomScale="85" zoomScaleNormal="85" workbookViewId="0">
      <selection sqref="A1:W1"/>
    </sheetView>
  </sheetViews>
  <sheetFormatPr defaultColWidth="9.71875" defaultRowHeight="15"/>
  <cols>
    <col min="1" max="1" width="10.71875" customWidth="1"/>
    <col min="4" max="10" width="13.6640625" customWidth="1"/>
    <col min="11" max="11" width="13.6640625" style="55" customWidth="1"/>
    <col min="12" max="12" width="13.6640625" customWidth="1"/>
    <col min="13" max="13" width="2.6640625" customWidth="1"/>
    <col min="14" max="14" width="7.21875" bestFit="1" customWidth="1"/>
    <col min="15" max="15" width="2.6640625" customWidth="1"/>
    <col min="16" max="16" width="6.109375" bestFit="1" customWidth="1"/>
    <col min="17" max="17" width="1.5546875" bestFit="1" customWidth="1"/>
    <col min="18" max="18" width="6.109375" bestFit="1" customWidth="1"/>
    <col min="19" max="19" width="1.5546875" bestFit="1" customWidth="1"/>
    <col min="20" max="20" width="7" bestFit="1" customWidth="1"/>
    <col min="21" max="21" width="1.5546875" bestFit="1" customWidth="1"/>
    <col min="22" max="22" width="7.109375" bestFit="1" customWidth="1"/>
    <col min="23" max="23" width="10.88671875" bestFit="1" customWidth="1"/>
  </cols>
  <sheetData>
    <row r="1" spans="1:243" ht="15.75" customHeight="1">
      <c r="A1" s="62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</row>
    <row r="2" spans="1:243">
      <c r="A2" s="64" t="s">
        <v>43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</row>
    <row r="3" spans="1:24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60" customHeight="1">
      <c r="A4" s="5"/>
      <c r="B4" s="5"/>
      <c r="C4" s="5"/>
      <c r="D4" s="41" t="s">
        <v>46</v>
      </c>
      <c r="E4" s="41" t="s">
        <v>51</v>
      </c>
      <c r="F4" s="41" t="s">
        <v>44</v>
      </c>
      <c r="G4" s="41" t="s">
        <v>55</v>
      </c>
      <c r="H4" s="41" t="s">
        <v>45</v>
      </c>
      <c r="I4" s="41" t="s">
        <v>52</v>
      </c>
      <c r="J4" s="41" t="s">
        <v>47</v>
      </c>
      <c r="K4" s="42" t="s">
        <v>53</v>
      </c>
      <c r="L4" s="42"/>
      <c r="M4" s="41"/>
      <c r="N4" s="41"/>
      <c r="O4" s="51"/>
      <c r="P4" s="41"/>
      <c r="Q4" s="5"/>
      <c r="R4" s="5"/>
      <c r="S4" s="5"/>
      <c r="T4" s="5"/>
      <c r="U4" s="5"/>
      <c r="V4" s="5"/>
      <c r="W4" s="5" t="s">
        <v>0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1"/>
      <c r="IG4" s="1"/>
      <c r="IH4" s="1"/>
      <c r="II4" s="1"/>
    </row>
    <row r="5" spans="1:243">
      <c r="A5" s="39" t="s">
        <v>1</v>
      </c>
      <c r="B5" s="4"/>
      <c r="C5" s="4"/>
      <c r="D5" s="11">
        <v>44469</v>
      </c>
      <c r="E5" s="11">
        <v>44561</v>
      </c>
      <c r="F5" s="11">
        <v>44469</v>
      </c>
      <c r="G5" s="11">
        <v>44561</v>
      </c>
      <c r="H5" s="11">
        <v>44561</v>
      </c>
      <c r="I5" s="11">
        <v>44561</v>
      </c>
      <c r="J5" s="11">
        <v>44561</v>
      </c>
      <c r="K5" s="11">
        <v>44469</v>
      </c>
      <c r="L5" s="11"/>
      <c r="M5" s="11"/>
      <c r="N5" s="11"/>
      <c r="O5" s="50"/>
      <c r="P5" s="11"/>
      <c r="Q5" s="4"/>
      <c r="R5" s="11"/>
      <c r="S5" s="4"/>
      <c r="T5" s="11"/>
      <c r="U5" s="4"/>
      <c r="V5" s="11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1"/>
      <c r="IG5" s="1"/>
      <c r="IH5" s="1"/>
      <c r="II5" s="1"/>
    </row>
    <row r="6" spans="1:243">
      <c r="A6" s="5"/>
      <c r="B6" s="5"/>
      <c r="C6" s="5"/>
      <c r="D6" s="5"/>
      <c r="E6" s="5"/>
      <c r="F6" s="5"/>
      <c r="G6" s="5"/>
      <c r="H6" s="5"/>
      <c r="I6" s="5"/>
      <c r="J6" s="60"/>
      <c r="K6" s="60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1"/>
      <c r="IG6" s="1"/>
      <c r="IH6" s="1"/>
      <c r="II6" s="1"/>
    </row>
    <row r="7" spans="1:243">
      <c r="A7" s="39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spans="1:243">
      <c r="A8" s="12"/>
      <c r="B8" s="12" t="s">
        <v>3</v>
      </c>
      <c r="C8" s="9"/>
      <c r="D8" s="9">
        <v>8086136</v>
      </c>
      <c r="E8" s="9">
        <v>597200</v>
      </c>
      <c r="F8" s="9">
        <f>1188261+1100283</f>
        <v>2288544</v>
      </c>
      <c r="G8" s="9">
        <v>10415700</v>
      </c>
      <c r="H8" s="9">
        <v>1174500</v>
      </c>
      <c r="I8" s="9">
        <v>2000000</v>
      </c>
      <c r="J8" s="9">
        <f>166380+250603+307538+329055+325191+342030+440838+292116+92623+25122+31555+8949+130000+50000+50000+50000+50000+1117841+103749+102078+199926+147735+50003</f>
        <v>4663332</v>
      </c>
      <c r="K8" s="45">
        <v>3375900</v>
      </c>
      <c r="L8" s="45"/>
      <c r="M8" s="9"/>
      <c r="N8" s="9"/>
      <c r="O8" s="9"/>
      <c r="P8" s="9"/>
      <c r="Q8" s="9"/>
      <c r="R8" s="9"/>
      <c r="S8" s="9"/>
      <c r="T8" s="9"/>
      <c r="U8" s="9"/>
      <c r="V8" s="9"/>
      <c r="W8" s="9">
        <f>AVERAGE(D8:V8)</f>
        <v>4075164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</row>
    <row r="9" spans="1:243">
      <c r="A9" s="12"/>
      <c r="B9" s="12" t="s">
        <v>4</v>
      </c>
      <c r="C9" s="9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45">
        <f>K26</f>
        <v>242000</v>
      </c>
      <c r="L9" s="45"/>
      <c r="M9" s="9"/>
      <c r="N9" s="9"/>
      <c r="O9" s="9"/>
      <c r="P9" s="9"/>
      <c r="Q9" s="9"/>
      <c r="R9" s="9"/>
      <c r="S9" s="9"/>
      <c r="T9" s="9"/>
      <c r="U9" s="9"/>
      <c r="V9" s="9"/>
      <c r="W9" s="9">
        <f>AVERAGE(D9:V9)</f>
        <v>30250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</row>
    <row r="10" spans="1:243">
      <c r="A10" s="13"/>
      <c r="B10" s="12" t="s">
        <v>5</v>
      </c>
      <c r="C10" s="14"/>
      <c r="D10" s="14">
        <f t="shared" ref="D10:I10" si="0">D21*D22</f>
        <v>11679422.3028</v>
      </c>
      <c r="E10" s="14">
        <f t="shared" si="0"/>
        <v>2574335.3321000002</v>
      </c>
      <c r="F10" s="14">
        <f t="shared" si="0"/>
        <v>3305117.2186900005</v>
      </c>
      <c r="G10" s="14">
        <f t="shared" si="0"/>
        <v>11190416.46503</v>
      </c>
      <c r="H10" s="14">
        <f t="shared" si="0"/>
        <v>1518472.62</v>
      </c>
      <c r="I10" s="14">
        <f t="shared" si="0"/>
        <v>4161400.7639000001</v>
      </c>
      <c r="J10" s="14">
        <f t="shared" ref="J10:K10" si="1">J21*J22</f>
        <v>4232566.7740500001</v>
      </c>
      <c r="K10" s="14">
        <f t="shared" si="1"/>
        <v>3162081.14194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>
        <f>AVERAGE(D10:V10)</f>
        <v>5227976.5773137491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</row>
    <row r="11" spans="1:243">
      <c r="A11" s="15"/>
      <c r="B11" s="12" t="s">
        <v>6</v>
      </c>
      <c r="C11" s="16"/>
      <c r="D11" s="16">
        <f t="shared" ref="D11:I11" si="2">SUM(D8:D10)</f>
        <v>19765558.3028</v>
      </c>
      <c r="E11" s="16">
        <f t="shared" si="2"/>
        <v>3171535.3321000002</v>
      </c>
      <c r="F11" s="16">
        <f t="shared" si="2"/>
        <v>5593661.2186900005</v>
      </c>
      <c r="G11" s="16">
        <f t="shared" si="2"/>
        <v>21606116.46503</v>
      </c>
      <c r="H11" s="16">
        <f t="shared" si="2"/>
        <v>2692972.62</v>
      </c>
      <c r="I11" s="16">
        <f t="shared" si="2"/>
        <v>6161400.7639000006</v>
      </c>
      <c r="J11" s="16">
        <f t="shared" ref="J11:K11" si="3">SUM(J8:J10)</f>
        <v>8895898.7740500011</v>
      </c>
      <c r="K11" s="16">
        <f t="shared" si="3"/>
        <v>6779981.1419399995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>
        <f>AVERAGE(D11:V11)</f>
        <v>9333390.5773137491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</row>
    <row r="12" spans="1:243">
      <c r="A12" s="39" t="s">
        <v>7</v>
      </c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</row>
    <row r="13" spans="1:243">
      <c r="A13" s="19"/>
      <c r="B13" s="19" t="s">
        <v>3</v>
      </c>
      <c r="C13" s="6"/>
      <c r="D13" s="6">
        <f t="shared" ref="D13:I13" si="4">ROUND(D8/D11,4)</f>
        <v>0.40910000000000002</v>
      </c>
      <c r="E13" s="6">
        <f t="shared" si="4"/>
        <v>0.1883</v>
      </c>
      <c r="F13" s="6">
        <f t="shared" si="4"/>
        <v>0.40910000000000002</v>
      </c>
      <c r="G13" s="6">
        <f t="shared" si="4"/>
        <v>0.48209999999999997</v>
      </c>
      <c r="H13" s="6">
        <f t="shared" si="4"/>
        <v>0.43609999999999999</v>
      </c>
      <c r="I13" s="6">
        <f t="shared" si="4"/>
        <v>0.3246</v>
      </c>
      <c r="J13" s="6">
        <f t="shared" ref="J13:K13" si="5">ROUND(J8/J11,4)</f>
        <v>0.5242</v>
      </c>
      <c r="K13" s="6">
        <f t="shared" si="5"/>
        <v>0.49790000000000001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f>ROUND(AVERAGE(D13:V13),4)</f>
        <v>0.40889999999999999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</row>
    <row r="14" spans="1:243">
      <c r="A14" s="19"/>
      <c r="B14" s="19" t="s">
        <v>4</v>
      </c>
      <c r="C14" s="6"/>
      <c r="D14" s="6">
        <f t="shared" ref="D14:I14" si="6">ROUND(D9/D11,4)</f>
        <v>0</v>
      </c>
      <c r="E14" s="6">
        <f t="shared" si="6"/>
        <v>0</v>
      </c>
      <c r="F14" s="6">
        <f t="shared" si="6"/>
        <v>0</v>
      </c>
      <c r="G14" s="6">
        <f t="shared" si="6"/>
        <v>0</v>
      </c>
      <c r="H14" s="6">
        <f t="shared" si="6"/>
        <v>0</v>
      </c>
      <c r="I14" s="6">
        <f t="shared" si="6"/>
        <v>0</v>
      </c>
      <c r="J14" s="6">
        <f t="shared" ref="J14:K14" si="7">ROUND(J9/J11,4)</f>
        <v>0</v>
      </c>
      <c r="K14" s="6">
        <f t="shared" si="7"/>
        <v>3.5700000000000003E-2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>
        <f>ROUND(AVERAGE(D14:V14),4)</f>
        <v>4.4999999999999997E-3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</row>
    <row r="15" spans="1:243">
      <c r="A15" s="20"/>
      <c r="B15" s="19" t="s">
        <v>5</v>
      </c>
      <c r="C15" s="21"/>
      <c r="D15" s="21">
        <f t="shared" ref="D15:I15" si="8">ROUND(D10/D11,4)</f>
        <v>0.59089999999999998</v>
      </c>
      <c r="E15" s="21">
        <f t="shared" si="8"/>
        <v>0.81169999999999998</v>
      </c>
      <c r="F15" s="21">
        <f t="shared" si="8"/>
        <v>0.59089999999999998</v>
      </c>
      <c r="G15" s="21">
        <f t="shared" si="8"/>
        <v>0.51790000000000003</v>
      </c>
      <c r="H15" s="21">
        <f t="shared" si="8"/>
        <v>0.56389999999999996</v>
      </c>
      <c r="I15" s="21">
        <f t="shared" si="8"/>
        <v>0.6754</v>
      </c>
      <c r="J15" s="21">
        <f t="shared" ref="J15:K15" si="9">ROUND(J10/J11,4)</f>
        <v>0.4758</v>
      </c>
      <c r="K15" s="21">
        <f t="shared" si="9"/>
        <v>0.46639999999999998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>
        <f>ROUND(AVERAGE(D15:V15),4)</f>
        <v>0.58660000000000001</v>
      </c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</row>
    <row r="16" spans="1:243">
      <c r="A16" s="22"/>
      <c r="B16" s="19" t="s">
        <v>6</v>
      </c>
      <c r="C16" s="23"/>
      <c r="D16" s="23">
        <f t="shared" ref="D16:I16" si="10">SUM(D13:D15)</f>
        <v>1</v>
      </c>
      <c r="E16" s="23">
        <f t="shared" si="10"/>
        <v>1</v>
      </c>
      <c r="F16" s="23">
        <f t="shared" si="10"/>
        <v>1</v>
      </c>
      <c r="G16" s="23">
        <f t="shared" si="10"/>
        <v>1</v>
      </c>
      <c r="H16" s="23">
        <f t="shared" si="10"/>
        <v>1</v>
      </c>
      <c r="I16" s="23">
        <f t="shared" si="10"/>
        <v>1</v>
      </c>
      <c r="J16" s="23">
        <f t="shared" ref="J16:K16" si="11">SUM(J13:J15)</f>
        <v>1</v>
      </c>
      <c r="K16" s="23">
        <f t="shared" si="11"/>
        <v>1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>
        <f>SUM(W13:W15)</f>
        <v>1</v>
      </c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</row>
    <row r="17" spans="1:243">
      <c r="A17" s="18"/>
      <c r="B17" s="1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</row>
    <row r="18" spans="1:243">
      <c r="A18" s="17" t="s">
        <v>8</v>
      </c>
      <c r="B18" s="1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</row>
    <row r="19" spans="1:243">
      <c r="A19" s="24"/>
      <c r="B19" s="24" t="s">
        <v>9</v>
      </c>
      <c r="C19" s="25"/>
      <c r="D19" s="49">
        <v>132419.75399999999</v>
      </c>
      <c r="E19" s="49">
        <v>17655.41</v>
      </c>
      <c r="F19" s="43">
        <v>95709.661999999997</v>
      </c>
      <c r="G19" s="49">
        <v>405303.02299999999</v>
      </c>
      <c r="H19" s="49">
        <v>31129</v>
      </c>
      <c r="I19" s="49">
        <v>53633.21</v>
      </c>
      <c r="J19" s="49">
        <v>60422.080999999998</v>
      </c>
      <c r="K19" s="43">
        <v>51684.883000000002</v>
      </c>
      <c r="L19" s="43"/>
      <c r="M19" s="49"/>
      <c r="N19" s="49"/>
      <c r="O19" s="49"/>
      <c r="P19" s="49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</row>
    <row r="20" spans="1:243">
      <c r="A20" s="24"/>
      <c r="B20" s="24" t="s">
        <v>10</v>
      </c>
      <c r="C20" s="25"/>
      <c r="D20" s="49">
        <v>0</v>
      </c>
      <c r="E20" s="49">
        <v>0</v>
      </c>
      <c r="F20" s="49">
        <v>762.31299999999999</v>
      </c>
      <c r="G20" s="49">
        <v>0</v>
      </c>
      <c r="H20" s="49">
        <v>0</v>
      </c>
      <c r="I20" s="49">
        <v>0</v>
      </c>
      <c r="J20" s="49">
        <v>0</v>
      </c>
      <c r="K20" s="43">
        <v>0</v>
      </c>
      <c r="L20" s="43"/>
      <c r="M20" s="49"/>
      <c r="N20" s="49"/>
      <c r="O20" s="49"/>
      <c r="P20" s="49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</row>
    <row r="21" spans="1:243">
      <c r="A21" s="24"/>
      <c r="B21" s="24" t="s">
        <v>11</v>
      </c>
      <c r="C21" s="25"/>
      <c r="D21" s="49">
        <f t="shared" ref="D21:I21" si="12">D19-D20</f>
        <v>132419.75399999999</v>
      </c>
      <c r="E21" s="49">
        <f t="shared" si="12"/>
        <v>17655.41</v>
      </c>
      <c r="F21" s="43">
        <f t="shared" si="12"/>
        <v>94947.349000000002</v>
      </c>
      <c r="G21" s="43">
        <f t="shared" si="12"/>
        <v>405303.02299999999</v>
      </c>
      <c r="H21" s="43">
        <f t="shared" si="12"/>
        <v>31129</v>
      </c>
      <c r="I21" s="43">
        <f t="shared" si="12"/>
        <v>53633.21</v>
      </c>
      <c r="J21" s="49">
        <f t="shared" ref="J21:K21" si="13">J19-J20</f>
        <v>60422.080999999998</v>
      </c>
      <c r="K21" s="43">
        <f t="shared" si="13"/>
        <v>51684.883000000002</v>
      </c>
      <c r="L21" s="43"/>
      <c r="M21" s="43"/>
      <c r="N21" s="49"/>
      <c r="O21" s="49"/>
      <c r="P21" s="49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</row>
    <row r="22" spans="1:243">
      <c r="A22" s="26"/>
      <c r="B22" s="26" t="s">
        <v>48</v>
      </c>
      <c r="C22" s="27"/>
      <c r="D22" s="57">
        <v>88.2</v>
      </c>
      <c r="E22" s="58">
        <v>145.81</v>
      </c>
      <c r="F22" s="58">
        <v>34.81</v>
      </c>
      <c r="G22" s="58">
        <v>27.61</v>
      </c>
      <c r="H22" s="58">
        <v>48.78</v>
      </c>
      <c r="I22" s="57">
        <v>77.59</v>
      </c>
      <c r="J22" s="61">
        <v>70.05</v>
      </c>
      <c r="K22" s="61">
        <v>61.18</v>
      </c>
      <c r="L22" s="61"/>
      <c r="M22" s="47"/>
      <c r="N22" s="47"/>
      <c r="O22" s="47"/>
      <c r="P22" s="47"/>
      <c r="Q22" s="27"/>
      <c r="R22" s="28"/>
      <c r="S22" s="27"/>
      <c r="T22" s="28"/>
      <c r="U22" s="27"/>
      <c r="V22" s="28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</row>
    <row r="23" spans="1:243">
      <c r="A23" s="18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spans="1:243">
      <c r="A24" s="17" t="s">
        <v>12</v>
      </c>
      <c r="B24" s="1"/>
      <c r="C24" s="1"/>
      <c r="D24" s="53"/>
      <c r="E24" s="53"/>
      <c r="F24" s="53"/>
      <c r="G24" s="53"/>
      <c r="H24" s="53"/>
      <c r="I24" s="53"/>
      <c r="J24" s="7"/>
      <c r="K24" s="53"/>
      <c r="L24" s="53"/>
      <c r="M24" s="7"/>
      <c r="N24" s="7"/>
      <c r="O24" s="1"/>
      <c r="P24" s="7"/>
      <c r="Q24" s="1"/>
      <c r="R24" s="1"/>
      <c r="S24" s="1"/>
      <c r="T24" s="25"/>
      <c r="U24" s="1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spans="1:243">
      <c r="A25" s="12"/>
      <c r="B25" s="12" t="s">
        <v>3</v>
      </c>
      <c r="C25" s="9"/>
      <c r="D25" s="9">
        <v>7360000</v>
      </c>
      <c r="E25" s="9">
        <v>568800</v>
      </c>
      <c r="F25" s="9">
        <f>1092845+1010000</f>
        <v>2102845</v>
      </c>
      <c r="G25" s="9">
        <v>9241500</v>
      </c>
      <c r="H25" s="9">
        <v>1044932</v>
      </c>
      <c r="I25" s="9">
        <v>1600000</v>
      </c>
      <c r="J25" s="9">
        <f>4115684+275000+22324</f>
        <v>4413008</v>
      </c>
      <c r="K25" s="45">
        <v>2994900</v>
      </c>
      <c r="L25" s="45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f>AVERAGE(D25:V25)</f>
        <v>3665748.125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</row>
    <row r="26" spans="1:243">
      <c r="A26" s="12"/>
      <c r="B26" s="12" t="s">
        <v>4</v>
      </c>
      <c r="C26" s="9"/>
      <c r="D26" s="9">
        <v>0</v>
      </c>
      <c r="E26" s="9">
        <v>0</v>
      </c>
      <c r="F26" s="9">
        <v>0</v>
      </c>
      <c r="G26" s="9">
        <v>1546500</v>
      </c>
      <c r="H26" s="9">
        <v>0</v>
      </c>
      <c r="I26" s="9">
        <v>0</v>
      </c>
      <c r="J26" s="9">
        <v>0</v>
      </c>
      <c r="K26" s="45">
        <v>242000</v>
      </c>
      <c r="L26" s="45"/>
      <c r="M26" s="9"/>
      <c r="N26" s="9"/>
      <c r="O26" s="9"/>
      <c r="P26" s="9"/>
      <c r="Q26" s="9"/>
      <c r="R26" s="9"/>
      <c r="S26" s="9"/>
      <c r="T26" s="9"/>
      <c r="U26" s="9"/>
      <c r="V26" s="9"/>
      <c r="W26" s="9">
        <f>AVERAGE(D26:V26)</f>
        <v>223562.5</v>
      </c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</row>
    <row r="27" spans="1:243" ht="17.25">
      <c r="A27" s="13"/>
      <c r="B27" s="12" t="s">
        <v>5</v>
      </c>
      <c r="C27" s="14"/>
      <c r="D27" s="14">
        <v>7906889</v>
      </c>
      <c r="E27" s="14">
        <v>774130</v>
      </c>
      <c r="F27" s="14">
        <v>1630862</v>
      </c>
      <c r="G27" s="14">
        <f>6947300-G26</f>
        <v>5400800</v>
      </c>
      <c r="H27" s="14">
        <v>935146</v>
      </c>
      <c r="I27" s="14">
        <v>2349532</v>
      </c>
      <c r="J27" s="14">
        <v>2953820</v>
      </c>
      <c r="K27" s="46">
        <f>2658200-K26</f>
        <v>2416200</v>
      </c>
      <c r="L27" s="46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>
        <f>AVERAGE(D27:V27)</f>
        <v>3045922.375</v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</row>
    <row r="28" spans="1:243">
      <c r="A28" s="15"/>
      <c r="B28" s="12" t="s">
        <v>6</v>
      </c>
      <c r="C28" s="16"/>
      <c r="D28" s="16">
        <f t="shared" ref="D28:I28" si="14">SUM(D25:D27)</f>
        <v>15266889</v>
      </c>
      <c r="E28" s="16">
        <f t="shared" si="14"/>
        <v>1342930</v>
      </c>
      <c r="F28" s="16">
        <f t="shared" si="14"/>
        <v>3733707</v>
      </c>
      <c r="G28" s="16">
        <f t="shared" si="14"/>
        <v>16188800</v>
      </c>
      <c r="H28" s="16">
        <f t="shared" si="14"/>
        <v>1980078</v>
      </c>
      <c r="I28" s="16">
        <f t="shared" si="14"/>
        <v>3949532</v>
      </c>
      <c r="J28" s="16">
        <f t="shared" ref="J28:K28" si="15">SUM(J25:J27)</f>
        <v>7366828</v>
      </c>
      <c r="K28" s="16">
        <f t="shared" si="15"/>
        <v>5653100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>
        <f>AVERAGE(D28:V28)</f>
        <v>6935233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</row>
    <row r="29" spans="1:243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spans="1:243">
      <c r="A30" s="39" t="s">
        <v>7</v>
      </c>
      <c r="B30" s="18"/>
      <c r="C30" s="1"/>
      <c r="D30" s="56"/>
      <c r="E30" s="56"/>
      <c r="F30" s="56"/>
      <c r="G30" s="56"/>
      <c r="H30" s="56"/>
      <c r="I30" s="56"/>
      <c r="J30" s="56"/>
      <c r="K30" s="56"/>
      <c r="L30" s="56"/>
      <c r="M30" s="1"/>
      <c r="N30" s="1"/>
      <c r="O30" s="1"/>
      <c r="P30" s="1"/>
      <c r="Q30" s="1"/>
      <c r="R30" s="1"/>
      <c r="S30" s="1"/>
      <c r="T30" s="1"/>
      <c r="U30" s="1"/>
      <c r="V30" s="1"/>
      <c r="W30" s="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spans="1:243">
      <c r="A31" s="19"/>
      <c r="B31" s="19" t="s">
        <v>3</v>
      </c>
      <c r="C31" s="6"/>
      <c r="D31" s="6">
        <f t="shared" ref="D31:I31" si="16">ROUND(D25/D28,4)</f>
        <v>0.48209999999999997</v>
      </c>
      <c r="E31" s="6">
        <f t="shared" si="16"/>
        <v>0.42359999999999998</v>
      </c>
      <c r="F31" s="6">
        <f t="shared" si="16"/>
        <v>0.56320000000000003</v>
      </c>
      <c r="G31" s="6">
        <f t="shared" si="16"/>
        <v>0.57089999999999996</v>
      </c>
      <c r="H31" s="6">
        <f t="shared" si="16"/>
        <v>0.52769999999999995</v>
      </c>
      <c r="I31" s="6">
        <f t="shared" si="16"/>
        <v>0.40510000000000002</v>
      </c>
      <c r="J31" s="6">
        <f t="shared" ref="J31:K31" si="17">ROUND(J25/J28,4)</f>
        <v>0.59899999999999998</v>
      </c>
      <c r="K31" s="6">
        <f t="shared" si="17"/>
        <v>0.52980000000000005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>
        <f>ROUND(AVERAGE(D31:V31),6)</f>
        <v>0.51267499999999999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</row>
    <row r="32" spans="1:243">
      <c r="A32" s="19"/>
      <c r="B32" s="19" t="s">
        <v>4</v>
      </c>
      <c r="C32" s="6"/>
      <c r="D32" s="6">
        <f t="shared" ref="D32:I32" si="18">ROUND(D26/D28,4)</f>
        <v>0</v>
      </c>
      <c r="E32" s="6">
        <f t="shared" si="18"/>
        <v>0</v>
      </c>
      <c r="F32" s="6">
        <f t="shared" si="18"/>
        <v>0</v>
      </c>
      <c r="G32" s="6">
        <f t="shared" si="18"/>
        <v>9.5500000000000002E-2</v>
      </c>
      <c r="H32" s="6">
        <f t="shared" si="18"/>
        <v>0</v>
      </c>
      <c r="I32" s="6">
        <f t="shared" si="18"/>
        <v>0</v>
      </c>
      <c r="J32" s="6">
        <f t="shared" ref="J32:K32" si="19">ROUND(J26/J28,4)</f>
        <v>0</v>
      </c>
      <c r="K32" s="6">
        <f t="shared" si="19"/>
        <v>4.2799999999999998E-2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>
        <f>ROUND(AVERAGE(D32:V32),6)</f>
        <v>1.7288000000000001E-2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</row>
    <row r="33" spans="1:243">
      <c r="A33" s="20"/>
      <c r="B33" s="19" t="s">
        <v>5</v>
      </c>
      <c r="C33" s="21"/>
      <c r="D33" s="21">
        <f t="shared" ref="D33:I33" si="20">ROUND(D27/D28,4)</f>
        <v>0.51790000000000003</v>
      </c>
      <c r="E33" s="21">
        <f t="shared" si="20"/>
        <v>0.57640000000000002</v>
      </c>
      <c r="F33" s="21">
        <f t="shared" si="20"/>
        <v>0.43680000000000002</v>
      </c>
      <c r="G33" s="21">
        <f t="shared" si="20"/>
        <v>0.33360000000000001</v>
      </c>
      <c r="H33" s="21">
        <f t="shared" si="20"/>
        <v>0.4723</v>
      </c>
      <c r="I33" s="21">
        <f t="shared" si="20"/>
        <v>0.59489999999999998</v>
      </c>
      <c r="J33" s="21">
        <f t="shared" ref="J33:K33" si="21">ROUND(J27/J28,4)</f>
        <v>0.40100000000000002</v>
      </c>
      <c r="K33" s="21">
        <f t="shared" si="21"/>
        <v>0.4274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>
        <f>ROUND(AVERAGE(D33:V33),6)</f>
        <v>0.47003800000000001</v>
      </c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</row>
    <row r="34" spans="1:243">
      <c r="A34" s="22"/>
      <c r="B34" s="19" t="s">
        <v>6</v>
      </c>
      <c r="C34" s="23"/>
      <c r="D34" s="23">
        <f t="shared" ref="D34:I34" si="22">SUM(D31:D33)</f>
        <v>1</v>
      </c>
      <c r="E34" s="23">
        <f t="shared" si="22"/>
        <v>1</v>
      </c>
      <c r="F34" s="23">
        <f t="shared" si="22"/>
        <v>1</v>
      </c>
      <c r="G34" s="23">
        <f t="shared" si="22"/>
        <v>1</v>
      </c>
      <c r="H34" s="23">
        <f t="shared" si="22"/>
        <v>1</v>
      </c>
      <c r="I34" s="23">
        <f t="shared" si="22"/>
        <v>1</v>
      </c>
      <c r="J34" s="23">
        <f t="shared" ref="J34:K34" si="23">SUM(J31:J33)</f>
        <v>1</v>
      </c>
      <c r="K34" s="23">
        <f t="shared" si="23"/>
        <v>1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>
        <f>SUM(W31:W33)</f>
        <v>1.0000009999999999</v>
      </c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</row>
    <row r="35" spans="1:243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</row>
    <row r="36" spans="1:243">
      <c r="A36" s="40" t="s">
        <v>13</v>
      </c>
      <c r="B36" s="7" t="s">
        <v>14</v>
      </c>
      <c r="C36" s="7"/>
      <c r="D36" s="54">
        <v>0.8</v>
      </c>
      <c r="E36" s="54">
        <v>0.8</v>
      </c>
      <c r="F36" s="54">
        <v>1</v>
      </c>
      <c r="G36" s="54">
        <v>0.85</v>
      </c>
      <c r="H36" s="54">
        <v>0.8</v>
      </c>
      <c r="I36" s="54">
        <v>0.8</v>
      </c>
      <c r="J36" s="54">
        <v>0.95</v>
      </c>
      <c r="K36" s="59">
        <v>0.85</v>
      </c>
      <c r="L36" s="59"/>
      <c r="M36" s="44"/>
      <c r="N36" s="44"/>
      <c r="O36" s="30"/>
      <c r="P36" s="44"/>
      <c r="Q36" s="30"/>
      <c r="R36" s="29"/>
      <c r="S36" s="30"/>
      <c r="T36" s="29"/>
      <c r="U36" s="30" t="s">
        <v>42</v>
      </c>
      <c r="V36" s="29"/>
      <c r="W36" s="30">
        <f>ROUND(AVERAGE(D36:V36),2)</f>
        <v>0.86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</row>
    <row r="38" spans="1:243">
      <c r="A38" s="18" t="s">
        <v>15</v>
      </c>
      <c r="B38" s="4" t="s">
        <v>16</v>
      </c>
      <c r="C38" s="4" t="s">
        <v>17</v>
      </c>
      <c r="D38" s="4" t="s">
        <v>18</v>
      </c>
      <c r="E38" s="4" t="s">
        <v>19</v>
      </c>
      <c r="F38" s="4" t="s">
        <v>20</v>
      </c>
      <c r="G38" s="4" t="s">
        <v>21</v>
      </c>
      <c r="H38" s="4" t="s">
        <v>22</v>
      </c>
      <c r="I38" s="4" t="s">
        <v>23</v>
      </c>
      <c r="J38" s="1" t="s">
        <v>24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</row>
    <row r="39" spans="1:243">
      <c r="A39" s="1"/>
      <c r="B39" s="30">
        <f>W36</f>
        <v>0.86</v>
      </c>
      <c r="C39" s="4" t="s">
        <v>17</v>
      </c>
      <c r="D39" s="4" t="s">
        <v>18</v>
      </c>
      <c r="E39" s="4" t="s">
        <v>19</v>
      </c>
      <c r="F39" s="52" t="s">
        <v>54</v>
      </c>
      <c r="G39" s="31">
        <f>ROUND(+W13/W15,4)</f>
        <v>0.69710000000000005</v>
      </c>
      <c r="H39" s="4" t="s">
        <v>22</v>
      </c>
      <c r="I39" s="31">
        <f>ROUND(+W14/W15,4)</f>
        <v>7.7000000000000002E-3</v>
      </c>
      <c r="J39" s="1" t="s">
        <v>24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</row>
    <row r="40" spans="1:243">
      <c r="A40" s="1"/>
      <c r="B40" s="30">
        <f>B39</f>
        <v>0.86</v>
      </c>
      <c r="C40" s="4" t="s">
        <v>17</v>
      </c>
      <c r="D40" s="4" t="s">
        <v>18</v>
      </c>
      <c r="E40" s="4" t="s">
        <v>19</v>
      </c>
      <c r="F40" s="4">
        <f>(1-0.21)</f>
        <v>0.79</v>
      </c>
      <c r="G40" s="31">
        <f>ROUND(+W13/W15,4)</f>
        <v>0.69710000000000005</v>
      </c>
      <c r="H40" s="4" t="s">
        <v>22</v>
      </c>
      <c r="I40" s="31">
        <f>ROUND(+W14/W15,4)</f>
        <v>7.7000000000000002E-3</v>
      </c>
      <c r="J40" s="1" t="s">
        <v>24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</row>
    <row r="41" spans="1:243">
      <c r="A41" s="1"/>
      <c r="B41" s="30">
        <f>B40</f>
        <v>0.86</v>
      </c>
      <c r="C41" s="4" t="s">
        <v>17</v>
      </c>
      <c r="D41" s="4" t="s">
        <v>18</v>
      </c>
      <c r="E41" s="31">
        <f>ROUND(1+(F40*G40)+I40,4)</f>
        <v>1.5584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</row>
    <row r="42" spans="1:243">
      <c r="A42" s="1"/>
      <c r="B42" s="30">
        <f>ROUND((B41/E41),2)</f>
        <v>0.55000000000000004</v>
      </c>
      <c r="C42" s="4" t="s">
        <v>17</v>
      </c>
      <c r="D42" s="4" t="s">
        <v>18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</row>
    <row r="44" spans="1:243">
      <c r="A44" s="18" t="s">
        <v>15</v>
      </c>
      <c r="B44" s="4" t="s">
        <v>16</v>
      </c>
      <c r="C44" s="4" t="s">
        <v>17</v>
      </c>
      <c r="D44" s="30">
        <f>B42</f>
        <v>0.55000000000000004</v>
      </c>
      <c r="E44" s="4" t="s">
        <v>19</v>
      </c>
      <c r="F44" s="4" t="s">
        <v>25</v>
      </c>
      <c r="G44" s="4" t="s">
        <v>21</v>
      </c>
      <c r="H44" s="4" t="s">
        <v>22</v>
      </c>
      <c r="I44" s="4" t="s">
        <v>23</v>
      </c>
      <c r="J44" s="1" t="s">
        <v>24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</row>
    <row r="45" spans="1:243">
      <c r="A45" s="1"/>
      <c r="B45" s="4" t="s">
        <v>16</v>
      </c>
      <c r="C45" s="4" t="s">
        <v>17</v>
      </c>
      <c r="D45" s="30">
        <f>B42</f>
        <v>0.55000000000000004</v>
      </c>
      <c r="E45" s="4" t="s">
        <v>19</v>
      </c>
      <c r="F45" s="4">
        <f>F40</f>
        <v>0.79</v>
      </c>
      <c r="G45" s="31">
        <f>ROUND(+W31/W33,4)</f>
        <v>1.0907</v>
      </c>
      <c r="H45" s="4" t="s">
        <v>22</v>
      </c>
      <c r="I45" s="31">
        <f>ROUND(+W32/W33,4)</f>
        <v>3.6799999999999999E-2</v>
      </c>
      <c r="J45" s="1" t="s">
        <v>24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</row>
    <row r="46" spans="1:243">
      <c r="A46" s="1"/>
      <c r="B46" s="4" t="s">
        <v>16</v>
      </c>
      <c r="C46" s="4" t="s">
        <v>17</v>
      </c>
      <c r="D46" s="30">
        <f>B42</f>
        <v>0.55000000000000004</v>
      </c>
      <c r="E46" s="31">
        <f>ROUND(1+(F45*G45)+I45,4)</f>
        <v>1.8985000000000001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</row>
    <row r="47" spans="1:243">
      <c r="A47" s="1"/>
      <c r="B47" s="4" t="s">
        <v>16</v>
      </c>
      <c r="C47" s="4" t="s">
        <v>17</v>
      </c>
      <c r="D47" s="30">
        <f>ROUND(+D46*E46,2)</f>
        <v>1.04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</row>
    <row r="50" spans="1:243">
      <c r="A50" s="18" t="s">
        <v>26</v>
      </c>
      <c r="B50" s="4" t="s">
        <v>27</v>
      </c>
      <c r="C50" s="4" t="s">
        <v>17</v>
      </c>
      <c r="D50" s="4" t="s">
        <v>28</v>
      </c>
      <c r="E50" s="32" t="s">
        <v>29</v>
      </c>
      <c r="F50" s="4" t="s">
        <v>27</v>
      </c>
      <c r="G50" s="4" t="s">
        <v>30</v>
      </c>
      <c r="H50" s="4" t="s">
        <v>31</v>
      </c>
      <c r="I50" s="1" t="s">
        <v>32</v>
      </c>
      <c r="J50" s="4" t="s">
        <v>33</v>
      </c>
      <c r="K50" s="1" t="s">
        <v>32</v>
      </c>
      <c r="L50" s="4" t="s">
        <v>34</v>
      </c>
      <c r="M50" s="4" t="s">
        <v>35</v>
      </c>
      <c r="N50" s="4" t="s">
        <v>36</v>
      </c>
      <c r="O50" s="52" t="s">
        <v>30</v>
      </c>
      <c r="P50" s="52" t="s">
        <v>49</v>
      </c>
      <c r="Q50" s="4" t="s">
        <v>30</v>
      </c>
      <c r="R50" s="4" t="s">
        <v>37</v>
      </c>
      <c r="S50" s="1" t="s">
        <v>32</v>
      </c>
      <c r="T50" s="4" t="s">
        <v>38</v>
      </c>
      <c r="U50" s="4" t="s">
        <v>35</v>
      </c>
      <c r="V50" s="4" t="s">
        <v>36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</row>
    <row r="51" spans="1:243">
      <c r="A51" s="18"/>
      <c r="B51" s="33">
        <f ca="1">B54</f>
        <v>7.6999999999999985E-2</v>
      </c>
      <c r="C51" s="4" t="s">
        <v>17</v>
      </c>
      <c r="D51" s="33">
        <v>0.10199999999999999</v>
      </c>
      <c r="E51" s="32" t="s">
        <v>29</v>
      </c>
      <c r="F51" s="33">
        <f ca="1">B54</f>
        <v>7.6999999999999985E-2</v>
      </c>
      <c r="G51" s="4" t="s">
        <v>30</v>
      </c>
      <c r="H51" s="48">
        <v>3.2000000000000001E-2</v>
      </c>
      <c r="I51" s="1" t="s">
        <v>32</v>
      </c>
      <c r="J51" s="30">
        <f>F40</f>
        <v>0.79</v>
      </c>
      <c r="K51" s="1" t="s">
        <v>32</v>
      </c>
      <c r="L51" s="33">
        <f>W13</f>
        <v>0.40889999999999999</v>
      </c>
      <c r="M51" s="4" t="s">
        <v>35</v>
      </c>
      <c r="N51" s="33">
        <f>W15</f>
        <v>0.58660000000000001</v>
      </c>
      <c r="O51" s="52" t="s">
        <v>30</v>
      </c>
      <c r="P51" s="33">
        <f ca="1">B54</f>
        <v>7.6999999999999985E-2</v>
      </c>
      <c r="Q51" s="4" t="s">
        <v>30</v>
      </c>
      <c r="R51" s="33">
        <v>5.6800000000000003E-2</v>
      </c>
      <c r="S51" s="1" t="s">
        <v>32</v>
      </c>
      <c r="T51" s="33">
        <f>W14</f>
        <v>4.4999999999999997E-3</v>
      </c>
      <c r="U51" s="4" t="s">
        <v>35</v>
      </c>
      <c r="V51" s="33">
        <f>W15</f>
        <v>0.58660000000000001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</row>
    <row r="52" spans="1:243">
      <c r="A52" s="1"/>
      <c r="B52" s="33">
        <f ca="1">B54</f>
        <v>7.6999999999999985E-2</v>
      </c>
      <c r="C52" s="4" t="s">
        <v>17</v>
      </c>
      <c r="D52" s="33">
        <f>D51</f>
        <v>0.10199999999999999</v>
      </c>
      <c r="E52" s="32" t="s">
        <v>29</v>
      </c>
      <c r="F52" s="33">
        <f ca="1">ROUND(F51-H51,4)</f>
        <v>4.4999999999999998E-2</v>
      </c>
      <c r="G52" s="4"/>
      <c r="H52" s="1"/>
      <c r="I52" s="1" t="s">
        <v>32</v>
      </c>
      <c r="J52" s="30">
        <f>J51</f>
        <v>0.79</v>
      </c>
      <c r="K52" s="1" t="s">
        <v>32</v>
      </c>
      <c r="L52" s="31">
        <f>ROUND(+W13/+W15,4)</f>
        <v>0.69710000000000005</v>
      </c>
      <c r="M52" s="1"/>
      <c r="N52" s="1"/>
      <c r="O52" s="52" t="s">
        <v>30</v>
      </c>
      <c r="P52" s="33">
        <f ca="1">ROUND(P51-R51,4)</f>
        <v>2.0199999999999999E-2</v>
      </c>
      <c r="Q52" s="1"/>
      <c r="R52" s="1"/>
      <c r="S52" s="1" t="s">
        <v>32</v>
      </c>
      <c r="T52" s="31">
        <f>ROUND(+W14/+W15,4)</f>
        <v>7.7000000000000002E-3</v>
      </c>
      <c r="U52" s="1"/>
      <c r="V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</row>
    <row r="53" spans="1:243">
      <c r="A53" s="1"/>
      <c r="B53" s="33">
        <f ca="1">B54</f>
        <v>7.6999999999999985E-2</v>
      </c>
      <c r="C53" s="4" t="s">
        <v>17</v>
      </c>
      <c r="D53" s="33">
        <f>D52</f>
        <v>0.10199999999999999</v>
      </c>
      <c r="E53" s="32" t="s">
        <v>39</v>
      </c>
      <c r="F53" s="33">
        <f ca="1">ROUND(+F52*J52,4)</f>
        <v>3.56E-2</v>
      </c>
      <c r="G53" s="4"/>
      <c r="H53" s="1"/>
      <c r="I53" s="1"/>
      <c r="J53" s="1"/>
      <c r="K53" s="1" t="s">
        <v>32</v>
      </c>
      <c r="L53" s="4">
        <f>L52</f>
        <v>0.69710000000000005</v>
      </c>
      <c r="M53" s="1"/>
      <c r="N53" s="1"/>
      <c r="O53" s="52" t="s">
        <v>30</v>
      </c>
      <c r="P53" s="33">
        <f ca="1">P52</f>
        <v>2.0199999999999999E-2</v>
      </c>
      <c r="Q53" s="1"/>
      <c r="R53" s="1"/>
      <c r="S53" s="1" t="s">
        <v>32</v>
      </c>
      <c r="T53" s="4">
        <f>T52</f>
        <v>7.7000000000000002E-3</v>
      </c>
      <c r="U53" s="1"/>
      <c r="V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</row>
    <row r="54" spans="1:243">
      <c r="A54" s="1"/>
      <c r="B54" s="33">
        <f ca="1">D54-F54-P54</f>
        <v>7.6999999999999985E-2</v>
      </c>
      <c r="C54" s="4" t="s">
        <v>17</v>
      </c>
      <c r="D54" s="33">
        <f>D53</f>
        <v>0.10199999999999999</v>
      </c>
      <c r="E54" s="4" t="s">
        <v>30</v>
      </c>
      <c r="F54" s="33">
        <f ca="1">ROUND(+F53*L53,4)</f>
        <v>2.4799999999999999E-2</v>
      </c>
      <c r="G54" s="4"/>
      <c r="H54" s="1"/>
      <c r="I54" s="1"/>
      <c r="J54" s="1"/>
      <c r="K54" s="1"/>
      <c r="L54" s="4"/>
      <c r="M54" s="1"/>
      <c r="N54" s="1"/>
      <c r="O54" s="52" t="s">
        <v>30</v>
      </c>
      <c r="P54" s="33">
        <f ca="1">ROUND(+P53*T53,4)</f>
        <v>2.0000000000000001E-4</v>
      </c>
      <c r="Q54" s="1"/>
      <c r="R54" s="1"/>
      <c r="S54" s="1"/>
      <c r="T54" s="4"/>
      <c r="U54" s="1"/>
      <c r="V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</row>
    <row r="55" spans="1:24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1"/>
      <c r="N55" s="1"/>
      <c r="O55" s="1"/>
      <c r="P55" s="1"/>
      <c r="Q55" s="1"/>
      <c r="R55" s="1"/>
      <c r="S55" s="1"/>
      <c r="T55" s="4"/>
      <c r="U55" s="1"/>
      <c r="V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</row>
    <row r="56" spans="1:24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1"/>
      <c r="N56" s="1"/>
      <c r="O56" s="1"/>
      <c r="P56" s="1"/>
      <c r="Q56" s="1"/>
      <c r="R56" s="1"/>
      <c r="S56" s="1"/>
      <c r="T56" s="4"/>
      <c r="U56" s="1"/>
      <c r="V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</row>
    <row r="57" spans="1:243">
      <c r="A57" s="18" t="s">
        <v>26</v>
      </c>
      <c r="B57" s="4" t="s">
        <v>28</v>
      </c>
      <c r="C57" s="4" t="s">
        <v>17</v>
      </c>
      <c r="D57" s="4" t="s">
        <v>27</v>
      </c>
      <c r="E57" s="32" t="s">
        <v>40</v>
      </c>
      <c r="F57" s="4" t="s">
        <v>27</v>
      </c>
      <c r="G57" s="4" t="s">
        <v>30</v>
      </c>
      <c r="H57" s="4" t="s">
        <v>31</v>
      </c>
      <c r="I57" s="1" t="s">
        <v>32</v>
      </c>
      <c r="J57" s="4" t="s">
        <v>33</v>
      </c>
      <c r="K57" s="1" t="s">
        <v>32</v>
      </c>
      <c r="L57" s="4" t="s">
        <v>34</v>
      </c>
      <c r="M57" s="4" t="s">
        <v>35</v>
      </c>
      <c r="N57" s="4" t="s">
        <v>36</v>
      </c>
      <c r="O57" s="52" t="s">
        <v>22</v>
      </c>
      <c r="P57" s="52" t="s">
        <v>49</v>
      </c>
      <c r="Q57" s="4" t="s">
        <v>30</v>
      </c>
      <c r="R57" s="4" t="s">
        <v>37</v>
      </c>
      <c r="S57" s="1" t="s">
        <v>32</v>
      </c>
      <c r="T57" s="4" t="s">
        <v>38</v>
      </c>
      <c r="U57" s="4" t="s">
        <v>35</v>
      </c>
      <c r="V57" s="4" t="s">
        <v>36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</row>
    <row r="58" spans="1:243">
      <c r="A58" s="1"/>
      <c r="B58" s="33">
        <f ca="1">ROUND(D61+F61+P61,4)</f>
        <v>0.11650000000000001</v>
      </c>
      <c r="C58" s="4" t="s">
        <v>17</v>
      </c>
      <c r="D58" s="33">
        <f ca="1">B54</f>
        <v>7.6999999999999985E-2</v>
      </c>
      <c r="E58" s="32" t="s">
        <v>40</v>
      </c>
      <c r="F58" s="33">
        <f ca="1">B54</f>
        <v>7.6999999999999985E-2</v>
      </c>
      <c r="G58" s="4" t="s">
        <v>30</v>
      </c>
      <c r="H58" s="33">
        <f>H51</f>
        <v>3.2000000000000001E-2</v>
      </c>
      <c r="I58" s="1" t="s">
        <v>32</v>
      </c>
      <c r="J58" s="30">
        <f>J51</f>
        <v>0.79</v>
      </c>
      <c r="K58" s="1" t="s">
        <v>32</v>
      </c>
      <c r="L58" s="33">
        <f>W31</f>
        <v>0.51267499999999999</v>
      </c>
      <c r="M58" s="4" t="s">
        <v>35</v>
      </c>
      <c r="N58" s="33">
        <f>W33</f>
        <v>0.47003800000000001</v>
      </c>
      <c r="O58" s="52" t="s">
        <v>22</v>
      </c>
      <c r="P58" s="33">
        <f ca="1">B54</f>
        <v>7.6999999999999985E-2</v>
      </c>
      <c r="Q58" s="4" t="s">
        <v>30</v>
      </c>
      <c r="R58" s="33">
        <f>R51</f>
        <v>5.6800000000000003E-2</v>
      </c>
      <c r="S58" s="1" t="s">
        <v>32</v>
      </c>
      <c r="T58" s="33">
        <f>W32</f>
        <v>1.7288000000000001E-2</v>
      </c>
      <c r="U58" s="4" t="s">
        <v>35</v>
      </c>
      <c r="V58" s="33">
        <f>W33</f>
        <v>0.47003800000000001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</row>
    <row r="59" spans="1:243">
      <c r="A59" s="1"/>
      <c r="B59" s="33">
        <f ca="1">ROUND(D61+F61+P61,4)</f>
        <v>0.11650000000000001</v>
      </c>
      <c r="C59" s="4" t="s">
        <v>17</v>
      </c>
      <c r="D59" s="33">
        <f ca="1">B54</f>
        <v>7.6999999999999985E-2</v>
      </c>
      <c r="E59" s="32" t="s">
        <v>40</v>
      </c>
      <c r="F59" s="33">
        <f ca="1">F58-H58</f>
        <v>4.4999999999999984E-2</v>
      </c>
      <c r="G59" s="1"/>
      <c r="H59" s="1"/>
      <c r="I59" s="1" t="s">
        <v>32</v>
      </c>
      <c r="J59" s="30">
        <f>J58</f>
        <v>0.79</v>
      </c>
      <c r="K59" s="1" t="s">
        <v>32</v>
      </c>
      <c r="L59" s="31">
        <f>ROUND(+W31/+W33,4)</f>
        <v>1.0907</v>
      </c>
      <c r="M59" s="1"/>
      <c r="N59" s="1"/>
      <c r="O59" s="52" t="s">
        <v>22</v>
      </c>
      <c r="P59" s="33">
        <f ca="1">P58-R58</f>
        <v>2.0199999999999982E-2</v>
      </c>
      <c r="Q59" s="1"/>
      <c r="R59" s="1"/>
      <c r="S59" s="1" t="s">
        <v>32</v>
      </c>
      <c r="T59" s="31">
        <f>ROUND(+W32/+W33,4)</f>
        <v>3.6799999999999999E-2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</row>
    <row r="60" spans="1:243">
      <c r="A60" s="1"/>
      <c r="B60" s="33">
        <f ca="1">ROUND(D61+F61+P61,4)</f>
        <v>0.11650000000000001</v>
      </c>
      <c r="C60" s="4" t="s">
        <v>17</v>
      </c>
      <c r="D60" s="33">
        <f ca="1">B54</f>
        <v>7.6999999999999985E-2</v>
      </c>
      <c r="E60" s="32" t="s">
        <v>41</v>
      </c>
      <c r="F60" s="33">
        <f ca="1">ROUND(+F59*J59,4)</f>
        <v>3.56E-2</v>
      </c>
      <c r="G60" s="1"/>
      <c r="H60" s="1"/>
      <c r="I60" s="1"/>
      <c r="J60" s="1"/>
      <c r="K60" s="1" t="s">
        <v>32</v>
      </c>
      <c r="L60" s="4">
        <f>L59</f>
        <v>1.0907</v>
      </c>
      <c r="M60" s="1"/>
      <c r="N60" s="1"/>
      <c r="O60" s="52" t="s">
        <v>22</v>
      </c>
      <c r="P60" s="33">
        <f ca="1">P59</f>
        <v>2.0199999999999982E-2</v>
      </c>
      <c r="Q60" s="1"/>
      <c r="R60" s="1"/>
      <c r="S60" s="1" t="s">
        <v>32</v>
      </c>
      <c r="T60" s="4">
        <f>T59</f>
        <v>3.6799999999999999E-2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</row>
    <row r="61" spans="1:243">
      <c r="A61" s="1"/>
      <c r="B61" s="33">
        <f ca="1">ROUND(D61+F61+P61,4)</f>
        <v>0.11650000000000001</v>
      </c>
      <c r="C61" s="4" t="s">
        <v>17</v>
      </c>
      <c r="D61" s="33">
        <f ca="1">B54</f>
        <v>7.6999999999999985E-2</v>
      </c>
      <c r="E61" s="4" t="s">
        <v>22</v>
      </c>
      <c r="F61" s="33">
        <f ca="1">ROUND(+F60*L60,4)</f>
        <v>3.8800000000000001E-2</v>
      </c>
      <c r="G61" s="1"/>
      <c r="H61" s="1"/>
      <c r="I61" s="1"/>
      <c r="J61" s="1"/>
      <c r="K61" s="1"/>
      <c r="L61" s="4"/>
      <c r="M61" s="1"/>
      <c r="N61" s="1"/>
      <c r="O61" s="52" t="s">
        <v>22</v>
      </c>
      <c r="P61" s="33">
        <f ca="1">ROUND(+P60*T60,4)</f>
        <v>6.9999999999999999E-4</v>
      </c>
      <c r="Q61" s="1"/>
      <c r="R61" s="1"/>
      <c r="S61" s="1"/>
      <c r="T61" s="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</row>
    <row r="62" spans="1:243">
      <c r="A62" s="1"/>
      <c r="B62" s="33"/>
      <c r="C62" s="4"/>
      <c r="D62" s="33"/>
      <c r="E62" s="4"/>
      <c r="F62" s="33"/>
      <c r="G62" s="1"/>
      <c r="H62" s="1"/>
      <c r="I62" s="1"/>
      <c r="J62" s="1"/>
      <c r="K62" s="1"/>
      <c r="L62" s="4"/>
      <c r="M62" s="1"/>
      <c r="N62" s="1"/>
      <c r="O62" s="4"/>
      <c r="P62" s="33"/>
      <c r="Q62" s="1"/>
      <c r="R62" s="1"/>
      <c r="S62" s="1"/>
      <c r="T62" s="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</row>
    <row r="63" spans="1:243">
      <c r="A63" s="1"/>
      <c r="B63" s="33"/>
      <c r="C63" s="4"/>
      <c r="D63" s="33"/>
      <c r="E63" s="4"/>
      <c r="F63" s="33"/>
      <c r="G63" s="1"/>
      <c r="H63" s="1"/>
      <c r="I63" s="1"/>
      <c r="J63" s="1"/>
      <c r="K63" s="1"/>
      <c r="L63" s="4"/>
      <c r="M63" s="1"/>
      <c r="N63" s="1"/>
      <c r="O63" s="4"/>
      <c r="P63" s="33"/>
      <c r="Q63" s="1"/>
      <c r="R63" s="1"/>
      <c r="S63" s="1"/>
      <c r="T63" s="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</row>
    <row r="64" spans="1:243">
      <c r="C64" s="4"/>
      <c r="D64" s="33"/>
      <c r="E64" s="4"/>
      <c r="F64" s="33"/>
      <c r="G64" s="1"/>
      <c r="H64" s="1"/>
      <c r="I64" s="1"/>
      <c r="J64" s="1"/>
      <c r="K64" s="1"/>
      <c r="L64" s="4"/>
      <c r="M64" s="1"/>
      <c r="N64" s="1"/>
      <c r="O64" s="4"/>
      <c r="P64" s="33"/>
      <c r="Q64" s="1"/>
      <c r="R64" s="1"/>
      <c r="S64" s="1"/>
      <c r="T64" s="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</row>
    <row r="65" spans="1:243">
      <c r="A65" s="2"/>
      <c r="B65" s="34"/>
      <c r="C65" s="2"/>
      <c r="D65" s="34"/>
      <c r="E65" s="2"/>
      <c r="F65" s="34"/>
      <c r="G65" s="2"/>
      <c r="H65" s="2"/>
      <c r="I65" s="2"/>
      <c r="J65" s="2"/>
      <c r="K65" s="2"/>
      <c r="L65" s="2"/>
      <c r="M65" s="2"/>
      <c r="N65" s="2"/>
      <c r="O65" s="2"/>
      <c r="P65" s="34"/>
      <c r="Q65" s="1"/>
      <c r="R65" s="1"/>
      <c r="S65" s="1"/>
      <c r="T65" s="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</row>
    <row r="66" spans="1:243">
      <c r="A66" s="10"/>
      <c r="B66" s="34"/>
      <c r="C66" s="2"/>
      <c r="D66" s="34"/>
      <c r="E66" s="2"/>
      <c r="F66" s="34"/>
      <c r="G66" s="2"/>
      <c r="H66" s="2"/>
      <c r="I66" s="2"/>
      <c r="J66" s="2"/>
      <c r="K66" s="2"/>
      <c r="L66" s="2"/>
      <c r="M66" s="2"/>
      <c r="N66" s="2"/>
      <c r="O66" s="2"/>
      <c r="P66" s="34"/>
      <c r="Q66" s="1"/>
      <c r="R66" s="1"/>
      <c r="S66" s="1"/>
      <c r="T66" s="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</row>
    <row r="67" spans="1:243">
      <c r="A67" s="1"/>
      <c r="B67" s="33"/>
      <c r="C67" s="4"/>
      <c r="D67" s="33"/>
      <c r="E67" s="4"/>
      <c r="F67" s="33"/>
      <c r="G67" s="1"/>
      <c r="H67" s="1"/>
      <c r="I67" s="1"/>
      <c r="J67" s="1"/>
      <c r="K67" s="1"/>
      <c r="L67" s="4"/>
      <c r="M67" s="1"/>
      <c r="N67" s="1"/>
      <c r="O67" s="4"/>
      <c r="P67" s="33"/>
      <c r="Q67" s="1"/>
      <c r="R67" s="1"/>
      <c r="S67" s="1"/>
      <c r="T67" s="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</row>
    <row r="68" spans="1:243">
      <c r="A68" s="9"/>
      <c r="B68" s="12"/>
      <c r="C68" s="1"/>
      <c r="D68" s="4"/>
      <c r="E68" s="4"/>
      <c r="F68" s="35"/>
      <c r="G68" s="9"/>
      <c r="H68" s="4"/>
      <c r="I68" s="9"/>
      <c r="J68" s="4"/>
      <c r="K68" s="4"/>
      <c r="L68" s="9"/>
      <c r="M68" s="9"/>
      <c r="N68" s="9"/>
      <c r="O68" s="9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</row>
    <row r="69" spans="1:24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</row>
    <row r="70" spans="1:243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</row>
    <row r="71" spans="1:24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</row>
    <row r="72" spans="1:243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</row>
    <row r="73" spans="1:243">
      <c r="A73" s="9"/>
      <c r="B73" s="12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</row>
    <row r="74" spans="1:243">
      <c r="A74" s="9"/>
      <c r="B74" s="12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</row>
    <row r="75" spans="1:243">
      <c r="A75" s="14"/>
      <c r="B75" s="1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</row>
    <row r="76" spans="1:243">
      <c r="A76" s="16"/>
      <c r="B76" s="12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</row>
    <row r="77" spans="1:243">
      <c r="A77" s="8"/>
      <c r="B77" s="1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</row>
    <row r="78" spans="1:243">
      <c r="A78" s="6"/>
      <c r="B78" s="19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</row>
    <row r="79" spans="1:243">
      <c r="A79" s="6"/>
      <c r="B79" s="19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</row>
    <row r="80" spans="1:243">
      <c r="A80" s="21"/>
      <c r="B80" s="1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</row>
    <row r="81" spans="1:243">
      <c r="A81" s="23"/>
      <c r="B81" s="19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</row>
    <row r="82" spans="1:243">
      <c r="A82" s="1"/>
      <c r="B82" s="1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</row>
    <row r="83" spans="1:243">
      <c r="A83" s="10"/>
      <c r="B83" s="1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</row>
    <row r="84" spans="1:243">
      <c r="A84" s="25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</row>
    <row r="85" spans="1:243">
      <c r="A85" s="25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</row>
    <row r="86" spans="1:243">
      <c r="A86" s="25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</row>
    <row r="87" spans="1:243">
      <c r="A87" s="27"/>
      <c r="B87" s="26"/>
      <c r="C87" s="27"/>
      <c r="D87" s="36"/>
      <c r="E87" s="36"/>
      <c r="F87" s="27"/>
      <c r="G87" s="27"/>
      <c r="H87" s="36"/>
      <c r="I87" s="27"/>
      <c r="J87" s="36"/>
      <c r="K87" s="36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</row>
    <row r="88" spans="1:243">
      <c r="A88" s="1"/>
      <c r="B88" s="1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</row>
    <row r="89" spans="1:243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</row>
    <row r="90" spans="1:243">
      <c r="A90" s="9"/>
      <c r="B90" s="1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</row>
    <row r="91" spans="1:243">
      <c r="A91" s="9"/>
      <c r="B91" s="12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</row>
    <row r="92" spans="1:243">
      <c r="A92" s="14"/>
      <c r="B92" s="12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</row>
    <row r="93" spans="1:243">
      <c r="A93" s="16"/>
      <c r="B93" s="12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</row>
    <row r="95" spans="1:243">
      <c r="A95" s="8"/>
      <c r="B95" s="1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6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</row>
    <row r="96" spans="1:243">
      <c r="A96" s="6"/>
      <c r="B96" s="1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</row>
    <row r="97" spans="1:243">
      <c r="A97" s="6"/>
      <c r="B97" s="19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</row>
    <row r="98" spans="1:243">
      <c r="A98" s="21"/>
      <c r="B98" s="1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</row>
    <row r="99" spans="1:243">
      <c r="A99" s="23"/>
      <c r="B99" s="19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</row>
    <row r="101" spans="1:243">
      <c r="A101" s="3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</row>
    <row r="102" spans="1:243">
      <c r="A102" s="37"/>
      <c r="B102" s="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</row>
    <row r="103" spans="1:243">
      <c r="A103" s="38"/>
      <c r="B103" s="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</row>
    <row r="105" spans="1:243">
      <c r="A105" s="1"/>
      <c r="B105" s="4"/>
      <c r="C105" s="4"/>
      <c r="D105" s="4"/>
      <c r="E105" s="4"/>
      <c r="F105" s="4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</row>
    <row r="106" spans="1:243">
      <c r="A106" s="1"/>
      <c r="B106" s="30"/>
      <c r="C106" s="4"/>
      <c r="D106" s="4"/>
      <c r="E106" s="4"/>
      <c r="F106" s="4"/>
      <c r="G106" s="31"/>
      <c r="H106" s="4"/>
      <c r="I106" s="3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</row>
    <row r="107" spans="1:243">
      <c r="A107" s="1"/>
      <c r="B107" s="30"/>
      <c r="C107" s="4"/>
      <c r="D107" s="4"/>
      <c r="E107" s="4"/>
      <c r="F107" s="4"/>
      <c r="G107" s="31"/>
      <c r="H107" s="4"/>
      <c r="I107" s="3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</row>
    <row r="108" spans="1:243">
      <c r="A108" s="1"/>
      <c r="B108" s="30"/>
      <c r="C108" s="4"/>
      <c r="D108" s="4"/>
      <c r="E108" s="3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</row>
    <row r="109" spans="1:243">
      <c r="A109" s="1"/>
      <c r="B109" s="30"/>
      <c r="C109" s="4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</row>
    <row r="111" spans="1:243">
      <c r="A111" s="1"/>
      <c r="B111" s="4"/>
      <c r="C111" s="4"/>
      <c r="D111" s="30"/>
      <c r="E111" s="4"/>
      <c r="F111" s="4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</row>
    <row r="112" spans="1:243">
      <c r="A112" s="1"/>
      <c r="B112" s="4"/>
      <c r="C112" s="4"/>
      <c r="D112" s="30"/>
      <c r="E112" s="4"/>
      <c r="F112" s="4"/>
      <c r="G112" s="31"/>
      <c r="H112" s="4"/>
      <c r="I112" s="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</row>
    <row r="113" spans="1:243">
      <c r="A113" s="1"/>
      <c r="B113" s="4"/>
      <c r="C113" s="4"/>
      <c r="D113" s="30"/>
      <c r="E113" s="3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</row>
    <row r="114" spans="1:243">
      <c r="A114" s="1"/>
      <c r="B114" s="4"/>
      <c r="C114" s="4"/>
      <c r="D114" s="3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</row>
    <row r="117" spans="1:243">
      <c r="A117" s="1"/>
      <c r="B117" s="4"/>
      <c r="C117" s="4"/>
      <c r="D117" s="4"/>
      <c r="E117" s="32"/>
      <c r="F117" s="4"/>
      <c r="G117" s="4"/>
      <c r="H117" s="4"/>
      <c r="I117" s="1"/>
      <c r="J117" s="4"/>
      <c r="K117" s="1"/>
      <c r="L117" s="4"/>
      <c r="M117" s="4"/>
      <c r="N117" s="4"/>
      <c r="O117" s="4"/>
      <c r="P117" s="4"/>
      <c r="Q117" s="4"/>
      <c r="R117" s="4"/>
      <c r="S117" s="1"/>
      <c r="T117" s="4"/>
      <c r="U117" s="4"/>
      <c r="V117" s="1"/>
      <c r="W117" s="4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</row>
    <row r="118" spans="1:243">
      <c r="A118" s="1"/>
      <c r="B118" s="33"/>
      <c r="C118" s="4"/>
      <c r="D118" s="33"/>
      <c r="E118" s="32"/>
      <c r="F118" s="33"/>
      <c r="G118" s="4"/>
      <c r="H118" s="33"/>
      <c r="I118" s="1"/>
      <c r="J118" s="30"/>
      <c r="K118" s="1"/>
      <c r="L118" s="33"/>
      <c r="M118" s="4"/>
      <c r="N118" s="33"/>
      <c r="O118" s="4"/>
      <c r="P118" s="33"/>
      <c r="Q118" s="4"/>
      <c r="R118" s="33"/>
      <c r="S118" s="1"/>
      <c r="T118" s="33"/>
      <c r="U118" s="4"/>
      <c r="V118" s="1"/>
      <c r="W118" s="33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</row>
    <row r="119" spans="1:243">
      <c r="A119" s="1"/>
      <c r="B119" s="33"/>
      <c r="C119" s="4"/>
      <c r="D119" s="33"/>
      <c r="E119" s="32"/>
      <c r="F119" s="33"/>
      <c r="G119" s="4"/>
      <c r="H119" s="1"/>
      <c r="I119" s="1"/>
      <c r="J119" s="30"/>
      <c r="K119" s="1"/>
      <c r="L119" s="31"/>
      <c r="M119" s="1"/>
      <c r="N119" s="1"/>
      <c r="O119" s="4"/>
      <c r="P119" s="33"/>
      <c r="Q119" s="1"/>
      <c r="R119" s="1"/>
      <c r="S119" s="1"/>
      <c r="T119" s="3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</row>
    <row r="120" spans="1:243">
      <c r="A120" s="1"/>
      <c r="B120" s="33"/>
      <c r="C120" s="4"/>
      <c r="D120" s="33"/>
      <c r="E120" s="32"/>
      <c r="F120" s="33"/>
      <c r="G120" s="4"/>
      <c r="H120" s="1"/>
      <c r="I120" s="1"/>
      <c r="J120" s="1"/>
      <c r="K120" s="1"/>
      <c r="L120" s="4"/>
      <c r="M120" s="1"/>
      <c r="N120" s="1"/>
      <c r="O120" s="4"/>
      <c r="P120" s="33"/>
      <c r="Q120" s="1"/>
      <c r="R120" s="1"/>
      <c r="S120" s="1"/>
      <c r="T120" s="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</row>
    <row r="121" spans="1:243">
      <c r="A121" s="1"/>
      <c r="B121" s="33"/>
      <c r="C121" s="4"/>
      <c r="D121" s="33"/>
      <c r="E121" s="4"/>
      <c r="F121" s="33"/>
      <c r="G121" s="4"/>
      <c r="H121" s="1"/>
      <c r="I121" s="1"/>
      <c r="J121" s="1"/>
      <c r="K121" s="1"/>
      <c r="L121" s="4"/>
      <c r="M121" s="1"/>
      <c r="N121" s="1"/>
      <c r="O121" s="4"/>
      <c r="P121" s="33"/>
      <c r="Q121" s="1"/>
      <c r="R121" s="1"/>
      <c r="S121" s="1"/>
      <c r="T121" s="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</row>
    <row r="122" spans="1:24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"/>
      <c r="M122" s="1"/>
      <c r="N122" s="1"/>
      <c r="O122" s="1"/>
      <c r="P122" s="1"/>
      <c r="Q122" s="1"/>
      <c r="R122" s="1"/>
      <c r="S122" s="1"/>
      <c r="T122" s="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</row>
    <row r="123" spans="1:24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"/>
      <c r="M123" s="1"/>
      <c r="N123" s="1"/>
      <c r="O123" s="1"/>
      <c r="P123" s="1"/>
      <c r="Q123" s="1"/>
      <c r="R123" s="1"/>
      <c r="S123" s="1"/>
      <c r="T123" s="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</row>
    <row r="124" spans="1:243">
      <c r="A124" s="1"/>
      <c r="B124" s="4"/>
      <c r="C124" s="4"/>
      <c r="D124" s="4"/>
      <c r="E124" s="32"/>
      <c r="F124" s="4"/>
      <c r="G124" s="4"/>
      <c r="H124" s="4"/>
      <c r="I124" s="1"/>
      <c r="J124" s="4"/>
      <c r="K124" s="1"/>
      <c r="L124" s="4"/>
      <c r="M124" s="4"/>
      <c r="N124" s="4"/>
      <c r="O124" s="4"/>
      <c r="P124" s="4"/>
      <c r="Q124" s="4"/>
      <c r="R124" s="4"/>
      <c r="S124" s="1"/>
      <c r="T124" s="4"/>
      <c r="U124" s="4"/>
      <c r="V124" s="1"/>
      <c r="W124" s="4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</row>
    <row r="125" spans="1:243">
      <c r="A125" s="1"/>
      <c r="B125" s="33"/>
      <c r="C125" s="4"/>
      <c r="D125" s="33"/>
      <c r="E125" s="32"/>
      <c r="F125" s="33"/>
      <c r="G125" s="4"/>
      <c r="H125" s="33"/>
      <c r="I125" s="1"/>
      <c r="J125" s="30"/>
      <c r="K125" s="1"/>
      <c r="L125" s="33"/>
      <c r="M125" s="4"/>
      <c r="N125" s="33"/>
      <c r="O125" s="4"/>
      <c r="P125" s="33"/>
      <c r="Q125" s="4"/>
      <c r="R125" s="33"/>
      <c r="S125" s="1"/>
      <c r="T125" s="33"/>
      <c r="U125" s="4"/>
      <c r="V125" s="1"/>
      <c r="W125" s="33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</row>
    <row r="126" spans="1:243">
      <c r="A126" s="1"/>
      <c r="B126" s="33"/>
      <c r="C126" s="4"/>
      <c r="D126" s="33"/>
      <c r="E126" s="32"/>
      <c r="F126" s="33"/>
      <c r="G126" s="1"/>
      <c r="H126" s="1"/>
      <c r="I126" s="1"/>
      <c r="J126" s="30"/>
      <c r="K126" s="1"/>
      <c r="L126" s="31"/>
      <c r="M126" s="1"/>
      <c r="N126" s="1"/>
      <c r="O126" s="4"/>
      <c r="P126" s="33"/>
      <c r="Q126" s="1"/>
      <c r="R126" s="1"/>
      <c r="S126" s="1"/>
      <c r="T126" s="3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</row>
    <row r="127" spans="1:243">
      <c r="A127" s="1"/>
      <c r="B127" s="33"/>
      <c r="C127" s="4"/>
      <c r="D127" s="33"/>
      <c r="E127" s="32"/>
      <c r="F127" s="33"/>
      <c r="G127" s="1"/>
      <c r="H127" s="1"/>
      <c r="I127" s="1"/>
      <c r="J127" s="1"/>
      <c r="K127" s="1"/>
      <c r="L127" s="4"/>
      <c r="M127" s="1"/>
      <c r="N127" s="1"/>
      <c r="O127" s="4"/>
      <c r="P127" s="33"/>
      <c r="Q127" s="1"/>
      <c r="R127" s="1"/>
      <c r="S127" s="1"/>
      <c r="T127" s="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</row>
    <row r="128" spans="1:243">
      <c r="A128" s="1"/>
      <c r="B128" s="33"/>
      <c r="C128" s="4"/>
      <c r="D128" s="33"/>
      <c r="E128" s="4"/>
      <c r="F128" s="33"/>
      <c r="G128" s="1"/>
      <c r="H128" s="1"/>
      <c r="I128" s="1"/>
      <c r="J128" s="1"/>
      <c r="K128" s="1"/>
      <c r="L128" s="4"/>
      <c r="M128" s="1"/>
      <c r="N128" s="1"/>
      <c r="O128" s="4"/>
      <c r="P128" s="33"/>
      <c r="Q128" s="1"/>
      <c r="R128" s="1"/>
      <c r="S128" s="1"/>
      <c r="T128" s="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</row>
  </sheetData>
  <mergeCells count="2">
    <mergeCell ref="A1:W1"/>
    <mergeCell ref="A2:W2"/>
  </mergeCells>
  <phoneticPr fontId="5" type="noConversion"/>
  <pageMargins left="0.75" right="0.25" top="1.25" bottom="0.5" header="0.5" footer="0.5"/>
  <pageSetup scale="50" orientation="landscape" r:id="rId1"/>
  <headerFooter alignWithMargins="0">
    <oddHeader>&amp;C
&amp;R&amp;20Exhibit No. PRM-1
Page 18 of 30
Schedule 10 [1 of 1]</oddHeader>
  </headerFooter>
  <colBreaks count="2" manualBreakCount="2">
    <brk id="7" max="1048575" man="1"/>
    <brk id="16" max="1048575" man="1"/>
  </col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 A C T I V E ! 1 5 6 7 5 8 3 3 . 1 < / d o c u m e n t i d >  
     < s e n d e r i d > K E A B E T < / s e n d e r i d >  
     < s e n d e r e m a i l > B K E A T I N G @ G U N S T E R . C O M < / s e n d e r e m a i l >  
     < l a s t m o d i f i e d > 2 0 2 2 - 0 6 - 0 3 T 1 0 : 5 4 : 2 2 . 0 0 0 0 0 0 0 - 0 4 : 0 0 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B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2022-04-22T17:07:28Z</cp:lastPrinted>
  <dcterms:created xsi:type="dcterms:W3CDTF">2008-03-27T16:58:32Z</dcterms:created>
  <dcterms:modified xsi:type="dcterms:W3CDTF">2022-06-03T14:54:22Z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{4D02071F-4DFA-4D09-9F86-D585B6106AA8}</vt:lpwstr>
  </property>
</Properties>
</file>