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Jowi Baugh\2022 Rate Case\POD and ROG\POD\POD 20\G2 Schedule\"/>
    </mc:Choice>
  </mc:AlternateContent>
  <bookViews>
    <workbookView xWindow="0" yWindow="0" windowWidth="25200" windowHeight="10425"/>
  </bookViews>
  <sheets>
    <sheet name="Summary" sheetId="5" r:id="rId1"/>
    <sheet name="Detail" sheetId="1" r:id="rId2"/>
    <sheet name="BU Direct Costs" sheetId="2" r:id="rId3"/>
    <sheet name="Corp Direct Costs" sheetId="3" r:id="rId4"/>
    <sheet name="Settlement Summary" sheetId="7" r:id="rId5"/>
  </sheets>
  <definedNames>
    <definedName name="_xlnm._FilterDatabase" localSheetId="2" hidden="1">'BU Direct Costs'!$A$1:$W$53</definedName>
    <definedName name="_xlnm._FilterDatabase" localSheetId="3" hidden="1">'Corp Direct Costs'!$A$1:$X$53</definedName>
    <definedName name="_xlnm.Print_Area" localSheetId="4">'Settlement Summary'!$A$1:$P$18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0" i="1" l="1"/>
  <c r="AN39" i="1"/>
  <c r="U40" i="1" l="1"/>
  <c r="T40" i="1"/>
  <c r="S40" i="1"/>
  <c r="R40" i="1"/>
  <c r="S18" i="5" l="1"/>
  <c r="S17" i="5"/>
  <c r="S16" i="5"/>
  <c r="R52" i="3" l="1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T56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63" i="2" s="1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65" i="2" s="1"/>
  <c r="R7" i="2"/>
  <c r="R64" i="2" s="1"/>
  <c r="R6" i="2"/>
  <c r="R5" i="2"/>
  <c r="R4" i="2"/>
  <c r="R3" i="2"/>
  <c r="R2" i="2"/>
  <c r="R62" i="2" l="1"/>
  <c r="R66" i="2" s="1"/>
  <c r="S26" i="5"/>
  <c r="D20" i="5"/>
  <c r="E20" i="5"/>
  <c r="F20" i="5"/>
  <c r="C20" i="5"/>
  <c r="S12" i="5"/>
  <c r="S11" i="5"/>
  <c r="S10" i="5"/>
  <c r="S9" i="5"/>
  <c r="R13" i="5"/>
  <c r="Q13" i="5"/>
  <c r="P13" i="5"/>
  <c r="O13" i="5"/>
  <c r="W11" i="5"/>
  <c r="X11" i="5"/>
  <c r="W12" i="5"/>
  <c r="X12" i="5"/>
  <c r="O14" i="1"/>
  <c r="O9" i="1"/>
  <c r="O10" i="1"/>
  <c r="O11" i="1"/>
  <c r="O12" i="1"/>
  <c r="O13" i="1"/>
  <c r="O15" i="1"/>
  <c r="O16" i="1"/>
  <c r="O19" i="1"/>
  <c r="S13" i="5" l="1"/>
  <c r="O17" i="1"/>
  <c r="M18" i="5" l="1"/>
  <c r="S30" i="1"/>
  <c r="D18" i="5" s="1"/>
  <c r="V18" i="5" s="1"/>
  <c r="U30" i="1"/>
  <c r="F18" i="5" s="1"/>
  <c r="X18" i="5" s="1"/>
  <c r="T30" i="1"/>
  <c r="E18" i="5" s="1"/>
  <c r="W18" i="5" s="1"/>
  <c r="R30" i="1"/>
  <c r="C18" i="5" s="1"/>
  <c r="U18" i="5" s="1"/>
  <c r="F25" i="7"/>
  <c r="E25" i="7"/>
  <c r="D25" i="7"/>
  <c r="C25" i="7"/>
  <c r="F24" i="7"/>
  <c r="F26" i="7"/>
  <c r="E24" i="7"/>
  <c r="E26" i="7"/>
  <c r="J22" i="7"/>
  <c r="F22" i="7"/>
  <c r="E22" i="7"/>
  <c r="I20" i="7"/>
  <c r="H20" i="7"/>
  <c r="H22" i="7"/>
  <c r="F20" i="7"/>
  <c r="E20" i="7"/>
  <c r="D20" i="7"/>
  <c r="D24" i="7"/>
  <c r="D26" i="7" s="1"/>
  <c r="M18" i="7"/>
  <c r="I18" i="7"/>
  <c r="F18" i="7"/>
  <c r="E18" i="7"/>
  <c r="D18" i="7"/>
  <c r="C18" i="7"/>
  <c r="K16" i="7"/>
  <c r="O16" i="7"/>
  <c r="G16" i="7"/>
  <c r="G15" i="7"/>
  <c r="K15" i="7"/>
  <c r="O15" i="7"/>
  <c r="G14" i="7"/>
  <c r="K14" i="7"/>
  <c r="O14" i="7"/>
  <c r="O13" i="7"/>
  <c r="K13" i="7"/>
  <c r="G13" i="7"/>
  <c r="G12" i="7"/>
  <c r="K12" i="7"/>
  <c r="O12" i="7"/>
  <c r="G11" i="7"/>
  <c r="K11" i="7"/>
  <c r="O11" i="7"/>
  <c r="I10" i="7"/>
  <c r="I25" i="7"/>
  <c r="C10" i="7"/>
  <c r="C20" i="7"/>
  <c r="G9" i="7"/>
  <c r="K9" i="7"/>
  <c r="O9" i="7"/>
  <c r="G8" i="7"/>
  <c r="C24" i="7"/>
  <c r="C26" i="7" s="1"/>
  <c r="G10" i="7"/>
  <c r="K8" i="7"/>
  <c r="O8" i="7"/>
  <c r="I24" i="7"/>
  <c r="K10" i="7"/>
  <c r="O10" i="7"/>
  <c r="G25" i="7"/>
  <c r="K25" i="7"/>
  <c r="G18" i="7"/>
  <c r="K18" i="7"/>
  <c r="O18" i="7"/>
  <c r="G20" i="7"/>
  <c r="G24" i="7"/>
  <c r="G26" i="7" s="1"/>
  <c r="K20" i="7"/>
  <c r="M26" i="5"/>
  <c r="M12" i="5"/>
  <c r="M11" i="5"/>
  <c r="G16" i="5"/>
  <c r="G17" i="5"/>
  <c r="F26" i="5"/>
  <c r="X26" i="5" s="1"/>
  <c r="E26" i="5"/>
  <c r="W26" i="5" s="1"/>
  <c r="D26" i="5"/>
  <c r="V26" i="5" s="1"/>
  <c r="C26" i="5"/>
  <c r="U26" i="5" s="1"/>
  <c r="L8" i="5"/>
  <c r="K8" i="5"/>
  <c r="J8" i="5"/>
  <c r="I8" i="5"/>
  <c r="D12" i="5"/>
  <c r="V12" i="5" s="1"/>
  <c r="C12" i="5"/>
  <c r="U12" i="5" s="1"/>
  <c r="D11" i="5"/>
  <c r="V11" i="5" s="1"/>
  <c r="C11" i="5"/>
  <c r="U11" i="5" s="1"/>
  <c r="D10" i="5"/>
  <c r="F9" i="5"/>
  <c r="E9" i="5"/>
  <c r="D9" i="5"/>
  <c r="C9" i="5"/>
  <c r="U101" i="1"/>
  <c r="T101" i="1"/>
  <c r="S101" i="1"/>
  <c r="R101" i="1"/>
  <c r="R93" i="1"/>
  <c r="O20" i="5" s="1"/>
  <c r="S93" i="1"/>
  <c r="P20" i="5" s="1"/>
  <c r="T93" i="1"/>
  <c r="Q20" i="5" s="1"/>
  <c r="U93" i="1"/>
  <c r="R20" i="5" s="1"/>
  <c r="R68" i="1"/>
  <c r="S68" i="1"/>
  <c r="J20" i="5" s="1"/>
  <c r="T68" i="1"/>
  <c r="K20" i="5" s="1"/>
  <c r="U68" i="1"/>
  <c r="L20" i="5" s="1"/>
  <c r="V40" i="1"/>
  <c r="AC40" i="1"/>
  <c r="AC39" i="1"/>
  <c r="R39" i="1"/>
  <c r="AH40" i="1"/>
  <c r="AB38" i="1"/>
  <c r="AB40" i="1"/>
  <c r="R63" i="1"/>
  <c r="S63" i="1"/>
  <c r="J16" i="5" s="1"/>
  <c r="V16" i="5" s="1"/>
  <c r="T63" i="1"/>
  <c r="K16" i="5" s="1"/>
  <c r="W16" i="5" s="1"/>
  <c r="U63" i="1"/>
  <c r="L16" i="5" s="1"/>
  <c r="X16" i="5" s="1"/>
  <c r="AB39" i="1"/>
  <c r="R64" i="1"/>
  <c r="I17" i="5" s="1"/>
  <c r="U17" i="5" s="1"/>
  <c r="S64" i="1"/>
  <c r="J17" i="5" s="1"/>
  <c r="V17" i="5" s="1"/>
  <c r="T64" i="1"/>
  <c r="K17" i="5" s="1"/>
  <c r="W17" i="5" s="1"/>
  <c r="U64" i="1"/>
  <c r="L17" i="5" s="1"/>
  <c r="X17" i="5" s="1"/>
  <c r="V9" i="1"/>
  <c r="U92" i="1"/>
  <c r="T92" i="1"/>
  <c r="S92" i="1"/>
  <c r="R92" i="1"/>
  <c r="U91" i="1"/>
  <c r="T91" i="1"/>
  <c r="S91" i="1"/>
  <c r="R91" i="1"/>
  <c r="U90" i="1"/>
  <c r="T90" i="1"/>
  <c r="S90" i="1"/>
  <c r="R90" i="1"/>
  <c r="R66" i="1"/>
  <c r="S66" i="1"/>
  <c r="T66" i="1"/>
  <c r="U66" i="1"/>
  <c r="R67" i="1"/>
  <c r="S67" i="1"/>
  <c r="T67" i="1"/>
  <c r="U67" i="1"/>
  <c r="S65" i="1"/>
  <c r="T65" i="1"/>
  <c r="U65" i="1"/>
  <c r="R65" i="1"/>
  <c r="S39" i="1"/>
  <c r="D19" i="5" s="1"/>
  <c r="T39" i="1"/>
  <c r="E19" i="5" s="1"/>
  <c r="U39" i="1"/>
  <c r="F19" i="5" s="1"/>
  <c r="U51" i="3"/>
  <c r="U50" i="3"/>
  <c r="V50" i="3" s="1"/>
  <c r="U11" i="3"/>
  <c r="U10" i="3"/>
  <c r="V10" i="3" s="1"/>
  <c r="U30" i="2"/>
  <c r="V30" i="2" s="1"/>
  <c r="T54" i="3"/>
  <c r="U6" i="2"/>
  <c r="U33" i="3"/>
  <c r="U32" i="3"/>
  <c r="V32" i="3" s="1"/>
  <c r="U31" i="3"/>
  <c r="V31" i="3" s="1"/>
  <c r="U30" i="3"/>
  <c r="V30" i="3" s="1"/>
  <c r="U29" i="3"/>
  <c r="V29" i="3" s="1"/>
  <c r="U28" i="3"/>
  <c r="U27" i="3"/>
  <c r="V27" i="3" s="1"/>
  <c r="U26" i="3"/>
  <c r="U25" i="3"/>
  <c r="V25" i="3" s="1"/>
  <c r="U9" i="3"/>
  <c r="U8" i="3"/>
  <c r="V8" i="3" s="1"/>
  <c r="U7" i="3"/>
  <c r="V7" i="3" s="1"/>
  <c r="U6" i="3"/>
  <c r="V6" i="3" s="1"/>
  <c r="U33" i="2"/>
  <c r="U32" i="2"/>
  <c r="V32" i="2" s="1"/>
  <c r="U31" i="2"/>
  <c r="V31" i="2" s="1"/>
  <c r="U29" i="2"/>
  <c r="V29" i="2" s="1"/>
  <c r="U28" i="2"/>
  <c r="U27" i="2"/>
  <c r="V27" i="2" s="1"/>
  <c r="T15" i="1" s="1"/>
  <c r="U26" i="2"/>
  <c r="U25" i="2"/>
  <c r="V25" i="2" s="1"/>
  <c r="U15" i="1" s="1"/>
  <c r="U9" i="2"/>
  <c r="U8" i="2"/>
  <c r="V8" i="2" s="1"/>
  <c r="U7" i="2"/>
  <c r="V7" i="2" s="1"/>
  <c r="V91" i="1" l="1"/>
  <c r="X20" i="5"/>
  <c r="W20" i="5"/>
  <c r="V92" i="1"/>
  <c r="V66" i="1"/>
  <c r="V68" i="1"/>
  <c r="V67" i="1"/>
  <c r="V39" i="1"/>
  <c r="C19" i="5"/>
  <c r="C21" i="5" s="1"/>
  <c r="V20" i="5"/>
  <c r="S20" i="5"/>
  <c r="P19" i="5"/>
  <c r="P21" i="5" s="1"/>
  <c r="P23" i="5" s="1"/>
  <c r="P28" i="5" s="1"/>
  <c r="Q19" i="5"/>
  <c r="Q21" i="5" s="1"/>
  <c r="Q23" i="5" s="1"/>
  <c r="Q28" i="5" s="1"/>
  <c r="R19" i="5"/>
  <c r="R21" i="5" s="1"/>
  <c r="R23" i="5" s="1"/>
  <c r="R28" i="5" s="1"/>
  <c r="V90" i="1"/>
  <c r="O19" i="5"/>
  <c r="I20" i="5"/>
  <c r="U20" i="5" s="1"/>
  <c r="I19" i="5"/>
  <c r="L19" i="5"/>
  <c r="L21" i="5" s="1"/>
  <c r="K19" i="5"/>
  <c r="J19" i="5"/>
  <c r="J21" i="5" s="1"/>
  <c r="V65" i="1"/>
  <c r="V63" i="1"/>
  <c r="U54" i="3"/>
  <c r="V6" i="2"/>
  <c r="U56" i="2"/>
  <c r="S15" i="1"/>
  <c r="V101" i="1"/>
  <c r="G10" i="5"/>
  <c r="C22" i="7"/>
  <c r="E13" i="5"/>
  <c r="F13" i="5"/>
  <c r="C13" i="5"/>
  <c r="D13" i="5"/>
  <c r="G12" i="5"/>
  <c r="Y12" i="5" s="1"/>
  <c r="G9" i="5"/>
  <c r="G11" i="5"/>
  <c r="Y11" i="5" s="1"/>
  <c r="G20" i="5"/>
  <c r="V93" i="1"/>
  <c r="M17" i="5"/>
  <c r="Y17" i="5" s="1"/>
  <c r="I16" i="5"/>
  <c r="U16" i="5" s="1"/>
  <c r="V64" i="1"/>
  <c r="E21" i="5"/>
  <c r="F21" i="5"/>
  <c r="G18" i="5"/>
  <c r="Y18" i="5" s="1"/>
  <c r="V30" i="1"/>
  <c r="M8" i="5"/>
  <c r="I9" i="5"/>
  <c r="U9" i="5" s="1"/>
  <c r="K9" i="5"/>
  <c r="W9" i="5" s="1"/>
  <c r="J9" i="5"/>
  <c r="V9" i="5" s="1"/>
  <c r="L9" i="5"/>
  <c r="X9" i="5" s="1"/>
  <c r="I10" i="5"/>
  <c r="U10" i="5" s="1"/>
  <c r="J10" i="5"/>
  <c r="V10" i="5" s="1"/>
  <c r="L10" i="5"/>
  <c r="X10" i="5" s="1"/>
  <c r="K10" i="5"/>
  <c r="W10" i="5" s="1"/>
  <c r="V54" i="3"/>
  <c r="G26" i="5"/>
  <c r="Y26" i="5" s="1"/>
  <c r="I26" i="7"/>
  <c r="K24" i="7"/>
  <c r="K26" i="7" s="1"/>
  <c r="G22" i="7"/>
  <c r="I22" i="7"/>
  <c r="D22" i="7"/>
  <c r="K21" i="7"/>
  <c r="K22" i="7" s="1"/>
  <c r="M19" i="5" l="1"/>
  <c r="X19" i="5"/>
  <c r="X21" i="5" s="1"/>
  <c r="W19" i="5"/>
  <c r="W21" i="5" s="1"/>
  <c r="K21" i="5"/>
  <c r="U19" i="5"/>
  <c r="U21" i="5" s="1"/>
  <c r="V19" i="5"/>
  <c r="V21" i="5" s="1"/>
  <c r="S19" i="5"/>
  <c r="S21" i="5" s="1"/>
  <c r="S23" i="5" s="1"/>
  <c r="S28" i="5" s="1"/>
  <c r="O21" i="5"/>
  <c r="O23" i="5" s="1"/>
  <c r="O28" i="5" s="1"/>
  <c r="M20" i="5"/>
  <c r="Y20" i="5"/>
  <c r="R15" i="1"/>
  <c r="V56" i="2"/>
  <c r="U13" i="5"/>
  <c r="F23" i="5"/>
  <c r="F28" i="5" s="1"/>
  <c r="C23" i="5"/>
  <c r="C28" i="5" s="1"/>
  <c r="E23" i="5"/>
  <c r="G13" i="5"/>
  <c r="D21" i="5"/>
  <c r="D23" i="5" s="1"/>
  <c r="M16" i="5"/>
  <c r="I21" i="5"/>
  <c r="G19" i="5"/>
  <c r="V13" i="5"/>
  <c r="M10" i="5"/>
  <c r="Y10" i="5" s="1"/>
  <c r="L13" i="5"/>
  <c r="L23" i="5" s="1"/>
  <c r="L28" i="5" s="1"/>
  <c r="X13" i="5"/>
  <c r="J13" i="5"/>
  <c r="J23" i="5" s="1"/>
  <c r="J28" i="5" s="1"/>
  <c r="W13" i="5"/>
  <c r="K13" i="5"/>
  <c r="K23" i="5" s="1"/>
  <c r="K28" i="5" s="1"/>
  <c r="U16" i="1"/>
  <c r="U96" i="1" s="1"/>
  <c r="U102" i="1" s="1"/>
  <c r="T16" i="1"/>
  <c r="T96" i="1" s="1"/>
  <c r="T102" i="1" s="1"/>
  <c r="R16" i="1"/>
  <c r="S16" i="1"/>
  <c r="S96" i="1" s="1"/>
  <c r="S102" i="1" s="1"/>
  <c r="I13" i="5"/>
  <c r="M9" i="5"/>
  <c r="Y9" i="5" s="1"/>
  <c r="V15" i="1" l="1"/>
  <c r="R96" i="1"/>
  <c r="R102" i="1" s="1"/>
  <c r="I23" i="5"/>
  <c r="I28" i="5" s="1"/>
  <c r="M21" i="5"/>
  <c r="Y16" i="5"/>
  <c r="W23" i="5"/>
  <c r="W28" i="5" s="1"/>
  <c r="X23" i="5"/>
  <c r="X28" i="5" s="1"/>
  <c r="X29" i="5" s="1"/>
  <c r="E28" i="5"/>
  <c r="V23" i="5"/>
  <c r="V28" i="5" s="1"/>
  <c r="D28" i="5"/>
  <c r="G21" i="5"/>
  <c r="G23" i="5" s="1"/>
  <c r="Y19" i="5"/>
  <c r="Y21" i="5" s="1"/>
  <c r="Y13" i="5"/>
  <c r="M13" i="5"/>
  <c r="V16" i="1"/>
  <c r="V96" i="1" s="1"/>
  <c r="V102" i="1" s="1"/>
  <c r="U23" i="5" l="1"/>
  <c r="U28" i="5" s="1"/>
  <c r="U29" i="5" s="1"/>
  <c r="M23" i="5"/>
  <c r="M28" i="5" s="1"/>
  <c r="W29" i="5"/>
  <c r="V29" i="5"/>
  <c r="G28" i="5"/>
  <c r="Y23" i="5"/>
  <c r="Y28" i="5" s="1"/>
  <c r="Y29" i="5" l="1"/>
</calcChain>
</file>

<file path=xl/sharedStrings.xml><?xml version="1.0" encoding="utf-8"?>
<sst xmlns="http://schemas.openxmlformats.org/spreadsheetml/2006/main" count="900" uniqueCount="242">
  <si>
    <t xml:space="preserve">COVID-19 Summary of Operating Expenses </t>
  </si>
  <si>
    <t>Post Allocated Expense</t>
  </si>
  <si>
    <t>(Saving) Expense</t>
  </si>
  <si>
    <t>Total</t>
  </si>
  <si>
    <t>YTD O&amp;M COVID-19 COST INCURRED</t>
  </si>
  <si>
    <t>DE</t>
  </si>
  <si>
    <t>MD</t>
  </si>
  <si>
    <t>WC</t>
  </si>
  <si>
    <t>EK</t>
  </si>
  <si>
    <t>CF</t>
  </si>
  <si>
    <t>FN</t>
  </si>
  <si>
    <t>FI</t>
  </si>
  <si>
    <t>FT</t>
  </si>
  <si>
    <t>ES</t>
  </si>
  <si>
    <t>FE</t>
  </si>
  <si>
    <t>Regulated</t>
  </si>
  <si>
    <t>Pay Premium</t>
  </si>
  <si>
    <t>N/A</t>
  </si>
  <si>
    <t>401K</t>
  </si>
  <si>
    <t>Payroll Taxes</t>
  </si>
  <si>
    <t>Health Claims</t>
  </si>
  <si>
    <t>IPP Plan COVID Impact</t>
  </si>
  <si>
    <t>Insurance Premium</t>
  </si>
  <si>
    <t>Direct COVID Expenses</t>
  </si>
  <si>
    <t>SS Depts</t>
  </si>
  <si>
    <t>Allocated COVID Expenses</t>
  </si>
  <si>
    <t>Corp SS Depts</t>
  </si>
  <si>
    <t>YTD Actual O&amp;M COVID-19 COST</t>
  </si>
  <si>
    <t>MMM DistriGas O&amp;M Allocation %</t>
  </si>
  <si>
    <t>Distrigas-X CU, FC, ER &amp; SK</t>
  </si>
  <si>
    <t>Business Unit COVID ADJUSTED VARIANCE TO 3 YEAR AVERAGE</t>
  </si>
  <si>
    <t>Salaries</t>
  </si>
  <si>
    <t>Delays in hiring due to COVID?</t>
  </si>
  <si>
    <t>Other Benefits</t>
  </si>
  <si>
    <t xml:space="preserve">Company Events </t>
  </si>
  <si>
    <t>Facilities</t>
  </si>
  <si>
    <t>Shift in Allocation Capital to Expense</t>
  </si>
  <si>
    <t>Advertising</t>
  </si>
  <si>
    <t>Other Communication</t>
  </si>
  <si>
    <t>Legal</t>
  </si>
  <si>
    <t>Consulting</t>
  </si>
  <si>
    <t>Service Contractors</t>
  </si>
  <si>
    <t>Other Outside Services</t>
  </si>
  <si>
    <t>Charitable Contributions</t>
  </si>
  <si>
    <t>Travel, meals &amp; training</t>
  </si>
  <si>
    <t>Vehicle Fuel</t>
  </si>
  <si>
    <t>BU COVID Adjusted vs 3 Year Avg (Savings) Expense</t>
  </si>
  <si>
    <t xml:space="preserve">Corporate COVID ADJUSTED VARIANCE TO 3 YEAR AVERAGE </t>
  </si>
  <si>
    <t>6110: Salaries</t>
  </si>
  <si>
    <t>6620: 401K Stock Match</t>
  </si>
  <si>
    <t>401K Stock</t>
  </si>
  <si>
    <t>6630: 401K Cash Match</t>
  </si>
  <si>
    <t>401K Cash Match</t>
  </si>
  <si>
    <t>6640: 401K SERP Match</t>
  </si>
  <si>
    <t>401K SERP Match</t>
  </si>
  <si>
    <t>8210: Payroll Taxes</t>
  </si>
  <si>
    <t>6420: Benefit Claims, Opt Out Cr, P/R W/H</t>
  </si>
  <si>
    <t>6690: Other Benefits</t>
  </si>
  <si>
    <t>6710: Recruiting Costs</t>
  </si>
  <si>
    <t>Recruiting Costs</t>
  </si>
  <si>
    <t>Included as this category was used in 2020 keeping consistent</t>
  </si>
  <si>
    <t>7830: Facilities Maintenance</t>
  </si>
  <si>
    <t>7020: Advertising</t>
  </si>
  <si>
    <t>7090: Other Communication Expenses</t>
  </si>
  <si>
    <t>Other Communication Expenses</t>
  </si>
  <si>
    <t>7220: Legal</t>
  </si>
  <si>
    <t xml:space="preserve">Legal </t>
  </si>
  <si>
    <t>7230: Consulting</t>
  </si>
  <si>
    <t>7290: Other Outside Services</t>
  </si>
  <si>
    <t>7790: Other Facilities Costs</t>
  </si>
  <si>
    <t>Other Facilities Costs</t>
  </si>
  <si>
    <t>9210: Charitable Contributions</t>
  </si>
  <si>
    <t>6810: Company Event Expense</t>
  </si>
  <si>
    <t>Company Event Expense</t>
  </si>
  <si>
    <t>7420: Board Meeting Expenses</t>
  </si>
  <si>
    <t>Board Meeting Expenses</t>
  </si>
  <si>
    <t>Board Meetings going virtual due to COVID with no facility cost or travel (KS/SD)</t>
  </si>
  <si>
    <t>6210: Lodging &amp; Travel</t>
  </si>
  <si>
    <t>Lodging &amp; Travel</t>
  </si>
  <si>
    <t>6220: Meals</t>
  </si>
  <si>
    <t>Meals</t>
  </si>
  <si>
    <t>6230: Seminars &amp; Training</t>
  </si>
  <si>
    <t>Seminars &amp; Training</t>
  </si>
  <si>
    <t xml:space="preserve"> </t>
  </si>
  <si>
    <t>6310: Vehicle Fuel</t>
  </si>
  <si>
    <t>Corporate COVID Adjusted vs 3 Year Avg</t>
  </si>
  <si>
    <t xml:space="preserve">Shared Services COVID ADJUSTED VARIANCE TO 3 YEAR AVERAGE </t>
  </si>
  <si>
    <t>7750: Postage &amp; Express Mail</t>
  </si>
  <si>
    <t>Postage &amp; Express Mail</t>
  </si>
  <si>
    <t>Shared Services COVID Adjusted vs 3 Year Avg</t>
  </si>
  <si>
    <t>Net (Saving) Expense</t>
  </si>
  <si>
    <t>Excludes bad debt expense and regulatory asset</t>
  </si>
  <si>
    <t>Bad Debt Expense Variance to 3 Yr Avg</t>
  </si>
  <si>
    <t>Regulatory Asset Bad Debt Expense</t>
  </si>
  <si>
    <t>YTD 2021</t>
  </si>
  <si>
    <t xml:space="preserve">Reg Asset (17CO-1823) </t>
  </si>
  <si>
    <t>Summary</t>
  </si>
  <si>
    <t>YTD COVID Costs Incurred</t>
  </si>
  <si>
    <t>BU O&amp;M vs 3-year average</t>
  </si>
  <si>
    <t>Corporate O&amp;M vs 3-year average</t>
  </si>
  <si>
    <t>Shared Services O&amp;M vs 3-year average</t>
  </si>
  <si>
    <t>Bad Debt Expense vs 3-year average</t>
  </si>
  <si>
    <t>Total COVID Impact</t>
  </si>
  <si>
    <t>Regulatory Asset</t>
  </si>
  <si>
    <t>YTD 2021 Incremental</t>
  </si>
  <si>
    <t>% of COVID Impact</t>
  </si>
  <si>
    <t>% of Bad Debt</t>
  </si>
  <si>
    <t>Regulatory Asset Stand Alone</t>
  </si>
  <si>
    <t>401k</t>
  </si>
  <si>
    <t xml:space="preserve">   </t>
  </si>
  <si>
    <t>Regulatory Florida Summary</t>
  </si>
  <si>
    <t>FPU NG</t>
  </si>
  <si>
    <t>Total FPU &amp; FE</t>
  </si>
  <si>
    <t>Incremental Bad Debt Expense vs 3-year average</t>
  </si>
  <si>
    <t>COVID-Specific O&amp;M Expenses - YTD</t>
  </si>
  <si>
    <t>Regulatory Filing - Bad Debt Expense + YTD COVID Expense</t>
  </si>
  <si>
    <t>Net O&amp;M Savings Related To COVID</t>
  </si>
  <si>
    <t>Total COVID-19 Impact</t>
  </si>
  <si>
    <t>Summary of NGD &amp; Electric Savings</t>
  </si>
  <si>
    <t>Delayed Hiring</t>
  </si>
  <si>
    <t>Travel, Meals, and Training</t>
  </si>
  <si>
    <t>Company Cares Events</t>
  </si>
  <si>
    <t>Vehicle Expenses</t>
  </si>
  <si>
    <t>Meter Maintenance</t>
  </si>
  <si>
    <t>Outside Services</t>
  </si>
  <si>
    <t>Other</t>
  </si>
  <si>
    <t>BU or SS or Corporate of Department</t>
  </si>
  <si>
    <t>Parent BU for NEO Reporting of BU</t>
  </si>
  <si>
    <t>Department</t>
  </si>
  <si>
    <t>Account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</si>
  <si>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</si>
  <si>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</si>
  <si>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</si>
  <si>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</si>
  <si>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</si>
  <si>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</si>
  <si>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</si>
  <si>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</si>
  <si>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</si>
  <si>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</si>
  <si>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</si>
  <si>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</si>
  <si>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2021</t>
  </si>
  <si>
    <t>YTD Nov</t>
  </si>
  <si>
    <t>Business Unit</t>
  </si>
  <si>
    <t>Aspire Energy of Ohio</t>
  </si>
  <si>
    <t>SS700: Special Situations-Business Unit</t>
  </si>
  <si>
    <t>6149: Other Awards</t>
  </si>
  <si>
    <t>Central Florida Gas</t>
  </si>
  <si>
    <t>Corporate</t>
  </si>
  <si>
    <t>9210: Charitable Contribution</t>
  </si>
  <si>
    <t>Delaware Division</t>
  </si>
  <si>
    <t>SS110: Special Situations-NGDD</t>
  </si>
  <si>
    <t>Eastern Shore Natural Gas</t>
  </si>
  <si>
    <t>Eight Flags</t>
  </si>
  <si>
    <t>Electric Distribution</t>
  </si>
  <si>
    <t>FL Unregulated Energy Services</t>
  </si>
  <si>
    <t>FPU-Fort Meade</t>
  </si>
  <si>
    <t>FPU-Indiantown</t>
  </si>
  <si>
    <t>FPU-Natural Gas</t>
  </si>
  <si>
    <t>Marlin Gas Services</t>
  </si>
  <si>
    <t>Maryland Division</t>
  </si>
  <si>
    <t>Peninsula Pipeline Co.</t>
  </si>
  <si>
    <t>Propane Distribution Delmarva</t>
  </si>
  <si>
    <t>Propane Distribution Florida</t>
  </si>
  <si>
    <t>7990: Internal BU Alloc</t>
  </si>
  <si>
    <t>Sandpiper Energy, Inc.</t>
  </si>
  <si>
    <t>SS800: Special Situations-Corporate Services</t>
  </si>
  <si>
    <t>Comments</t>
  </si>
  <si>
    <t>Pandemic Spot Awards</t>
  </si>
  <si>
    <t>COVID Proceeding</t>
  </si>
  <si>
    <t>Maitre &amp; Welch</t>
  </si>
  <si>
    <t>Office disinfecting, Supplies</t>
  </si>
  <si>
    <t>Insert creation</t>
  </si>
  <si>
    <t>Adjust COVID 19 Asset Settlement PSC20210266SPU</t>
  </si>
  <si>
    <t>YTD Nov adjusted for Settlement</t>
  </si>
  <si>
    <t>Ongoing</t>
  </si>
  <si>
    <t>FL Natural Gas</t>
  </si>
  <si>
    <t>Normalize for settlement and costs not ongoing</t>
  </si>
  <si>
    <t>Normalize for costs not ongoing</t>
  </si>
  <si>
    <t>Normalization Adjustments</t>
  </si>
  <si>
    <t xml:space="preserve">Travel Meals &amp; Training </t>
  </si>
  <si>
    <t>Exclude for normalization purposes</t>
  </si>
  <si>
    <t>Includes non covid tuition reimb &amp; other benefits</t>
  </si>
  <si>
    <t>Normalization Comments</t>
  </si>
  <si>
    <t>2022B</t>
  </si>
  <si>
    <t>2021AvB</t>
  </si>
  <si>
    <t>%</t>
  </si>
  <si>
    <t>FPSC COVID 19 Asset Settlement PSC20210266SPU</t>
  </si>
  <si>
    <t>( ) Expense Normalization</t>
  </si>
  <si>
    <t>Other COVID Normalization</t>
  </si>
  <si>
    <t>Normalization of Net Savings and Settlement</t>
  </si>
  <si>
    <t xml:space="preserve"> Total Direct Expenses</t>
  </si>
  <si>
    <t>Travel Meals &amp; Training</t>
  </si>
  <si>
    <t>Total Other Normalizations</t>
  </si>
  <si>
    <t xml:space="preserve">FPUC COVID-19 Regulatory Asset Total </t>
  </si>
  <si>
    <t>Docket No. 20200194-PU</t>
  </si>
  <si>
    <t>Life to Date April 2021</t>
  </si>
  <si>
    <t>Settlement Summary</t>
  </si>
  <si>
    <t>FPUC</t>
  </si>
  <si>
    <t xml:space="preserve">FPUC </t>
  </si>
  <si>
    <t>FPUC Total</t>
  </si>
  <si>
    <t xml:space="preserve">OPC </t>
  </si>
  <si>
    <t>Nat. Gas</t>
  </si>
  <si>
    <t>CFG</t>
  </si>
  <si>
    <t>Indiantown</t>
  </si>
  <si>
    <t xml:space="preserve">Ft. Meade </t>
  </si>
  <si>
    <t xml:space="preserve">Nat. Gas Total </t>
  </si>
  <si>
    <t>Electric</t>
  </si>
  <si>
    <t>Company Total</t>
  </si>
  <si>
    <t>Offer</t>
  </si>
  <si>
    <t>Delta</t>
  </si>
  <si>
    <t>Bad Debt</t>
  </si>
  <si>
    <t>XXXX-AA700-7190-9040</t>
  </si>
  <si>
    <t>Business Info. Services</t>
  </si>
  <si>
    <t>XXXX-SS700-7790-9210</t>
  </si>
  <si>
    <t>PPE</t>
  </si>
  <si>
    <t>Cleaning</t>
  </si>
  <si>
    <t xml:space="preserve">Communication </t>
  </si>
  <si>
    <t xml:space="preserve">Other </t>
  </si>
  <si>
    <t>O&amp;M</t>
  </si>
  <si>
    <t>Notes:</t>
  </si>
  <si>
    <t>FPSC COVID 19 O&amp;M Settlement booked July 2021</t>
  </si>
  <si>
    <t>COVID O&amp;M (BIS, PPE &amp; Cleaning) excluding Bad Debt Expense settlement booked July 2021 for life to date April 2021. Docket # 20200194-PU</t>
  </si>
  <si>
    <t>Corporate allocation based on DistriGas</t>
  </si>
  <si>
    <t>FPU Natural Gas COVID-19 Expense (Excluding Bad Debt Expense) Normalization</t>
  </si>
  <si>
    <t>Office Supplies</t>
  </si>
  <si>
    <t>FERC</t>
  </si>
  <si>
    <t>Payroll</t>
  </si>
  <si>
    <t>Shared Services</t>
  </si>
  <si>
    <t>Total Saving and Expense Normalization</t>
  </si>
  <si>
    <t xml:space="preserve">Dec YTD </t>
  </si>
  <si>
    <t>YTD Dec</t>
  </si>
  <si>
    <t>% 2021 to 3 Yr Avg</t>
  </si>
  <si>
    <t>Corp &amp; SS</t>
  </si>
  <si>
    <t>Avg</t>
  </si>
  <si>
    <t>Payroll or Non-Payroll</t>
  </si>
  <si>
    <t>Non-Payroll</t>
  </si>
  <si>
    <t>Seg 3</t>
  </si>
  <si>
    <t>Note: All Seg 3 that starts with 501 and 61 are payroll</t>
  </si>
  <si>
    <t>6220/6230</t>
  </si>
  <si>
    <t>Seg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</si>
</sst>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_);_(* \(\ #,##0.00\ \);_(* &quot;-&quot;??_);_(\ @_ \)"/>
    <numFmt numFmtId="166" formatCode="_(* #,##0_);_(* \(\ #,##0\ \);_(* &quot;-&quot;??_);_(\ @_ \)"/>
    <numFmt numFmtId="167" formatCode="0.0%"/>
    <numFmt numFmtId="168" formatCode="_(* #,##0_);_(* \(#,##0\);_(* &quot;-&quot;??_);_(@_)"/>
    <numFmt numFmtId="169" formatCode="#,##0_)"/>
    <numFmt numFmtId="170" formatCode="\$#,##0_);[Red]\(\$#,##0\);&quot; &quot;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9"/>
      <color theme="2" tint="-0.499984740745262"/>
      <name val="Arial"/>
      <family val="2"/>
    </font>
    <font>
      <b/>
      <sz val="14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0"/>
      <name val="Arial"/>
      <family val="2"/>
    </font>
    <font>
      <i/>
      <sz val="10"/>
      <name val="Arial"/>
      <family val="2"/>
    </font>
    <font>
      <sz val="10"/>
      <name val="Segoe UI"/>
      <family val="2"/>
    </font>
    <font>
      <sz val="11"/>
      <name val="Calibri"/>
      <family val="2"/>
      <scheme val="minor"/>
    </font>
    <font>
      <sz val="10"/>
      <color theme="0" tint="-0.249977111117893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theme="2" tint="-0.499984740745262"/>
      <name val="Calibri"/>
      <family val="2"/>
    </font>
    <font>
      <sz val="12"/>
      <color theme="2" tint="-0.499984740745262"/>
      <name val="Calibri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sz val="9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indexed="0"/>
      <name val="Arial"/>
      <family val="2"/>
    </font>
    <font>
      <b/>
      <i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30">
    <xf numFmtId="0" fontId="0" fillId="0" borderId="0" xfId="0"/>
    <xf numFmtId="0" fontId="4" fillId="2" borderId="0" xfId="3" applyFont="1" applyFill="1"/>
    <xf numFmtId="0" fontId="5" fillId="0" borderId="0" xfId="3" applyFont="1"/>
    <xf numFmtId="0" fontId="3" fillId="0" borderId="0" xfId="3"/>
    <xf numFmtId="0" fontId="6" fillId="0" borderId="0" xfId="3" applyFont="1" applyAlignment="1">
      <alignment horizontal="center"/>
    </xf>
    <xf numFmtId="0" fontId="7" fillId="0" borderId="0" xfId="3" applyFont="1"/>
    <xf numFmtId="0" fontId="8" fillId="0" borderId="0" xfId="3" applyNumberFormat="1" applyFont="1" applyAlignment="1">
      <alignment horizontal="left"/>
    </xf>
    <xf numFmtId="0" fontId="8" fillId="0" borderId="0" xfId="3" applyFont="1"/>
    <xf numFmtId="0" fontId="9" fillId="0" borderId="0" xfId="3" applyFont="1"/>
    <xf numFmtId="0" fontId="8" fillId="0" borderId="0" xfId="3" applyFont="1" applyFill="1"/>
    <xf numFmtId="0" fontId="3" fillId="0" borderId="0" xfId="3" applyFont="1"/>
    <xf numFmtId="0" fontId="10" fillId="3" borderId="0" xfId="3" applyFont="1" applyFill="1"/>
    <xf numFmtId="0" fontId="10" fillId="4" borderId="0" xfId="3" applyFont="1" applyFill="1"/>
    <xf numFmtId="0" fontId="10" fillId="4" borderId="0" xfId="3" applyFont="1" applyFill="1" applyAlignment="1">
      <alignment horizontal="center"/>
    </xf>
    <xf numFmtId="0" fontId="8" fillId="3" borderId="0" xfId="3" applyFont="1" applyFill="1" applyAlignment="1">
      <alignment horizontal="center" vertical="center"/>
    </xf>
    <xf numFmtId="0" fontId="8" fillId="4" borderId="0" xfId="3" applyFont="1" applyFill="1" applyAlignment="1">
      <alignment horizontal="center" vertical="center"/>
    </xf>
    <xf numFmtId="0" fontId="8" fillId="4" borderId="0" xfId="3" applyFont="1" applyFill="1" applyAlignment="1">
      <alignment horizontal="center"/>
    </xf>
    <xf numFmtId="0" fontId="3" fillId="3" borderId="0" xfId="3" applyFont="1" applyFill="1"/>
    <xf numFmtId="164" fontId="0" fillId="3" borderId="0" xfId="4" applyNumberFormat="1" applyFont="1" applyFill="1"/>
    <xf numFmtId="164" fontId="0" fillId="2" borderId="0" xfId="4" applyNumberFormat="1" applyFont="1" applyFill="1"/>
    <xf numFmtId="164" fontId="0" fillId="0" borderId="0" xfId="4" applyNumberFormat="1" applyFont="1"/>
    <xf numFmtId="166" fontId="0" fillId="3" borderId="0" xfId="5" applyNumberFormat="1" applyFont="1" applyFill="1"/>
    <xf numFmtId="166" fontId="0" fillId="2" borderId="0" xfId="5" applyNumberFormat="1" applyFont="1" applyFill="1"/>
    <xf numFmtId="166" fontId="0" fillId="0" borderId="0" xfId="5" applyNumberFormat="1" applyFont="1"/>
    <xf numFmtId="166" fontId="9" fillId="3" borderId="0" xfId="5" applyNumberFormat="1" applyFont="1" applyFill="1"/>
    <xf numFmtId="166" fontId="9" fillId="2" borderId="0" xfId="5" applyNumberFormat="1" applyFont="1" applyFill="1"/>
    <xf numFmtId="0" fontId="9" fillId="0" borderId="0" xfId="3" applyFont="1" applyFill="1"/>
    <xf numFmtId="166" fontId="9" fillId="0" borderId="0" xfId="5" applyNumberFormat="1" applyFont="1"/>
    <xf numFmtId="166" fontId="13" fillId="3" borderId="0" xfId="5" applyNumberFormat="1" applyFont="1" applyFill="1"/>
    <xf numFmtId="166" fontId="9" fillId="0" borderId="0" xfId="5" applyNumberFormat="1" applyFont="1" applyFill="1"/>
    <xf numFmtId="0" fontId="3" fillId="0" borderId="0" xfId="3" applyFill="1"/>
    <xf numFmtId="0" fontId="3" fillId="0" borderId="0" xfId="3" applyFont="1" applyFill="1"/>
    <xf numFmtId="0" fontId="8" fillId="3" borderId="0" xfId="3" applyFont="1" applyFill="1"/>
    <xf numFmtId="164" fontId="8" fillId="5" borderId="2" xfId="4" applyNumberFormat="1" applyFont="1" applyFill="1" applyBorder="1"/>
    <xf numFmtId="166" fontId="14" fillId="0" borderId="0" xfId="5" applyNumberFormat="1" applyFont="1"/>
    <xf numFmtId="166" fontId="14" fillId="3" borderId="0" xfId="5" applyNumberFormat="1" applyFont="1" applyFill="1"/>
    <xf numFmtId="166" fontId="3" fillId="0" borderId="0" xfId="3" applyNumberFormat="1"/>
    <xf numFmtId="43" fontId="3" fillId="0" borderId="0" xfId="3" applyNumberFormat="1"/>
    <xf numFmtId="0" fontId="8" fillId="0" borderId="0" xfId="3" applyFont="1" applyBorder="1"/>
    <xf numFmtId="167" fontId="14" fillId="0" borderId="0" xfId="6" applyNumberFormat="1" applyFont="1"/>
    <xf numFmtId="167" fontId="14" fillId="3" borderId="0" xfId="6" applyNumberFormat="1" applyFont="1" applyFill="1"/>
    <xf numFmtId="0" fontId="15" fillId="0" borderId="0" xfId="7" applyFont="1" applyFill="1" applyBorder="1"/>
    <xf numFmtId="165" fontId="0" fillId="0" borderId="0" xfId="5" applyFont="1"/>
    <xf numFmtId="166" fontId="16" fillId="3" borderId="0" xfId="5" applyNumberFormat="1" applyFont="1" applyFill="1"/>
    <xf numFmtId="166" fontId="7" fillId="3" borderId="0" xfId="5" applyNumberFormat="1" applyFont="1" applyFill="1"/>
    <xf numFmtId="166" fontId="7" fillId="2" borderId="0" xfId="5" applyNumberFormat="1" applyFont="1" applyFill="1"/>
    <xf numFmtId="164" fontId="3" fillId="0" borderId="0" xfId="3" applyNumberFormat="1"/>
    <xf numFmtId="164" fontId="7" fillId="0" borderId="0" xfId="3" applyNumberFormat="1" applyFont="1"/>
    <xf numFmtId="164" fontId="9" fillId="0" borderId="0" xfId="3" applyNumberFormat="1" applyFont="1"/>
    <xf numFmtId="0" fontId="3" fillId="3" borderId="0" xfId="3" applyFill="1"/>
    <xf numFmtId="0" fontId="17" fillId="2" borderId="0" xfId="3" applyFont="1" applyFill="1" applyAlignment="1">
      <alignment horizontal="left"/>
    </xf>
    <xf numFmtId="166" fontId="9" fillId="6" borderId="0" xfId="5" applyNumberFormat="1" applyFont="1" applyFill="1"/>
    <xf numFmtId="41" fontId="9" fillId="0" borderId="0" xfId="0" applyNumberFormat="1" applyFont="1" applyAlignment="1">
      <alignment horizontal="left"/>
    </xf>
    <xf numFmtId="0" fontId="18" fillId="2" borderId="0" xfId="3" applyFont="1" applyFill="1" applyAlignment="1">
      <alignment horizontal="left"/>
    </xf>
    <xf numFmtId="166" fontId="0" fillId="0" borderId="0" xfId="5" applyNumberFormat="1" applyFont="1" applyFill="1"/>
    <xf numFmtId="165" fontId="0" fillId="3" borderId="0" xfId="5" applyFont="1" applyFill="1"/>
    <xf numFmtId="166" fontId="13" fillId="0" borderId="0" xfId="5" applyNumberFormat="1" applyFont="1" applyFill="1"/>
    <xf numFmtId="164" fontId="8" fillId="7" borderId="0" xfId="3" applyNumberFormat="1" applyFont="1" applyFill="1"/>
    <xf numFmtId="164" fontId="8" fillId="3" borderId="0" xfId="3" applyNumberFormat="1" applyFont="1" applyFill="1"/>
    <xf numFmtId="164" fontId="9" fillId="0" borderId="0" xfId="4" applyNumberFormat="1" applyFont="1"/>
    <xf numFmtId="164" fontId="9" fillId="3" borderId="0" xfId="4" applyNumberFormat="1" applyFont="1" applyFill="1"/>
    <xf numFmtId="164" fontId="19" fillId="3" borderId="0" xfId="4" applyNumberFormat="1" applyFont="1" applyFill="1"/>
    <xf numFmtId="0" fontId="9" fillId="0" borderId="0" xfId="3" applyFont="1" applyAlignment="1">
      <alignment horizontal="right"/>
    </xf>
    <xf numFmtId="164" fontId="3" fillId="0" borderId="0" xfId="3" applyNumberFormat="1" applyFont="1"/>
    <xf numFmtId="166" fontId="13" fillId="0" borderId="0" xfId="5" applyNumberFormat="1" applyFont="1"/>
    <xf numFmtId="0" fontId="20" fillId="0" borderId="0" xfId="3" applyFont="1"/>
    <xf numFmtId="166" fontId="16" fillId="0" borderId="0" xfId="5" applyNumberFormat="1" applyFont="1"/>
    <xf numFmtId="166" fontId="9" fillId="0" borderId="0" xfId="5" applyNumberFormat="1" applyFont="1" applyBorder="1"/>
    <xf numFmtId="166" fontId="16" fillId="0" borderId="0" xfId="5" applyNumberFormat="1" applyFont="1" applyBorder="1"/>
    <xf numFmtId="166" fontId="13" fillId="0" borderId="1" xfId="5" applyNumberFormat="1" applyFont="1" applyBorder="1"/>
    <xf numFmtId="166" fontId="0" fillId="0" borderId="1" xfId="5" applyNumberFormat="1" applyFont="1" applyBorder="1"/>
    <xf numFmtId="166" fontId="8" fillId="7" borderId="0" xfId="5" applyNumberFormat="1" applyFont="1" applyFill="1"/>
    <xf numFmtId="0" fontId="21" fillId="8" borderId="0" xfId="3" applyFont="1" applyFill="1"/>
    <xf numFmtId="0" fontId="11" fillId="8" borderId="0" xfId="3" applyFont="1" applyFill="1" applyAlignment="1">
      <alignment horizontal="right"/>
    </xf>
    <xf numFmtId="164" fontId="11" fillId="8" borderId="0" xfId="4" applyNumberFormat="1" applyFont="1" applyFill="1"/>
    <xf numFmtId="0" fontId="11" fillId="8" borderId="0" xfId="3" applyFont="1" applyFill="1"/>
    <xf numFmtId="9" fontId="11" fillId="8" borderId="0" xfId="6" applyFont="1" applyFill="1"/>
    <xf numFmtId="9" fontId="22" fillId="8" borderId="0" xfId="6" applyFont="1" applyFill="1"/>
    <xf numFmtId="9" fontId="0" fillId="0" borderId="0" xfId="6" applyFont="1"/>
    <xf numFmtId="164" fontId="11" fillId="8" borderId="0" xfId="8" applyNumberFormat="1" applyFont="1" applyFill="1"/>
    <xf numFmtId="9" fontId="11" fillId="8" borderId="0" xfId="9" applyFont="1" applyFill="1"/>
    <xf numFmtId="0" fontId="22" fillId="0" borderId="0" xfId="3" applyFont="1"/>
    <xf numFmtId="167" fontId="0" fillId="0" borderId="0" xfId="6" applyNumberFormat="1" applyFont="1"/>
    <xf numFmtId="0" fontId="8" fillId="4" borderId="0" xfId="3" applyFont="1" applyFill="1"/>
    <xf numFmtId="0" fontId="3" fillId="4" borderId="0" xfId="3" applyFill="1"/>
    <xf numFmtId="0" fontId="2" fillId="7" borderId="0" xfId="0" applyFont="1" applyFill="1" applyAlignment="1">
      <alignment horizontal="left" indent="1"/>
    </xf>
    <xf numFmtId="0" fontId="3" fillId="7" borderId="0" xfId="3" applyFill="1"/>
    <xf numFmtId="164" fontId="3" fillId="7" borderId="0" xfId="3" applyNumberFormat="1" applyFill="1"/>
    <xf numFmtId="0" fontId="4" fillId="0" borderId="0" xfId="3" applyFont="1"/>
    <xf numFmtId="0" fontId="8" fillId="2" borderId="0" xfId="3" applyFont="1" applyFill="1"/>
    <xf numFmtId="0" fontId="7" fillId="2" borderId="0" xfId="3" applyFont="1" applyFill="1"/>
    <xf numFmtId="0" fontId="3" fillId="2" borderId="0" xfId="3" applyFill="1"/>
    <xf numFmtId="164" fontId="8" fillId="2" borderId="0" xfId="3" applyNumberFormat="1" applyFont="1" applyFill="1"/>
    <xf numFmtId="0" fontId="7" fillId="3" borderId="0" xfId="3" applyFont="1" applyFill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2" borderId="0" xfId="3" applyFont="1" applyFill="1" applyAlignment="1">
      <alignment horizontal="center"/>
    </xf>
    <xf numFmtId="0" fontId="13" fillId="0" borderId="0" xfId="0" applyFont="1" applyAlignment="1">
      <alignment horizontal="left" indent="2"/>
    </xf>
    <xf numFmtId="164" fontId="9" fillId="0" borderId="0" xfId="1" applyNumberFormat="1" applyFont="1" applyAlignment="1">
      <alignment horizontal="left" indent="1"/>
    </xf>
    <xf numFmtId="164" fontId="9" fillId="0" borderId="0" xfId="1" applyNumberFormat="1" applyFont="1"/>
    <xf numFmtId="0" fontId="0" fillId="0" borderId="0" xfId="0" applyAlignment="1">
      <alignment horizontal="left" indent="2"/>
    </xf>
    <xf numFmtId="168" fontId="3" fillId="0" borderId="0" xfId="3" applyNumberFormat="1" applyAlignment="1">
      <alignment horizontal="left" indent="1"/>
    </xf>
    <xf numFmtId="164" fontId="3" fillId="0" borderId="3" xfId="1" applyNumberFormat="1" applyFont="1" applyBorder="1"/>
    <xf numFmtId="164" fontId="3" fillId="0" borderId="0" xfId="1" applyNumberFormat="1" applyFont="1"/>
    <xf numFmtId="168" fontId="3" fillId="0" borderId="0" xfId="3" applyNumberFormat="1"/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9" fontId="24" fillId="0" borderId="0" xfId="0" applyNumberFormat="1" applyFont="1" applyAlignment="1">
      <alignment horizontal="right"/>
    </xf>
    <xf numFmtId="0" fontId="25" fillId="0" borderId="0" xfId="0" applyFont="1" applyAlignment="1">
      <alignment horizontal="left"/>
    </xf>
    <xf numFmtId="170" fontId="25" fillId="0" borderId="5" xfId="0" applyNumberFormat="1" applyFont="1" applyBorder="1" applyAlignment="1">
      <alignment horizontal="right"/>
    </xf>
    <xf numFmtId="170" fontId="0" fillId="0" borderId="0" xfId="0" applyNumberFormat="1"/>
    <xf numFmtId="0" fontId="9" fillId="0" borderId="6" xfId="0" applyFont="1" applyFill="1" applyBorder="1" applyAlignment="1">
      <alignment horizontal="center" vertical="center" wrapText="1"/>
    </xf>
    <xf numFmtId="0" fontId="26" fillId="0" borderId="0" xfId="0" applyFont="1"/>
    <xf numFmtId="169" fontId="9" fillId="0" borderId="0" xfId="0" applyNumberFormat="1" applyFont="1" applyAlignment="1">
      <alignment horizontal="right"/>
    </xf>
    <xf numFmtId="169" fontId="9" fillId="0" borderId="2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169" fontId="9" fillId="0" borderId="2" xfId="0" applyNumberFormat="1" applyFont="1" applyFill="1" applyBorder="1" applyAlignment="1">
      <alignment horizontal="right"/>
    </xf>
    <xf numFmtId="0" fontId="27" fillId="0" borderId="0" xfId="0" applyFont="1"/>
    <xf numFmtId="169" fontId="27" fillId="0" borderId="0" xfId="0" applyNumberFormat="1" applyFont="1"/>
    <xf numFmtId="9" fontId="28" fillId="11" borderId="0" xfId="2" applyFont="1" applyFill="1"/>
    <xf numFmtId="164" fontId="11" fillId="3" borderId="0" xfId="4" applyNumberFormat="1" applyFont="1" applyFill="1"/>
    <xf numFmtId="166" fontId="8" fillId="3" borderId="0" xfId="5" applyNumberFormat="1" applyFont="1" applyFill="1"/>
    <xf numFmtId="0" fontId="10" fillId="0" borderId="0" xfId="3" applyFont="1"/>
    <xf numFmtId="166" fontId="9" fillId="0" borderId="1" xfId="5" applyNumberFormat="1" applyFont="1" applyFill="1" applyBorder="1"/>
    <xf numFmtId="0" fontId="0" fillId="0" borderId="0" xfId="0" applyFill="1"/>
    <xf numFmtId="168" fontId="9" fillId="3" borderId="0" xfId="5" applyNumberFormat="1" applyFont="1" applyFill="1"/>
    <xf numFmtId="0" fontId="29" fillId="10" borderId="0" xfId="3" applyFont="1" applyFill="1"/>
    <xf numFmtId="0" fontId="29" fillId="10" borderId="0" xfId="3" applyFont="1" applyFill="1" applyAlignment="1">
      <alignment horizontal="center" vertical="center"/>
    </xf>
    <xf numFmtId="164" fontId="3" fillId="0" borderId="0" xfId="1" applyNumberFormat="1" applyFont="1" applyBorder="1"/>
    <xf numFmtId="164" fontId="3" fillId="7" borderId="0" xfId="3" applyNumberFormat="1" applyFont="1" applyFill="1"/>
    <xf numFmtId="0" fontId="3" fillId="7" borderId="0" xfId="3" applyFont="1" applyFill="1"/>
    <xf numFmtId="168" fontId="3" fillId="0" borderId="0" xfId="3" applyNumberFormat="1" applyFont="1" applyAlignment="1">
      <alignment horizontal="left" indent="1"/>
    </xf>
    <xf numFmtId="168" fontId="3" fillId="0" borderId="0" xfId="3" applyNumberFormat="1" applyFont="1"/>
    <xf numFmtId="0" fontId="26" fillId="0" borderId="0" xfId="0" applyFont="1" applyFill="1"/>
    <xf numFmtId="166" fontId="26" fillId="3" borderId="0" xfId="5" applyNumberFormat="1" applyFont="1" applyFill="1"/>
    <xf numFmtId="166" fontId="26" fillId="0" borderId="0" xfId="5" applyNumberFormat="1" applyFont="1"/>
    <xf numFmtId="0" fontId="10" fillId="11" borderId="0" xfId="3" applyFont="1" applyFill="1"/>
    <xf numFmtId="0" fontId="8" fillId="0" borderId="0" xfId="3" applyFont="1" applyAlignment="1"/>
    <xf numFmtId="0" fontId="8" fillId="0" borderId="0" xfId="3" applyFont="1" applyAlignment="1">
      <alignment horizontal="center"/>
    </xf>
    <xf numFmtId="0" fontId="26" fillId="0" borderId="0" xfId="0" applyFont="1" applyAlignment="1">
      <alignment horizontal="right"/>
    </xf>
    <xf numFmtId="0" fontId="8" fillId="11" borderId="0" xfId="3" applyFont="1" applyFill="1" applyAlignment="1">
      <alignment horizontal="center" vertical="center"/>
    </xf>
    <xf numFmtId="169" fontId="26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4" fontId="0" fillId="0" borderId="0" xfId="1" applyFont="1"/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left" indent="4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3" applyFont="1" applyAlignment="1">
      <alignment horizontal="left" indent="3"/>
    </xf>
    <xf numFmtId="0" fontId="3" fillId="0" borderId="0" xfId="3" applyFont="1" applyAlignment="1">
      <alignment horizontal="left" indent="3"/>
    </xf>
    <xf numFmtId="0" fontId="9" fillId="0" borderId="0" xfId="3" applyFont="1" applyFill="1" applyAlignment="1">
      <alignment horizontal="left" indent="3"/>
    </xf>
    <xf numFmtId="167" fontId="0" fillId="4" borderId="0" xfId="2" applyNumberFormat="1" applyFont="1" applyFill="1"/>
    <xf numFmtId="44" fontId="0" fillId="0" borderId="0" xfId="0" applyNumberFormat="1"/>
    <xf numFmtId="166" fontId="8" fillId="3" borderId="2" xfId="3" applyNumberFormat="1" applyFont="1" applyFill="1" applyBorder="1"/>
    <xf numFmtId="164" fontId="0" fillId="0" borderId="0" xfId="1" applyNumberFormat="1" applyFont="1"/>
    <xf numFmtId="164" fontId="0" fillId="0" borderId="3" xfId="1" applyNumberFormat="1" applyFont="1" applyBorder="1"/>
    <xf numFmtId="164" fontId="2" fillId="0" borderId="0" xfId="1" applyNumberFormat="1" applyFont="1"/>
    <xf numFmtId="164" fontId="2" fillId="0" borderId="2" xfId="1" applyNumberFormat="1" applyFont="1" applyBorder="1"/>
    <xf numFmtId="164" fontId="0" fillId="0" borderId="1" xfId="1" applyNumberFormat="1" applyFont="1" applyBorder="1"/>
    <xf numFmtId="0" fontId="2" fillId="3" borderId="0" xfId="0" applyFont="1" applyFill="1"/>
    <xf numFmtId="0" fontId="0" fillId="12" borderId="0" xfId="0" applyFill="1"/>
    <xf numFmtId="168" fontId="0" fillId="0" borderId="0" xfId="10" applyNumberFormat="1" applyFont="1"/>
    <xf numFmtId="164" fontId="1" fillId="0" borderId="0" xfId="1" applyNumberFormat="1" applyFont="1"/>
    <xf numFmtId="164" fontId="31" fillId="0" borderId="0" xfId="1" applyNumberFormat="1" applyFont="1"/>
    <xf numFmtId="0" fontId="2" fillId="0" borderId="0" xfId="0" applyFont="1" applyAlignment="1">
      <alignment horizontal="center"/>
    </xf>
    <xf numFmtId="0" fontId="2" fillId="13" borderId="0" xfId="0" applyFont="1" applyFill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horizontal="center"/>
    </xf>
    <xf numFmtId="0" fontId="32" fillId="14" borderId="0" xfId="0" applyFont="1" applyFill="1"/>
    <xf numFmtId="0" fontId="0" fillId="14" borderId="0" xfId="0" applyFill="1"/>
    <xf numFmtId="164" fontId="0" fillId="14" borderId="0" xfId="1" applyNumberFormat="1" applyFont="1" applyFill="1"/>
    <xf numFmtId="164" fontId="0" fillId="14" borderId="0" xfId="0" applyNumberFormat="1" applyFill="1"/>
    <xf numFmtId="164" fontId="0" fillId="0" borderId="0" xfId="0" applyNumberFormat="1"/>
    <xf numFmtId="0" fontId="32" fillId="0" borderId="0" xfId="0" applyFont="1"/>
    <xf numFmtId="164" fontId="0" fillId="0" borderId="0" xfId="1" applyNumberFormat="1" applyFont="1" applyFill="1"/>
    <xf numFmtId="164" fontId="0" fillId="13" borderId="0" xfId="0" applyNumberFormat="1" applyFill="1"/>
    <xf numFmtId="0" fontId="32" fillId="15" borderId="0" xfId="0" applyFont="1" applyFill="1"/>
    <xf numFmtId="0" fontId="0" fillId="15" borderId="0" xfId="0" applyFill="1"/>
    <xf numFmtId="164" fontId="0" fillId="15" borderId="0" xfId="1" applyNumberFormat="1" applyFont="1" applyFill="1"/>
    <xf numFmtId="164" fontId="0" fillId="15" borderId="0" xfId="0" applyNumberFormat="1" applyFill="1"/>
    <xf numFmtId="0" fontId="32" fillId="0" borderId="0" xfId="0" applyFont="1" applyBorder="1"/>
    <xf numFmtId="0" fontId="0" fillId="0" borderId="0" xfId="0" applyBorder="1"/>
    <xf numFmtId="164" fontId="0" fillId="0" borderId="0" xfId="1" applyNumberFormat="1" applyFont="1" applyBorder="1"/>
    <xf numFmtId="164" fontId="0" fillId="0" borderId="1" xfId="0" applyNumberFormat="1" applyBorder="1"/>
    <xf numFmtId="164" fontId="0" fillId="13" borderId="1" xfId="0" applyNumberFormat="1" applyFill="1" applyBorder="1"/>
    <xf numFmtId="0" fontId="0" fillId="13" borderId="0" xfId="0" applyFill="1"/>
    <xf numFmtId="164" fontId="0" fillId="15" borderId="1" xfId="0" applyNumberFormat="1" applyFill="1" applyBorder="1"/>
    <xf numFmtId="0" fontId="33" fillId="0" borderId="0" xfId="0" applyFont="1" applyAlignment="1">
      <alignment horizontal="left"/>
    </xf>
    <xf numFmtId="0" fontId="34" fillId="0" borderId="0" xfId="0" applyFont="1"/>
    <xf numFmtId="0" fontId="33" fillId="0" borderId="0" xfId="0" applyFont="1"/>
    <xf numFmtId="0" fontId="35" fillId="0" borderId="0" xfId="0" applyFont="1" applyAlignment="1">
      <alignment horizontal="left" indent="4"/>
    </xf>
    <xf numFmtId="0" fontId="36" fillId="0" borderId="0" xfId="0" applyFont="1" applyAlignment="1">
      <alignment horizontal="left" indent="4"/>
    </xf>
    <xf numFmtId="0" fontId="33" fillId="3" borderId="0" xfId="0" applyFont="1" applyFill="1"/>
    <xf numFmtId="0" fontId="37" fillId="0" borderId="0" xfId="3" applyFont="1" applyAlignment="1">
      <alignment horizontal="left" indent="3"/>
    </xf>
    <xf numFmtId="0" fontId="35" fillId="0" borderId="0" xfId="3" applyFont="1" applyFill="1" applyAlignment="1">
      <alignment horizontal="left" indent="3"/>
    </xf>
    <xf numFmtId="0" fontId="35" fillId="0" borderId="0" xfId="3" applyFont="1" applyAlignment="1">
      <alignment horizontal="left" indent="3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164" fontId="2" fillId="0" borderId="0" xfId="1" applyNumberFormat="1" applyFont="1" applyBorder="1"/>
    <xf numFmtId="0" fontId="0" fillId="12" borderId="0" xfId="0" applyFill="1" applyBorder="1"/>
    <xf numFmtId="164" fontId="8" fillId="3" borderId="7" xfId="1" applyNumberFormat="1" applyFont="1" applyFill="1" applyBorder="1"/>
    <xf numFmtId="164" fontId="8" fillId="3" borderId="0" xfId="1" applyNumberFormat="1" applyFont="1" applyFill="1"/>
    <xf numFmtId="0" fontId="23" fillId="0" borderId="4" xfId="0" applyFont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39" fillId="0" borderId="0" xfId="11" applyFont="1" applyAlignment="1">
      <alignment horizontal="center" wrapText="1"/>
    </xf>
    <xf numFmtId="9" fontId="3" fillId="0" borderId="0" xfId="2" applyFont="1"/>
    <xf numFmtId="9" fontId="0" fillId="0" borderId="0" xfId="2" applyFont="1"/>
    <xf numFmtId="0" fontId="3" fillId="0" borderId="0" xfId="3" applyAlignment="1">
      <alignment horizontal="center"/>
    </xf>
    <xf numFmtId="9" fontId="3" fillId="0" borderId="0" xfId="3" applyNumberFormat="1"/>
    <xf numFmtId="9" fontId="7" fillId="11" borderId="0" xfId="2" applyFont="1" applyFill="1"/>
    <xf numFmtId="0" fontId="8" fillId="9" borderId="0" xfId="3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0" fillId="0" borderId="0" xfId="0" applyFont="1"/>
    <xf numFmtId="0" fontId="0" fillId="16" borderId="0" xfId="0" applyFill="1"/>
    <xf numFmtId="0" fontId="0" fillId="16" borderId="0" xfId="0" applyFill="1" applyAlignment="1">
      <alignment horizontal="center"/>
    </xf>
    <xf numFmtId="164" fontId="0" fillId="11" borderId="0" xfId="1" applyNumberFormat="1" applyFont="1" applyFill="1"/>
    <xf numFmtId="164" fontId="0" fillId="11" borderId="0" xfId="10" applyNumberFormat="1" applyFont="1" applyFill="1"/>
    <xf numFmtId="168" fontId="0" fillId="11" borderId="0" xfId="10" applyNumberFormat="1" applyFont="1" applyFill="1"/>
    <xf numFmtId="168" fontId="26" fillId="0" borderId="0" xfId="10" applyNumberFormat="1" applyFont="1"/>
    <xf numFmtId="168" fontId="26" fillId="0" borderId="8" xfId="10" applyNumberFormat="1" applyFont="1" applyBorder="1"/>
    <xf numFmtId="168" fontId="9" fillId="16" borderId="0" xfId="5" applyNumberFormat="1" applyFont="1" applyFill="1"/>
    <xf numFmtId="166" fontId="9" fillId="16" borderId="0" xfId="5" applyNumberFormat="1" applyFont="1" applyFill="1"/>
    <xf numFmtId="164" fontId="31" fillId="0" borderId="0" xfId="1" applyNumberFormat="1" applyFont="1" applyFill="1"/>
    <xf numFmtId="0" fontId="2" fillId="4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41" fillId="0" borderId="0" xfId="0" applyFont="1" applyFill="1"/>
  </cellXfs>
  <cellStyles count="12">
    <cellStyle name="Comma" xfId="10" builtinId="3"/>
    <cellStyle name="Comma 3" xfId="5"/>
    <cellStyle name="Currency" xfId="1" builtinId="4"/>
    <cellStyle name="Currency 3" xfId="4"/>
    <cellStyle name="Currency 4" xfId="8"/>
    <cellStyle name="Normal" xfId="0" builtinId="0"/>
    <cellStyle name="Normal 11" xfId="7"/>
    <cellStyle name="Normal 2" xfId="11"/>
    <cellStyle name="Normal 3" xfId="3"/>
    <cellStyle name="Percent" xfId="2" builtinId="5"/>
    <cellStyle name="Percent 2" xfId="6"/>
    <cellStyle name="Percent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D45"/>
  <sheetViews>
    <sheetView showGridLines="0" tabSelected="1" topLeftCell="A4" zoomScaleNormal="100" workbookViewId="0">
      <pane xSplit="2" ySplit="4" topLeftCell="P8" activePane="bottomRight" state="frozen"/>
      <selection activeCell="A4" sqref="A4"/>
      <selection pane="topRight" activeCell="C4" sqref="C4"/>
      <selection pane="bottomLeft" activeCell="A8" sqref="A8"/>
      <selection pane="bottomRight" activeCell="AA26" sqref="AA26"/>
    </sheetView>
  </sheetViews>
  <sheetFormatPr defaultRowHeight="17.25" x14ac:dyDescent="0.25"/>
  <cols>
    <col min="1" max="1" width="46.7109375" customWidth="1"/>
    <col min="2" max="2" width="2.7109375" style="189" customWidth="1"/>
    <col min="3" max="3" width="11.42578125" bestFit="1" customWidth="1"/>
    <col min="4" max="4" width="11.5703125" bestFit="1" customWidth="1"/>
    <col min="5" max="6" width="9.5703125" bestFit="1" customWidth="1"/>
    <col min="7" max="7" width="11.5703125" bestFit="1" customWidth="1"/>
    <col min="8" max="8" width="1.42578125" customWidth="1"/>
    <col min="9" max="9" width="10.5703125" bestFit="1" customWidth="1"/>
    <col min="10" max="10" width="11.5703125" bestFit="1" customWidth="1"/>
    <col min="11" max="12" width="8.28515625" bestFit="1" customWidth="1"/>
    <col min="13" max="13" width="11.5703125" bestFit="1" customWidth="1"/>
    <col min="14" max="14" width="1.42578125" customWidth="1"/>
    <col min="15" max="19" width="10.5703125" customWidth="1"/>
    <col min="20" max="20" width="1.42578125" customWidth="1"/>
    <col min="21" max="21" width="13.42578125" bestFit="1" customWidth="1"/>
    <col min="22" max="22" width="11.5703125" bestFit="1" customWidth="1"/>
    <col min="23" max="24" width="9.5703125" bestFit="1" customWidth="1"/>
    <col min="25" max="25" width="11.5703125" bestFit="1" customWidth="1"/>
    <col min="26" max="26" width="2.5703125" customWidth="1"/>
    <col min="27" max="27" width="10.85546875" customWidth="1"/>
    <col min="28" max="28" width="9.42578125" customWidth="1"/>
    <col min="29" max="29" width="18.5703125" style="213" customWidth="1"/>
    <col min="30" max="30" width="11.7109375" customWidth="1"/>
  </cols>
  <sheetData>
    <row r="1" spans="1:30" ht="21" customHeight="1" x14ac:dyDescent="0.3">
      <c r="A1" s="226" t="s">
        <v>225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</row>
    <row r="2" spans="1:30" ht="17.25" customHeight="1" x14ac:dyDescent="0.25">
      <c r="A2" s="227">
        <v>2021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</row>
    <row r="3" spans="1:30" x14ac:dyDescent="0.25">
      <c r="B3" s="188"/>
    </row>
    <row r="4" spans="1:30" x14ac:dyDescent="0.25">
      <c r="A4" s="205"/>
      <c r="B4" s="188"/>
      <c r="C4" s="225" t="s">
        <v>144</v>
      </c>
      <c r="D4" s="225"/>
      <c r="E4" s="225"/>
      <c r="F4" s="225"/>
      <c r="G4" s="225"/>
      <c r="H4" s="160"/>
      <c r="I4" s="225" t="s">
        <v>149</v>
      </c>
      <c r="J4" s="225"/>
      <c r="K4" s="225"/>
      <c r="L4" s="225"/>
      <c r="M4" s="225"/>
      <c r="N4" s="160"/>
      <c r="O4" s="225" t="s">
        <v>229</v>
      </c>
      <c r="P4" s="225"/>
      <c r="Q4" s="225"/>
      <c r="R4" s="225"/>
      <c r="S4" s="225"/>
      <c r="T4" s="160"/>
      <c r="U4" s="225" t="s">
        <v>3</v>
      </c>
      <c r="V4" s="225"/>
      <c r="W4" s="225"/>
      <c r="X4" s="225"/>
      <c r="Y4" s="225"/>
    </row>
    <row r="5" spans="1:30" x14ac:dyDescent="0.25">
      <c r="C5" s="126"/>
      <c r="D5" s="126"/>
      <c r="E5" s="126"/>
      <c r="F5" s="126"/>
      <c r="G5" s="126"/>
      <c r="H5" s="160"/>
      <c r="I5" s="126"/>
      <c r="J5" s="126"/>
      <c r="K5" s="126"/>
      <c r="L5" s="126"/>
      <c r="M5" s="126"/>
      <c r="N5" s="160"/>
      <c r="O5" s="126"/>
      <c r="P5" s="126"/>
      <c r="Q5" s="126"/>
      <c r="R5" s="126"/>
      <c r="S5" s="126"/>
      <c r="T5" s="160"/>
      <c r="U5" s="126"/>
      <c r="V5" s="126"/>
      <c r="W5" s="126"/>
      <c r="X5" s="126"/>
      <c r="Y5" s="126"/>
      <c r="AA5" s="215" t="s">
        <v>239</v>
      </c>
      <c r="AB5" s="215"/>
      <c r="AC5" s="216"/>
      <c r="AD5" s="215"/>
    </row>
    <row r="6" spans="1:30" x14ac:dyDescent="0.25">
      <c r="C6" s="127" t="s">
        <v>9</v>
      </c>
      <c r="D6" s="127" t="s">
        <v>10</v>
      </c>
      <c r="E6" s="127" t="s">
        <v>11</v>
      </c>
      <c r="F6" s="127" t="s">
        <v>12</v>
      </c>
      <c r="G6" s="127" t="s">
        <v>3</v>
      </c>
      <c r="H6" s="160"/>
      <c r="I6" s="127" t="s">
        <v>9</v>
      </c>
      <c r="J6" s="127" t="s">
        <v>10</v>
      </c>
      <c r="K6" s="127" t="s">
        <v>11</v>
      </c>
      <c r="L6" s="127" t="s">
        <v>12</v>
      </c>
      <c r="M6" s="127" t="s">
        <v>3</v>
      </c>
      <c r="N6" s="160"/>
      <c r="O6" s="127" t="s">
        <v>9</v>
      </c>
      <c r="P6" s="127" t="s">
        <v>10</v>
      </c>
      <c r="Q6" s="127" t="s">
        <v>11</v>
      </c>
      <c r="R6" s="127" t="s">
        <v>12</v>
      </c>
      <c r="S6" s="127" t="s">
        <v>3</v>
      </c>
      <c r="T6" s="160"/>
      <c r="U6" s="127" t="s">
        <v>9</v>
      </c>
      <c r="V6" s="127" t="s">
        <v>10</v>
      </c>
      <c r="W6" s="127" t="s">
        <v>11</v>
      </c>
      <c r="X6" s="127" t="s">
        <v>12</v>
      </c>
      <c r="Y6" s="127" t="s">
        <v>3</v>
      </c>
      <c r="AA6" s="212" t="s">
        <v>238</v>
      </c>
      <c r="AB6" s="212" t="s">
        <v>241</v>
      </c>
      <c r="AC6" s="212" t="s">
        <v>236</v>
      </c>
    </row>
    <row r="7" spans="1:30" x14ac:dyDescent="0.25">
      <c r="C7" s="127"/>
      <c r="D7" s="127"/>
      <c r="E7" s="127"/>
      <c r="F7" s="127"/>
      <c r="G7" s="127"/>
      <c r="H7" s="160"/>
      <c r="I7" s="127"/>
      <c r="J7" s="127"/>
      <c r="K7" s="127"/>
      <c r="L7" s="127"/>
      <c r="M7" s="127"/>
      <c r="N7" s="160"/>
      <c r="O7" s="127"/>
      <c r="P7" s="127"/>
      <c r="Q7" s="127"/>
      <c r="R7" s="127"/>
      <c r="S7" s="127"/>
      <c r="T7" s="160"/>
      <c r="U7" s="127"/>
      <c r="V7" s="127"/>
      <c r="W7" s="127"/>
      <c r="X7" s="127"/>
      <c r="Y7" s="127"/>
    </row>
    <row r="8" spans="1:30" x14ac:dyDescent="0.25">
      <c r="A8" s="142" t="s">
        <v>23</v>
      </c>
      <c r="B8" s="190">
        <v>1</v>
      </c>
      <c r="C8" s="144"/>
      <c r="D8" s="144"/>
      <c r="E8" s="144"/>
      <c r="F8" s="144"/>
      <c r="G8" s="144"/>
      <c r="H8" s="160"/>
      <c r="I8" s="151">
        <f>+Detail!H19</f>
        <v>6.8000000000000005E-2</v>
      </c>
      <c r="J8" s="151">
        <f>+Detail!I19</f>
        <v>0.16700000000000001</v>
      </c>
      <c r="K8" s="151">
        <f>+Detail!J19</f>
        <v>1E-3</v>
      </c>
      <c r="L8" s="151">
        <f>+Detail!K19</f>
        <v>1E-3</v>
      </c>
      <c r="M8" s="151">
        <f>SUM(I8:L8)</f>
        <v>0.23700000000000002</v>
      </c>
      <c r="N8" s="160"/>
      <c r="O8" s="151"/>
      <c r="P8" s="151"/>
      <c r="Q8" s="151"/>
      <c r="R8" s="151"/>
      <c r="S8" s="151"/>
      <c r="T8" s="160"/>
    </row>
    <row r="9" spans="1:30" ht="15" x14ac:dyDescent="0.25">
      <c r="A9" s="145" t="s">
        <v>147</v>
      </c>
      <c r="B9" s="191"/>
      <c r="C9" s="154">
        <f>-'BU Direct Costs'!R6</f>
        <v>-2804</v>
      </c>
      <c r="D9" s="154">
        <f>-'BU Direct Costs'!R29</f>
        <v>-6054</v>
      </c>
      <c r="E9" s="154">
        <f>-'BU Direct Costs'!R27</f>
        <v>-62</v>
      </c>
      <c r="F9" s="154">
        <f>-'BU Direct Costs'!R25</f>
        <v>-60</v>
      </c>
      <c r="G9" s="154">
        <f>SUM(C9:F9)</f>
        <v>-8980</v>
      </c>
      <c r="H9" s="160"/>
      <c r="I9" s="154">
        <f>-'Corp Direct Costs'!$V$50*Summary!I8</f>
        <v>-1700.0000000000002</v>
      </c>
      <c r="J9" s="154">
        <f>-'Corp Direct Costs'!$V$50*Summary!J8</f>
        <v>-4175</v>
      </c>
      <c r="K9" s="154">
        <f>-'Corp Direct Costs'!$V$50*Summary!K8</f>
        <v>-25</v>
      </c>
      <c r="L9" s="154">
        <f>-'Corp Direct Costs'!$V$50*Summary!L8</f>
        <v>-25</v>
      </c>
      <c r="M9" s="154">
        <f>SUM(I9:L9)</f>
        <v>-5925</v>
      </c>
      <c r="N9" s="160"/>
      <c r="O9" s="154">
        <v>0</v>
      </c>
      <c r="P9" s="154">
        <v>0</v>
      </c>
      <c r="Q9" s="154">
        <v>0</v>
      </c>
      <c r="R9" s="154">
        <v>0</v>
      </c>
      <c r="S9" s="154">
        <f>SUM(O9:R9)</f>
        <v>0</v>
      </c>
      <c r="T9" s="160"/>
      <c r="U9" s="217">
        <f>+C9+I9+O9</f>
        <v>-4504</v>
      </c>
      <c r="V9" s="217">
        <f t="shared" ref="V9:X9" si="0">+D9+J9+P9</f>
        <v>-10229</v>
      </c>
      <c r="W9" s="217">
        <f t="shared" si="0"/>
        <v>-87</v>
      </c>
      <c r="X9" s="217">
        <f t="shared" si="0"/>
        <v>-85</v>
      </c>
      <c r="Y9" s="154">
        <f>+G9+M9+S9</f>
        <v>-14905</v>
      </c>
      <c r="AA9" s="213">
        <v>6149</v>
      </c>
      <c r="AB9" s="213">
        <v>920</v>
      </c>
      <c r="AC9" s="213" t="s">
        <v>228</v>
      </c>
    </row>
    <row r="10" spans="1:30" ht="15" x14ac:dyDescent="0.25">
      <c r="A10" s="145" t="s">
        <v>63</v>
      </c>
      <c r="B10" s="191"/>
      <c r="C10" s="161">
        <v>0</v>
      </c>
      <c r="D10" s="161">
        <f>-'BU Direct Costs'!R30</f>
        <v>-303.52999999999997</v>
      </c>
      <c r="E10" s="161">
        <v>0</v>
      </c>
      <c r="F10" s="161">
        <v>0</v>
      </c>
      <c r="G10" s="161">
        <f t="shared" ref="G10:G12" si="1">SUM(C10:F10)</f>
        <v>-303.52999999999997</v>
      </c>
      <c r="H10" s="160"/>
      <c r="I10" s="161">
        <f>-'Corp Direct Costs'!$V$10*Summary!I8</f>
        <v>-480.22892000000002</v>
      </c>
      <c r="J10" s="161">
        <f>-'Corp Direct Costs'!$V$10*Summary!J8</f>
        <v>-1179.38573</v>
      </c>
      <c r="K10" s="161">
        <f>-'Corp Direct Costs'!$V$10*Summary!K8</f>
        <v>-7.0621900000000002</v>
      </c>
      <c r="L10" s="161">
        <f>-'Corp Direct Costs'!$V$10*Summary!L8</f>
        <v>-7.0621900000000002</v>
      </c>
      <c r="M10" s="161">
        <f>SUM(I10:L10)</f>
        <v>-1673.7390300000002</v>
      </c>
      <c r="N10" s="160"/>
      <c r="O10" s="161">
        <v>0</v>
      </c>
      <c r="P10" s="161">
        <v>0</v>
      </c>
      <c r="Q10" s="161">
        <v>0</v>
      </c>
      <c r="R10" s="161">
        <v>0</v>
      </c>
      <c r="S10" s="161">
        <f>SUM(O10:R10)</f>
        <v>0</v>
      </c>
      <c r="T10" s="160"/>
      <c r="U10" s="218">
        <f t="shared" ref="U10:U12" si="2">+C10+I10+O10</f>
        <v>-480.22892000000002</v>
      </c>
      <c r="V10" s="219">
        <f t="shared" ref="V10:V12" si="3">+D10+J10+P10</f>
        <v>-1482.9157299999999</v>
      </c>
      <c r="W10" s="219">
        <f t="shared" ref="W10:W12" si="4">+E10+K10+Q10</f>
        <v>-7.0621900000000002</v>
      </c>
      <c r="X10" s="219">
        <f t="shared" ref="X10:X12" si="5">+F10+L10+R10</f>
        <v>-7.0621900000000002</v>
      </c>
      <c r="Y10" s="161">
        <f t="shared" ref="Y10:Y12" si="6">+G10+M10+S10</f>
        <v>-1977.2690300000002</v>
      </c>
      <c r="AA10" s="213">
        <v>7090</v>
      </c>
      <c r="AB10" s="213">
        <v>9301</v>
      </c>
      <c r="AC10" s="213" t="s">
        <v>237</v>
      </c>
    </row>
    <row r="11" spans="1:30" ht="15" x14ac:dyDescent="0.25">
      <c r="A11" s="145" t="s">
        <v>65</v>
      </c>
      <c r="B11" s="191"/>
      <c r="C11" s="161">
        <f>-'BU Direct Costs'!R7</f>
        <v>-19697.400000000001</v>
      </c>
      <c r="D11" s="161">
        <f>-'BU Direct Costs'!R31</f>
        <v>-31515.81</v>
      </c>
      <c r="E11" s="161">
        <v>0</v>
      </c>
      <c r="F11" s="161">
        <v>0</v>
      </c>
      <c r="G11" s="161">
        <f t="shared" si="1"/>
        <v>-51213.210000000006</v>
      </c>
      <c r="H11" s="160"/>
      <c r="I11" s="161">
        <v>0</v>
      </c>
      <c r="J11" s="161">
        <v>0</v>
      </c>
      <c r="K11" s="161">
        <v>0</v>
      </c>
      <c r="L11" s="161">
        <v>0</v>
      </c>
      <c r="M11" s="161">
        <f t="shared" ref="M11:M12" si="7">SUM(I11:L11)</f>
        <v>0</v>
      </c>
      <c r="N11" s="160"/>
      <c r="O11" s="161">
        <v>0</v>
      </c>
      <c r="P11" s="161">
        <v>0</v>
      </c>
      <c r="Q11" s="161">
        <v>0</v>
      </c>
      <c r="R11" s="161">
        <v>0</v>
      </c>
      <c r="S11" s="161">
        <f t="shared" ref="S11:S12" si="8">SUM(O11:R11)</f>
        <v>0</v>
      </c>
      <c r="T11" s="160"/>
      <c r="U11" s="218">
        <f t="shared" si="2"/>
        <v>-19697.400000000001</v>
      </c>
      <c r="V11" s="219">
        <f t="shared" si="3"/>
        <v>-31515.81</v>
      </c>
      <c r="W11" s="219">
        <f t="shared" si="4"/>
        <v>0</v>
      </c>
      <c r="X11" s="219">
        <f t="shared" si="5"/>
        <v>0</v>
      </c>
      <c r="Y11" s="161">
        <f t="shared" si="6"/>
        <v>-51213.210000000006</v>
      </c>
      <c r="AA11" s="213">
        <v>7220</v>
      </c>
      <c r="AB11" s="213">
        <v>9230</v>
      </c>
      <c r="AC11" s="213" t="s">
        <v>237</v>
      </c>
    </row>
    <row r="12" spans="1:30" ht="15" x14ac:dyDescent="0.25">
      <c r="A12" s="145" t="s">
        <v>67</v>
      </c>
      <c r="B12" s="191"/>
      <c r="C12" s="161">
        <f>-'BU Direct Costs'!R8</f>
        <v>-5566.3600000000006</v>
      </c>
      <c r="D12" s="161">
        <f>-'BU Direct Costs'!R32</f>
        <v>-9400.1</v>
      </c>
      <c r="E12" s="161">
        <v>0</v>
      </c>
      <c r="F12" s="161">
        <v>0</v>
      </c>
      <c r="G12" s="161">
        <f t="shared" si="1"/>
        <v>-14966.460000000001</v>
      </c>
      <c r="H12" s="160"/>
      <c r="I12" s="161">
        <v>0</v>
      </c>
      <c r="J12" s="161">
        <v>0</v>
      </c>
      <c r="K12" s="161">
        <v>0</v>
      </c>
      <c r="L12" s="161">
        <v>0</v>
      </c>
      <c r="M12" s="161">
        <f t="shared" si="7"/>
        <v>0</v>
      </c>
      <c r="N12" s="160"/>
      <c r="O12" s="161">
        <v>0</v>
      </c>
      <c r="P12" s="161">
        <v>0</v>
      </c>
      <c r="Q12" s="161">
        <v>0</v>
      </c>
      <c r="R12" s="161">
        <v>0</v>
      </c>
      <c r="S12" s="161">
        <f t="shared" si="8"/>
        <v>0</v>
      </c>
      <c r="T12" s="160"/>
      <c r="U12" s="218">
        <f t="shared" si="2"/>
        <v>-5566.3600000000006</v>
      </c>
      <c r="V12" s="219">
        <f t="shared" si="3"/>
        <v>-9400.1</v>
      </c>
      <c r="W12" s="219">
        <f t="shared" si="4"/>
        <v>0</v>
      </c>
      <c r="X12" s="219">
        <f t="shared" si="5"/>
        <v>0</v>
      </c>
      <c r="Y12" s="161">
        <f t="shared" si="6"/>
        <v>-14966.460000000001</v>
      </c>
      <c r="AA12" s="213">
        <v>7230</v>
      </c>
      <c r="AB12" s="213">
        <v>9230</v>
      </c>
      <c r="AC12" s="213" t="s">
        <v>237</v>
      </c>
    </row>
    <row r="13" spans="1:30" ht="15" x14ac:dyDescent="0.25">
      <c r="A13" s="146" t="s">
        <v>192</v>
      </c>
      <c r="B13" s="192"/>
      <c r="C13" s="155">
        <f>SUM(C9:C12)</f>
        <v>-28067.760000000002</v>
      </c>
      <c r="D13" s="155">
        <f>SUM(D9:D12)</f>
        <v>-47273.440000000002</v>
      </c>
      <c r="E13" s="155">
        <f>SUM(E9:E12)</f>
        <v>-62</v>
      </c>
      <c r="F13" s="155">
        <f>SUM(F9:F12)</f>
        <v>-60</v>
      </c>
      <c r="G13" s="155">
        <f>SUM(G9:G12)</f>
        <v>-75463.200000000012</v>
      </c>
      <c r="H13" s="160"/>
      <c r="I13" s="155">
        <f>SUM(I9:I12)</f>
        <v>-2180.2289200000005</v>
      </c>
      <c r="J13" s="155">
        <f>SUM(J9:J12)</f>
        <v>-5354.38573</v>
      </c>
      <c r="K13" s="155">
        <f>SUM(K9:K12)</f>
        <v>-32.062190000000001</v>
      </c>
      <c r="L13" s="155">
        <f>SUM(L9:L12)</f>
        <v>-32.062190000000001</v>
      </c>
      <c r="M13" s="155">
        <f>SUM(M9:M12)</f>
        <v>-7598.7390300000006</v>
      </c>
      <c r="N13" s="160"/>
      <c r="O13" s="155">
        <f>SUM(O9:O12)</f>
        <v>0</v>
      </c>
      <c r="P13" s="155">
        <f>SUM(P9:P12)</f>
        <v>0</v>
      </c>
      <c r="Q13" s="155">
        <f>SUM(Q9:Q12)</f>
        <v>0</v>
      </c>
      <c r="R13" s="155">
        <f>SUM(R9:R12)</f>
        <v>0</v>
      </c>
      <c r="S13" s="155">
        <f>SUM(S9:S12)</f>
        <v>0</v>
      </c>
      <c r="T13" s="160"/>
      <c r="U13" s="155">
        <f>SUM(U9:U12)</f>
        <v>-30247.988920000003</v>
      </c>
      <c r="V13" s="155">
        <f>SUM(V9:V12)</f>
        <v>-52627.825730000004</v>
      </c>
      <c r="W13" s="155">
        <f>SUM(W9:W12)</f>
        <v>-94.062190000000001</v>
      </c>
      <c r="X13" s="155">
        <f>SUM(X9:X12)</f>
        <v>-92.062190000000001</v>
      </c>
      <c r="Y13" s="155">
        <f>SUM(Y9:Y12)</f>
        <v>-83061.939030000009</v>
      </c>
      <c r="AA13" s="213"/>
      <c r="AB13" s="213"/>
    </row>
    <row r="14" spans="1:30" x14ac:dyDescent="0.25">
      <c r="C14" s="154"/>
      <c r="D14" s="154"/>
      <c r="E14" s="154"/>
      <c r="F14" s="154"/>
      <c r="G14" s="154"/>
      <c r="H14" s="160"/>
      <c r="N14" s="160"/>
      <c r="T14" s="160"/>
      <c r="AA14" s="213"/>
      <c r="AB14" s="213"/>
    </row>
    <row r="15" spans="1:30" x14ac:dyDescent="0.25">
      <c r="A15" s="159" t="s">
        <v>190</v>
      </c>
      <c r="B15" s="193"/>
      <c r="C15" s="154"/>
      <c r="D15" s="154"/>
      <c r="E15" s="154"/>
      <c r="F15" s="154"/>
      <c r="G15" s="154"/>
      <c r="H15" s="160"/>
      <c r="N15" s="160"/>
      <c r="T15" s="160"/>
      <c r="AA15" s="213"/>
      <c r="AB15" s="213"/>
    </row>
    <row r="16" spans="1:30" ht="15" x14ac:dyDescent="0.25">
      <c r="A16" s="149" t="s">
        <v>73</v>
      </c>
      <c r="B16" s="194"/>
      <c r="C16" s="154">
        <v>0</v>
      </c>
      <c r="D16" s="154">
        <v>0</v>
      </c>
      <c r="E16" s="154">
        <v>0</v>
      </c>
      <c r="F16" s="154">
        <v>0</v>
      </c>
      <c r="G16" s="154">
        <f t="shared" ref="G16:G17" si="9">SUM(C16:F16)</f>
        <v>0</v>
      </c>
      <c r="H16" s="160"/>
      <c r="I16" s="154">
        <f>+Detail!R63</f>
        <v>9163</v>
      </c>
      <c r="J16" s="154">
        <f>+Detail!S63</f>
        <v>22504</v>
      </c>
      <c r="K16" s="154">
        <f>+Detail!T63</f>
        <v>135</v>
      </c>
      <c r="L16" s="154">
        <f>+Detail!U63</f>
        <v>135</v>
      </c>
      <c r="M16" s="154">
        <f>SUM(I16:L16)</f>
        <v>31937</v>
      </c>
      <c r="N16" s="160"/>
      <c r="O16" s="154">
        <v>0</v>
      </c>
      <c r="P16" s="154">
        <v>0</v>
      </c>
      <c r="Q16" s="154">
        <v>0</v>
      </c>
      <c r="R16" s="154">
        <v>0</v>
      </c>
      <c r="S16" s="154">
        <f t="shared" ref="S16:S18" si="10">SUM(O16:R16)</f>
        <v>0</v>
      </c>
      <c r="T16" s="160"/>
      <c r="U16" s="217">
        <f>+C16+I16+O16</f>
        <v>9163</v>
      </c>
      <c r="V16" s="217">
        <f t="shared" ref="V16:V19" si="11">+D16+J16+P16</f>
        <v>22504</v>
      </c>
      <c r="W16" s="217">
        <f t="shared" ref="W16:W19" si="12">+E16+K16+Q16</f>
        <v>135</v>
      </c>
      <c r="X16" s="217">
        <f t="shared" ref="X16:X19" si="13">+F16+L16+R16</f>
        <v>135</v>
      </c>
      <c r="Y16" s="154">
        <f t="shared" ref="Y16:Y19" si="14">+G16+M16+S16</f>
        <v>31937</v>
      </c>
      <c r="AA16" s="213">
        <v>6810</v>
      </c>
      <c r="AB16" s="213">
        <v>9260</v>
      </c>
      <c r="AC16" s="213" t="s">
        <v>237</v>
      </c>
      <c r="AD16" s="214"/>
    </row>
    <row r="17" spans="1:30" ht="15" x14ac:dyDescent="0.25">
      <c r="A17" s="149" t="s">
        <v>75</v>
      </c>
      <c r="B17" s="194"/>
      <c r="C17" s="161">
        <v>0</v>
      </c>
      <c r="D17" s="161">
        <v>0</v>
      </c>
      <c r="E17" s="161">
        <v>0</v>
      </c>
      <c r="F17" s="161">
        <v>0</v>
      </c>
      <c r="G17" s="161">
        <f t="shared" si="9"/>
        <v>0</v>
      </c>
      <c r="H17" s="160"/>
      <c r="I17" s="161">
        <f>+Detail!R64</f>
        <v>6128</v>
      </c>
      <c r="J17" s="161">
        <f>+Detail!S64</f>
        <v>15049</v>
      </c>
      <c r="K17" s="161">
        <f>+Detail!T64</f>
        <v>90</v>
      </c>
      <c r="L17" s="161">
        <f>+Detail!U64</f>
        <v>90</v>
      </c>
      <c r="M17" s="161">
        <f t="shared" ref="M17:M20" si="15">SUM(I17:L17)</f>
        <v>21357</v>
      </c>
      <c r="N17" s="160"/>
      <c r="O17" s="161">
        <v>0</v>
      </c>
      <c r="P17" s="161">
        <v>0</v>
      </c>
      <c r="Q17" s="161">
        <v>0</v>
      </c>
      <c r="R17" s="161">
        <v>0</v>
      </c>
      <c r="S17" s="161">
        <f t="shared" si="10"/>
        <v>0</v>
      </c>
      <c r="T17" s="160"/>
      <c r="U17" s="219">
        <f t="shared" ref="U17:U19" si="16">+C17+I17+O17</f>
        <v>6128</v>
      </c>
      <c r="V17" s="219">
        <f t="shared" si="11"/>
        <v>15049</v>
      </c>
      <c r="W17" s="219">
        <f t="shared" si="12"/>
        <v>90</v>
      </c>
      <c r="X17" s="219">
        <f t="shared" si="13"/>
        <v>90</v>
      </c>
      <c r="Y17" s="161">
        <f t="shared" si="14"/>
        <v>21357</v>
      </c>
      <c r="AA17" s="213">
        <v>7420</v>
      </c>
      <c r="AB17" s="213">
        <v>9302</v>
      </c>
      <c r="AC17" s="213" t="s">
        <v>237</v>
      </c>
      <c r="AD17" s="214"/>
    </row>
    <row r="18" spans="1:30" ht="15" x14ac:dyDescent="0.25">
      <c r="A18" s="149" t="s">
        <v>35</v>
      </c>
      <c r="B18" s="194"/>
      <c r="C18" s="161">
        <f>+Detail!R30</f>
        <v>-11704</v>
      </c>
      <c r="D18" s="161">
        <f>+Detail!S30</f>
        <v>44360</v>
      </c>
      <c r="E18" s="161">
        <f>+Detail!T30</f>
        <v>0</v>
      </c>
      <c r="F18" s="161">
        <f>+Detail!U30</f>
        <v>0</v>
      </c>
      <c r="G18" s="161">
        <f>SUM(C18:F18)</f>
        <v>32656</v>
      </c>
      <c r="H18" s="160"/>
      <c r="I18" s="161">
        <v>0</v>
      </c>
      <c r="J18" s="161">
        <v>0</v>
      </c>
      <c r="K18" s="161">
        <v>0</v>
      </c>
      <c r="L18" s="161">
        <v>0</v>
      </c>
      <c r="M18" s="161">
        <f t="shared" si="15"/>
        <v>0</v>
      </c>
      <c r="N18" s="160"/>
      <c r="O18" s="161">
        <v>0</v>
      </c>
      <c r="P18" s="161">
        <v>0</v>
      </c>
      <c r="Q18" s="161">
        <v>0</v>
      </c>
      <c r="R18" s="161">
        <v>0</v>
      </c>
      <c r="S18" s="161">
        <f t="shared" si="10"/>
        <v>0</v>
      </c>
      <c r="T18" s="160"/>
      <c r="U18" s="219">
        <f t="shared" si="16"/>
        <v>-11704</v>
      </c>
      <c r="V18" s="219">
        <f t="shared" si="11"/>
        <v>44360</v>
      </c>
      <c r="W18" s="219">
        <f t="shared" si="12"/>
        <v>0</v>
      </c>
      <c r="X18" s="219">
        <f t="shared" si="13"/>
        <v>0</v>
      </c>
      <c r="Y18" s="161">
        <f t="shared" si="14"/>
        <v>32656</v>
      </c>
      <c r="AA18" s="213">
        <v>7790</v>
      </c>
      <c r="AB18" s="213">
        <v>9210</v>
      </c>
      <c r="AC18" s="213" t="s">
        <v>237</v>
      </c>
    </row>
    <row r="19" spans="1:30" ht="15" x14ac:dyDescent="0.25">
      <c r="A19" s="150" t="s">
        <v>193</v>
      </c>
      <c r="B19" s="195"/>
      <c r="C19" s="161">
        <f>+Detail!R39</f>
        <v>108904</v>
      </c>
      <c r="D19" s="161">
        <f>+Detail!S39</f>
        <v>197145</v>
      </c>
      <c r="E19" s="161">
        <f>+Detail!T39</f>
        <v>5454</v>
      </c>
      <c r="F19" s="161">
        <f>+Detail!U39</f>
        <v>4821</v>
      </c>
      <c r="G19" s="161">
        <f>SUM(C19:F19)</f>
        <v>316324</v>
      </c>
      <c r="H19" s="160"/>
      <c r="I19" s="161">
        <f>+SUM(Detail!R65:R67)</f>
        <v>52693</v>
      </c>
      <c r="J19" s="161">
        <f>+SUM(Detail!S65:S67)</f>
        <v>129409</v>
      </c>
      <c r="K19" s="161">
        <f>+SUM(Detail!T65:T67)</f>
        <v>775</v>
      </c>
      <c r="L19" s="161">
        <f>+SUM(Detail!U65:U67)</f>
        <v>775</v>
      </c>
      <c r="M19" s="161">
        <f t="shared" si="15"/>
        <v>183652</v>
      </c>
      <c r="N19" s="160"/>
      <c r="O19" s="161">
        <f>SUM(Detail!R90:R92)</f>
        <v>13002</v>
      </c>
      <c r="P19" s="161">
        <f>SUM(Detail!S90:S92)</f>
        <v>31931</v>
      </c>
      <c r="Q19" s="161">
        <f>SUM(Detail!T90:T92)</f>
        <v>191</v>
      </c>
      <c r="R19" s="161">
        <f>SUM(Detail!U90:U92)</f>
        <v>191</v>
      </c>
      <c r="S19" s="161">
        <f>SUM(O19:R19)</f>
        <v>45315</v>
      </c>
      <c r="T19" s="160"/>
      <c r="U19" s="219">
        <f t="shared" si="16"/>
        <v>174599</v>
      </c>
      <c r="V19" s="219">
        <f t="shared" si="11"/>
        <v>358485</v>
      </c>
      <c r="W19" s="219">
        <f t="shared" si="12"/>
        <v>6420</v>
      </c>
      <c r="X19" s="219">
        <f t="shared" si="13"/>
        <v>5787</v>
      </c>
      <c r="Y19" s="161">
        <f t="shared" si="14"/>
        <v>545291</v>
      </c>
      <c r="AA19" s="213" t="s">
        <v>240</v>
      </c>
      <c r="AB19" s="213">
        <v>9210</v>
      </c>
      <c r="AC19" s="213" t="s">
        <v>237</v>
      </c>
    </row>
    <row r="20" spans="1:30" ht="15" x14ac:dyDescent="0.25">
      <c r="A20" s="148" t="s">
        <v>45</v>
      </c>
      <c r="B20" s="196"/>
      <c r="C20" s="161">
        <f>+Detail!R40</f>
        <v>-9571</v>
      </c>
      <c r="D20" s="161">
        <f>+Detail!S40</f>
        <v>34991</v>
      </c>
      <c r="E20" s="161">
        <f>+Detail!T40</f>
        <v>308</v>
      </c>
      <c r="F20" s="161">
        <f>+Detail!U40</f>
        <v>-150</v>
      </c>
      <c r="G20" s="161">
        <f>SUM(C20:F20)</f>
        <v>25578</v>
      </c>
      <c r="H20" s="160"/>
      <c r="I20" s="161">
        <f>+Detail!R68</f>
        <v>981</v>
      </c>
      <c r="J20" s="161">
        <f>+Detail!S68</f>
        <v>2408</v>
      </c>
      <c r="K20" s="161">
        <f>+Detail!T68</f>
        <v>14</v>
      </c>
      <c r="L20" s="161">
        <f>+Detail!U68</f>
        <v>14</v>
      </c>
      <c r="M20" s="161">
        <f t="shared" si="15"/>
        <v>3417</v>
      </c>
      <c r="N20" s="160"/>
      <c r="O20" s="161">
        <f>+Detail!R93</f>
        <v>181</v>
      </c>
      <c r="P20" s="161">
        <f>+Detail!S93</f>
        <v>444</v>
      </c>
      <c r="Q20" s="161">
        <f>+Detail!T93</f>
        <v>3</v>
      </c>
      <c r="R20" s="161">
        <f>+Detail!U93</f>
        <v>3</v>
      </c>
      <c r="S20" s="161">
        <f t="shared" ref="S20" si="17">SUM(O20:R20)</f>
        <v>631</v>
      </c>
      <c r="T20" s="160"/>
      <c r="U20" s="219">
        <f t="shared" ref="U20" si="18">+C20+I20+O20</f>
        <v>-8409</v>
      </c>
      <c r="V20" s="219">
        <f t="shared" ref="V20" si="19">+D20+J20+P20</f>
        <v>37843</v>
      </c>
      <c r="W20" s="219">
        <f t="shared" ref="W20" si="20">+E20+K20+Q20</f>
        <v>325</v>
      </c>
      <c r="X20" s="219">
        <f t="shared" ref="X20" si="21">+F20+L20+R20</f>
        <v>-133</v>
      </c>
      <c r="Y20" s="161">
        <f t="shared" ref="Y20" si="22">+G20+M20+S20</f>
        <v>29626</v>
      </c>
      <c r="AA20" s="213">
        <v>6310</v>
      </c>
      <c r="AB20" s="213">
        <v>9210</v>
      </c>
      <c r="AC20" s="213" t="s">
        <v>237</v>
      </c>
    </row>
    <row r="21" spans="1:30" ht="15" x14ac:dyDescent="0.25">
      <c r="A21" s="146" t="s">
        <v>194</v>
      </c>
      <c r="B21" s="192"/>
      <c r="C21" s="155">
        <f>SUM(C16:C20)</f>
        <v>87629</v>
      </c>
      <c r="D21" s="155">
        <f t="shared" ref="D21:G21" si="23">SUM(D16:D20)</f>
        <v>276496</v>
      </c>
      <c r="E21" s="155">
        <f t="shared" si="23"/>
        <v>5762</v>
      </c>
      <c r="F21" s="155">
        <f t="shared" si="23"/>
        <v>4671</v>
      </c>
      <c r="G21" s="155">
        <f t="shared" si="23"/>
        <v>374558</v>
      </c>
      <c r="H21" s="160"/>
      <c r="I21" s="155">
        <f>SUM(I16:I20)</f>
        <v>68965</v>
      </c>
      <c r="J21" s="155">
        <f>SUM(J16:J20)</f>
        <v>169370</v>
      </c>
      <c r="K21" s="155">
        <f>SUM(K16:K20)</f>
        <v>1014</v>
      </c>
      <c r="L21" s="155">
        <f>SUM(L16:L20)</f>
        <v>1014</v>
      </c>
      <c r="M21" s="155">
        <f>SUM(M16:M20)</f>
        <v>240363</v>
      </c>
      <c r="N21" s="160"/>
      <c r="O21" s="155">
        <f>SUM(O16:O20)</f>
        <v>13183</v>
      </c>
      <c r="P21" s="155">
        <f>SUM(P16:P20)</f>
        <v>32375</v>
      </c>
      <c r="Q21" s="155">
        <f>SUM(Q16:Q20)</f>
        <v>194</v>
      </c>
      <c r="R21" s="155">
        <f>SUM(R16:R20)</f>
        <v>194</v>
      </c>
      <c r="S21" s="155">
        <f>SUM(S16:S20)</f>
        <v>45946</v>
      </c>
      <c r="T21" s="160"/>
      <c r="U21" s="155">
        <f>SUM(U16:U20)</f>
        <v>169777</v>
      </c>
      <c r="V21" s="155">
        <f>SUM(V16:V20)</f>
        <v>478241</v>
      </c>
      <c r="W21" s="155">
        <f>SUM(W16:W20)</f>
        <v>6970</v>
      </c>
      <c r="X21" s="155">
        <f>SUM(X16:X20)</f>
        <v>5879</v>
      </c>
      <c r="Y21" s="155">
        <f>SUM(Y16:Y20)</f>
        <v>660867</v>
      </c>
    </row>
    <row r="22" spans="1:30" x14ac:dyDescent="0.25">
      <c r="C22" s="154"/>
      <c r="D22" s="154"/>
      <c r="E22" s="154"/>
      <c r="F22" s="154"/>
      <c r="G22" s="154"/>
      <c r="H22" s="160"/>
      <c r="N22" s="160"/>
      <c r="T22" s="160"/>
    </row>
    <row r="23" spans="1:30" x14ac:dyDescent="0.25">
      <c r="A23" s="142" t="s">
        <v>230</v>
      </c>
      <c r="B23" s="190"/>
      <c r="C23" s="183">
        <f>+C13+C21</f>
        <v>59561.24</v>
      </c>
      <c r="D23" s="183">
        <f t="shared" ref="D23:G23" si="24">+D13+D21</f>
        <v>229222.56</v>
      </c>
      <c r="E23" s="183">
        <f t="shared" si="24"/>
        <v>5700</v>
      </c>
      <c r="F23" s="183">
        <f t="shared" si="24"/>
        <v>4611</v>
      </c>
      <c r="G23" s="183">
        <f t="shared" si="24"/>
        <v>299094.8</v>
      </c>
      <c r="H23" s="200"/>
      <c r="I23" s="183">
        <f>+I13+I21</f>
        <v>66784.771080000006</v>
      </c>
      <c r="J23" s="183">
        <f t="shared" ref="J23:M23" si="25">+J13+J21</f>
        <v>164015.61426999999</v>
      </c>
      <c r="K23" s="183">
        <f t="shared" si="25"/>
        <v>981.93781000000001</v>
      </c>
      <c r="L23" s="183">
        <f t="shared" si="25"/>
        <v>981.93781000000001</v>
      </c>
      <c r="M23" s="183">
        <f t="shared" si="25"/>
        <v>232764.26097</v>
      </c>
      <c r="N23" s="200"/>
      <c r="O23" s="183">
        <f>+O13+O21</f>
        <v>13183</v>
      </c>
      <c r="P23" s="183">
        <f t="shared" ref="P23:R23" si="26">+P13+P21</f>
        <v>32375</v>
      </c>
      <c r="Q23" s="183">
        <f t="shared" si="26"/>
        <v>194</v>
      </c>
      <c r="R23" s="183">
        <f t="shared" si="26"/>
        <v>194</v>
      </c>
      <c r="S23" s="183">
        <f>+S13+S21</f>
        <v>45946</v>
      </c>
      <c r="T23" s="200"/>
      <c r="U23" s="154">
        <f>+C23+I23+O23</f>
        <v>139529.01108</v>
      </c>
      <c r="V23" s="154">
        <f t="shared" ref="V23" si="27">+D23+J23+P23</f>
        <v>425613.17426999996</v>
      </c>
      <c r="W23" s="154">
        <f t="shared" ref="W23" si="28">+E23+K23+Q23</f>
        <v>6875.9378100000004</v>
      </c>
      <c r="X23" s="154">
        <f t="shared" ref="X23" si="29">+F23+L23+R23</f>
        <v>5786.9378100000004</v>
      </c>
      <c r="Y23" s="154">
        <f t="shared" ref="Y23" si="30">+G23+M23+S23</f>
        <v>577805.06096999999</v>
      </c>
    </row>
    <row r="24" spans="1:30" x14ac:dyDescent="0.25">
      <c r="A24" s="142"/>
      <c r="B24" s="190"/>
      <c r="C24" s="199"/>
      <c r="D24" s="199"/>
      <c r="E24" s="199"/>
      <c r="F24" s="199"/>
      <c r="G24" s="156"/>
      <c r="H24" s="160"/>
      <c r="I24" s="199"/>
      <c r="J24" s="199"/>
      <c r="K24" s="199"/>
      <c r="L24" s="199"/>
      <c r="M24" s="156"/>
      <c r="N24" s="160"/>
      <c r="O24" s="199"/>
      <c r="P24" s="199"/>
      <c r="Q24" s="199"/>
      <c r="R24" s="199"/>
      <c r="S24" s="156"/>
      <c r="T24" s="160"/>
      <c r="U24" s="199"/>
      <c r="V24" s="199"/>
      <c r="W24" s="199"/>
      <c r="X24" s="199"/>
      <c r="Y24" s="156"/>
    </row>
    <row r="25" spans="1:30" x14ac:dyDescent="0.25">
      <c r="C25" s="154"/>
      <c r="D25" s="154"/>
      <c r="E25" s="154"/>
      <c r="F25" s="154"/>
      <c r="G25" s="154"/>
      <c r="H25" s="160"/>
      <c r="L25" s="152"/>
      <c r="N25" s="160"/>
      <c r="R25" s="152"/>
      <c r="T25" s="160"/>
      <c r="X25" s="152"/>
    </row>
    <row r="26" spans="1:30" ht="25.5" x14ac:dyDescent="0.25">
      <c r="A26" s="147" t="s">
        <v>222</v>
      </c>
      <c r="B26" s="190">
        <v>2</v>
      </c>
      <c r="C26" s="162">
        <f>+'BU Direct Costs'!T9</f>
        <v>31987</v>
      </c>
      <c r="D26" s="162">
        <f>+'BU Direct Costs'!T33</f>
        <v>188910</v>
      </c>
      <c r="E26" s="162">
        <f>+'BU Direct Costs'!T28</f>
        <v>363</v>
      </c>
      <c r="F26" s="162">
        <f>+'BU Direct Costs'!T26</f>
        <v>416</v>
      </c>
      <c r="G26" s="162">
        <f t="shared" ref="G26" si="31">SUM(C26:F26)</f>
        <v>221676</v>
      </c>
      <c r="H26" s="160"/>
      <c r="I26" s="154">
        <v>0</v>
      </c>
      <c r="J26" s="154">
        <v>0</v>
      </c>
      <c r="K26" s="154">
        <v>0</v>
      </c>
      <c r="L26" s="154">
        <v>0</v>
      </c>
      <c r="M26" s="154">
        <f t="shared" ref="M26" si="32">SUM(I26:L26)</f>
        <v>0</v>
      </c>
      <c r="N26" s="160"/>
      <c r="O26" s="154">
        <v>0</v>
      </c>
      <c r="P26" s="154">
        <v>0</v>
      </c>
      <c r="Q26" s="154">
        <v>0</v>
      </c>
      <c r="R26" s="154">
        <v>0</v>
      </c>
      <c r="S26" s="154">
        <f t="shared" ref="S26" si="33">SUM(O26:R26)</f>
        <v>0</v>
      </c>
      <c r="T26" s="160"/>
      <c r="U26" s="154">
        <f>+C26+I26+O26</f>
        <v>31987</v>
      </c>
      <c r="V26" s="154">
        <f t="shared" ref="V26" si="34">+D26+J26+P26</f>
        <v>188910</v>
      </c>
      <c r="W26" s="154">
        <f t="shared" ref="W26" si="35">+E26+K26+Q26</f>
        <v>363</v>
      </c>
      <c r="X26" s="154">
        <f t="shared" ref="X26" si="36">+F26+L26+R26</f>
        <v>416</v>
      </c>
      <c r="Y26" s="154">
        <f t="shared" ref="Y26" si="37">+G26+M26+S26</f>
        <v>221676</v>
      </c>
      <c r="AA26" s="214"/>
    </row>
    <row r="27" spans="1:30" x14ac:dyDescent="0.25">
      <c r="C27" s="154"/>
      <c r="D27" s="154"/>
      <c r="E27" s="154"/>
      <c r="F27" s="154"/>
      <c r="G27" s="154"/>
      <c r="H27" s="160"/>
      <c r="N27" s="160"/>
      <c r="T27" s="160"/>
    </row>
    <row r="28" spans="1:30" ht="18" thickBot="1" x14ac:dyDescent="0.3">
      <c r="A28" s="142" t="s">
        <v>191</v>
      </c>
      <c r="B28" s="190"/>
      <c r="C28" s="157">
        <f>+C23+C26</f>
        <v>91548.239999999991</v>
      </c>
      <c r="D28" s="157">
        <f t="shared" ref="D28:G28" si="38">+D23+D26</f>
        <v>418132.56</v>
      </c>
      <c r="E28" s="157">
        <f t="shared" si="38"/>
        <v>6063</v>
      </c>
      <c r="F28" s="157">
        <f t="shared" si="38"/>
        <v>5027</v>
      </c>
      <c r="G28" s="157">
        <f t="shared" si="38"/>
        <v>520770.8</v>
      </c>
      <c r="H28" s="160"/>
      <c r="I28" s="157">
        <f>+I23+I26</f>
        <v>66784.771080000006</v>
      </c>
      <c r="J28" s="157">
        <f t="shared" ref="J28:M28" si="39">+J23+J26</f>
        <v>164015.61426999999</v>
      </c>
      <c r="K28" s="157">
        <f t="shared" si="39"/>
        <v>981.93781000000001</v>
      </c>
      <c r="L28" s="157">
        <f t="shared" si="39"/>
        <v>981.93781000000001</v>
      </c>
      <c r="M28" s="157">
        <f t="shared" si="39"/>
        <v>232764.26097</v>
      </c>
      <c r="N28" s="160"/>
      <c r="O28" s="157">
        <f>+O23+O26</f>
        <v>13183</v>
      </c>
      <c r="P28" s="157">
        <f t="shared" ref="P28:S28" si="40">+P23+P26</f>
        <v>32375</v>
      </c>
      <c r="Q28" s="157">
        <f t="shared" si="40"/>
        <v>194</v>
      </c>
      <c r="R28" s="157">
        <f t="shared" si="40"/>
        <v>194</v>
      </c>
      <c r="S28" s="157">
        <f t="shared" si="40"/>
        <v>45946</v>
      </c>
      <c r="T28" s="160"/>
      <c r="U28" s="157">
        <f>+U23+U26</f>
        <v>171516.01108</v>
      </c>
      <c r="V28" s="157">
        <f t="shared" ref="V28:Y28" si="41">+V23+V26</f>
        <v>614523.17426999996</v>
      </c>
      <c r="W28" s="157">
        <f t="shared" si="41"/>
        <v>7238.9378100000004</v>
      </c>
      <c r="X28" s="157">
        <f t="shared" si="41"/>
        <v>6202.9378100000004</v>
      </c>
      <c r="Y28" s="157">
        <f t="shared" si="41"/>
        <v>799481.06096999999</v>
      </c>
    </row>
    <row r="29" spans="1:30" ht="13.5" customHeight="1" thickTop="1" x14ac:dyDescent="0.25">
      <c r="U29" s="163">
        <f>+C28+I28+O28-U28</f>
        <v>0</v>
      </c>
      <c r="V29" s="163">
        <f t="shared" ref="V29:Y29" si="42">+D28+J28+P28-V28</f>
        <v>0</v>
      </c>
      <c r="W29" s="163">
        <f t="shared" si="42"/>
        <v>0</v>
      </c>
      <c r="X29" s="163">
        <f t="shared" si="42"/>
        <v>0</v>
      </c>
      <c r="Y29" s="163">
        <f t="shared" si="42"/>
        <v>0</v>
      </c>
    </row>
    <row r="30" spans="1:30" ht="13.5" customHeight="1" x14ac:dyDescent="0.25">
      <c r="U30" s="224"/>
      <c r="V30" s="224"/>
      <c r="W30" s="224"/>
      <c r="X30" s="224"/>
      <c r="Y30" s="224"/>
    </row>
    <row r="31" spans="1:30" ht="13.5" customHeight="1" x14ac:dyDescent="0.25">
      <c r="A31" s="143" t="s">
        <v>189</v>
      </c>
      <c r="U31" s="163"/>
      <c r="V31" s="163"/>
      <c r="W31" s="163"/>
      <c r="X31" s="163"/>
      <c r="Y31" s="163"/>
    </row>
    <row r="32" spans="1:30" ht="13.5" customHeight="1" x14ac:dyDescent="0.25">
      <c r="U32" s="224"/>
      <c r="V32" s="229"/>
      <c r="W32" s="224"/>
      <c r="X32" s="163"/>
      <c r="Y32" s="163"/>
    </row>
    <row r="33" spans="1:7" x14ac:dyDescent="0.25">
      <c r="A33" t="s">
        <v>221</v>
      </c>
      <c r="C33" s="144"/>
      <c r="D33" s="144"/>
      <c r="E33" s="144"/>
      <c r="F33" s="144"/>
      <c r="G33" s="144"/>
    </row>
    <row r="34" spans="1:7" x14ac:dyDescent="0.25">
      <c r="B34" s="189">
        <v>1</v>
      </c>
      <c r="C34" t="s">
        <v>224</v>
      </c>
    </row>
    <row r="35" spans="1:7" x14ac:dyDescent="0.25">
      <c r="B35" s="190">
        <v>2</v>
      </c>
      <c r="C35" t="s">
        <v>223</v>
      </c>
      <c r="D35" s="144"/>
      <c r="E35" s="144"/>
      <c r="F35" s="144"/>
      <c r="G35" s="144"/>
    </row>
    <row r="36" spans="1:7" x14ac:dyDescent="0.25">
      <c r="C36" s="144"/>
      <c r="D36" s="144"/>
      <c r="E36" s="144"/>
      <c r="F36" s="144"/>
      <c r="G36" s="144"/>
    </row>
    <row r="37" spans="1:7" x14ac:dyDescent="0.25">
      <c r="C37" s="144"/>
      <c r="D37" s="144"/>
      <c r="E37" s="144"/>
      <c r="F37" s="144"/>
      <c r="G37" s="144"/>
    </row>
    <row r="38" spans="1:7" x14ac:dyDescent="0.25">
      <c r="C38" s="144"/>
      <c r="D38" s="144"/>
      <c r="E38" s="144"/>
      <c r="F38" s="144"/>
      <c r="G38" s="144"/>
    </row>
    <row r="39" spans="1:7" x14ac:dyDescent="0.25">
      <c r="C39" s="144"/>
      <c r="D39" s="144"/>
      <c r="E39" s="144"/>
      <c r="F39" s="144"/>
      <c r="G39" s="144"/>
    </row>
    <row r="40" spans="1:7" x14ac:dyDescent="0.25">
      <c r="C40" s="144"/>
      <c r="D40" s="144"/>
      <c r="E40" s="144"/>
      <c r="F40" s="144"/>
      <c r="G40" s="144"/>
    </row>
    <row r="41" spans="1:7" x14ac:dyDescent="0.25">
      <c r="C41" s="144"/>
      <c r="D41" s="144"/>
      <c r="E41" s="144"/>
      <c r="F41" s="144"/>
      <c r="G41" s="144"/>
    </row>
    <row r="42" spans="1:7" x14ac:dyDescent="0.25">
      <c r="C42" s="144"/>
      <c r="D42" s="144"/>
      <c r="E42" s="144"/>
      <c r="F42" s="144"/>
      <c r="G42" s="144"/>
    </row>
    <row r="43" spans="1:7" x14ac:dyDescent="0.25">
      <c r="C43" s="144"/>
      <c r="D43" s="144"/>
      <c r="E43" s="144"/>
      <c r="F43" s="144"/>
      <c r="G43" s="144"/>
    </row>
    <row r="44" spans="1:7" x14ac:dyDescent="0.25">
      <c r="C44" s="144"/>
      <c r="D44" s="144"/>
      <c r="E44" s="144"/>
      <c r="F44" s="144"/>
      <c r="G44" s="144"/>
    </row>
    <row r="45" spans="1:7" x14ac:dyDescent="0.25">
      <c r="C45" s="144"/>
      <c r="D45" s="144"/>
      <c r="E45" s="144"/>
      <c r="F45" s="144"/>
      <c r="G45" s="144"/>
    </row>
  </sheetData>
  <mergeCells count="6">
    <mergeCell ref="C4:G4"/>
    <mergeCell ref="I4:M4"/>
    <mergeCell ref="U4:Y4"/>
    <mergeCell ref="A1:Y1"/>
    <mergeCell ref="A2:Y2"/>
    <mergeCell ref="O4:S4"/>
  </mergeCells>
  <pageMargins left="0.7" right="0.7" top="0.75" bottom="0.75" header="0.3" footer="0.3"/>
  <pageSetup scale="4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5"/>
  <sheetViews>
    <sheetView showGridLines="0" workbookViewId="0">
      <pane xSplit="7" ySplit="8" topLeftCell="Q15" activePane="bottomRight" state="frozen"/>
      <selection activeCell="B1" sqref="B1"/>
      <selection pane="topRight" activeCell="H1" sqref="H1"/>
      <selection pane="bottomLeft" activeCell="B9" sqref="B9"/>
      <selection pane="bottomRight" activeCell="U46" sqref="U46"/>
    </sheetView>
  </sheetViews>
  <sheetFormatPr defaultRowHeight="12.75" outlineLevelRow="1" outlineLevelCol="1" x14ac:dyDescent="0.2"/>
  <cols>
    <col min="1" max="1" width="23.5703125" style="88" hidden="1" customWidth="1" outlineLevel="1"/>
    <col min="2" max="2" width="33.42578125" style="3" customWidth="1" collapsed="1"/>
    <col min="3" max="3" width="14.7109375" style="3" customWidth="1"/>
    <col min="4" max="4" width="12.85546875" style="3" customWidth="1"/>
    <col min="5" max="6" width="12.5703125" style="3" customWidth="1"/>
    <col min="7" max="7" width="9.28515625" style="3" customWidth="1"/>
    <col min="8" max="8" width="12.42578125" style="3" bestFit="1" customWidth="1"/>
    <col min="9" max="9" width="12.85546875" style="3" bestFit="1" customWidth="1"/>
    <col min="10" max="10" width="11.42578125" style="3" bestFit="1" customWidth="1"/>
    <col min="11" max="11" width="11" style="3" bestFit="1" customWidth="1"/>
    <col min="12" max="12" width="12.5703125" style="3" customWidth="1"/>
    <col min="13" max="13" width="14.5703125" style="3" customWidth="1"/>
    <col min="14" max="14" width="14.85546875" style="3" customWidth="1"/>
    <col min="15" max="15" width="14" style="3" bestFit="1" customWidth="1"/>
    <col min="16" max="16" width="44.140625" style="10" customWidth="1"/>
    <col min="17" max="17" width="5.7109375" style="3" bestFit="1" customWidth="1"/>
    <col min="18" max="18" width="13.85546875" style="3" customWidth="1"/>
    <col min="19" max="19" width="11.5703125" style="3" customWidth="1"/>
    <col min="20" max="20" width="11.7109375" style="3" customWidth="1"/>
    <col min="21" max="21" width="10.5703125" style="3" customWidth="1"/>
    <col min="22" max="22" width="10.7109375" style="3" customWidth="1"/>
    <col min="23" max="23" width="9.140625" style="3"/>
    <col min="24" max="24" width="7.7109375" style="3" hidden="1" customWidth="1"/>
    <col min="25" max="25" width="8.7109375" style="3" hidden="1" customWidth="1"/>
    <col min="26" max="26" width="6.7109375" style="3" hidden="1" customWidth="1"/>
    <col min="27" max="27" width="6.28515625" style="3" hidden="1" customWidth="1"/>
    <col min="28" max="28" width="8.7109375" style="3" hidden="1" customWidth="1"/>
    <col min="29" max="29" width="0" style="3" hidden="1" customWidth="1"/>
    <col min="30" max="34" width="8.28515625" style="3" hidden="1" customWidth="1"/>
    <col min="35" max="16384" width="9.140625" style="3"/>
  </cols>
  <sheetData>
    <row r="1" spans="1:40" ht="18" x14ac:dyDescent="0.25">
      <c r="A1" s="1"/>
      <c r="B1" s="2" t="s">
        <v>0</v>
      </c>
      <c r="E1" s="4" t="s">
        <v>231</v>
      </c>
      <c r="F1" s="5"/>
      <c r="G1" s="5"/>
      <c r="H1" s="5"/>
    </row>
    <row r="2" spans="1:40" x14ac:dyDescent="0.2">
      <c r="A2" s="1"/>
      <c r="B2" s="6">
        <v>2021</v>
      </c>
      <c r="E2" s="4">
        <v>12</v>
      </c>
      <c r="F2" s="5"/>
      <c r="G2" s="5"/>
      <c r="H2" s="5"/>
    </row>
    <row r="3" spans="1:40" x14ac:dyDescent="0.2">
      <c r="A3" s="1"/>
      <c r="B3" s="7" t="s">
        <v>1</v>
      </c>
      <c r="F3" s="8"/>
      <c r="G3" s="8"/>
      <c r="H3" s="8"/>
    </row>
    <row r="4" spans="1:40" x14ac:dyDescent="0.2">
      <c r="A4" s="1"/>
      <c r="B4" s="9" t="s">
        <v>2</v>
      </c>
      <c r="H4" s="8"/>
    </row>
    <row r="5" spans="1:40" x14ac:dyDescent="0.2">
      <c r="A5" s="1"/>
      <c r="B5" s="10"/>
      <c r="H5" s="5"/>
    </row>
    <row r="6" spans="1:40" ht="24" customHeight="1" x14ac:dyDescent="0.2">
      <c r="A6" s="1"/>
      <c r="B6" s="7"/>
      <c r="R6" s="228" t="s">
        <v>180</v>
      </c>
      <c r="S6" s="228"/>
      <c r="T6" s="228"/>
      <c r="U6" s="228"/>
      <c r="V6" s="228"/>
      <c r="AD6" s="3" t="s">
        <v>143</v>
      </c>
    </row>
    <row r="7" spans="1:40" ht="24" x14ac:dyDescent="0.2">
      <c r="A7" s="1"/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3" t="s">
        <v>3</v>
      </c>
      <c r="O7" s="13" t="s">
        <v>3</v>
      </c>
      <c r="P7" s="12"/>
      <c r="Q7" s="136"/>
      <c r="R7" s="126"/>
      <c r="S7" s="126"/>
      <c r="T7" s="126"/>
      <c r="U7" s="126"/>
      <c r="V7" s="126"/>
      <c r="X7" s="137" t="s">
        <v>9</v>
      </c>
      <c r="Y7" s="137" t="s">
        <v>10</v>
      </c>
      <c r="Z7" s="137" t="s">
        <v>11</v>
      </c>
      <c r="AA7" s="137" t="s">
        <v>12</v>
      </c>
      <c r="AB7" s="138" t="s">
        <v>3</v>
      </c>
      <c r="AD7" s="137" t="s">
        <v>9</v>
      </c>
      <c r="AE7" s="137" t="s">
        <v>10</v>
      </c>
      <c r="AF7" s="137" t="s">
        <v>11</v>
      </c>
      <c r="AG7" s="137" t="s">
        <v>12</v>
      </c>
      <c r="AH7" s="138" t="s">
        <v>3</v>
      </c>
      <c r="AI7" s="206" t="s">
        <v>233</v>
      </c>
    </row>
    <row r="8" spans="1:40" x14ac:dyDescent="0.2">
      <c r="A8" s="1"/>
      <c r="B8" s="7" t="s">
        <v>4</v>
      </c>
      <c r="C8" s="14"/>
      <c r="D8" s="15" t="s">
        <v>5</v>
      </c>
      <c r="E8" s="15" t="s">
        <v>6</v>
      </c>
      <c r="F8" s="15" t="s">
        <v>7</v>
      </c>
      <c r="G8" s="15" t="s">
        <v>8</v>
      </c>
      <c r="H8" s="15" t="s">
        <v>9</v>
      </c>
      <c r="I8" s="15" t="s">
        <v>10</v>
      </c>
      <c r="J8" s="15" t="s">
        <v>11</v>
      </c>
      <c r="K8" s="15" t="s">
        <v>12</v>
      </c>
      <c r="L8" s="15" t="s">
        <v>13</v>
      </c>
      <c r="M8" s="15" t="s">
        <v>14</v>
      </c>
      <c r="N8" s="16" t="s">
        <v>15</v>
      </c>
      <c r="O8" s="16" t="s">
        <v>177</v>
      </c>
      <c r="P8" s="15" t="s">
        <v>184</v>
      </c>
      <c r="Q8" s="140" t="s">
        <v>187</v>
      </c>
      <c r="R8" s="127" t="s">
        <v>9</v>
      </c>
      <c r="S8" s="127" t="s">
        <v>10</v>
      </c>
      <c r="T8" s="127" t="s">
        <v>11</v>
      </c>
      <c r="U8" s="127" t="s">
        <v>12</v>
      </c>
      <c r="V8" s="127" t="s">
        <v>3</v>
      </c>
      <c r="X8" s="7" t="s">
        <v>185</v>
      </c>
      <c r="Y8" s="7" t="s">
        <v>185</v>
      </c>
      <c r="Z8" s="7" t="s">
        <v>185</v>
      </c>
      <c r="AA8" s="7" t="s">
        <v>185</v>
      </c>
      <c r="AB8" s="7" t="s">
        <v>185</v>
      </c>
      <c r="AD8" s="7" t="s">
        <v>186</v>
      </c>
      <c r="AE8" s="7" t="s">
        <v>186</v>
      </c>
      <c r="AF8" s="7" t="s">
        <v>186</v>
      </c>
      <c r="AG8" s="7" t="s">
        <v>186</v>
      </c>
      <c r="AH8" s="7" t="s">
        <v>186</v>
      </c>
      <c r="AI8" s="3" t="s">
        <v>234</v>
      </c>
      <c r="AJ8" s="209" t="s">
        <v>9</v>
      </c>
      <c r="AK8" s="209" t="s">
        <v>10</v>
      </c>
      <c r="AL8" s="209" t="s">
        <v>11</v>
      </c>
      <c r="AM8" s="209" t="s">
        <v>12</v>
      </c>
      <c r="AN8" s="3" t="s">
        <v>235</v>
      </c>
    </row>
    <row r="9" spans="1:40" ht="15" x14ac:dyDescent="0.25">
      <c r="A9" s="1"/>
      <c r="B9" s="17" t="s">
        <v>16</v>
      </c>
      <c r="C9" s="17" t="s">
        <v>17</v>
      </c>
      <c r="D9" s="18">
        <v>0</v>
      </c>
      <c r="E9" s="18">
        <v>0</v>
      </c>
      <c r="F9" s="18">
        <v>0</v>
      </c>
      <c r="G9" s="19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18">
        <v>0</v>
      </c>
      <c r="O9" s="20">
        <f>SUM(H9:K9)</f>
        <v>0</v>
      </c>
      <c r="P9" s="112"/>
      <c r="Q9"/>
      <c r="R9" s="20">
        <v>0</v>
      </c>
      <c r="S9" s="20">
        <v>0</v>
      </c>
      <c r="T9" s="20">
        <v>0</v>
      </c>
      <c r="U9" s="20">
        <v>0</v>
      </c>
      <c r="V9" s="121">
        <f>SUM(R9:U9)</f>
        <v>0</v>
      </c>
      <c r="W9" s="20"/>
      <c r="X9" s="18"/>
      <c r="Y9" s="20"/>
    </row>
    <row r="10" spans="1:40" ht="15" x14ac:dyDescent="0.25">
      <c r="A10" s="1"/>
      <c r="B10" s="17" t="s">
        <v>18</v>
      </c>
      <c r="C10" s="17" t="s">
        <v>17</v>
      </c>
      <c r="D10" s="21">
        <v>0</v>
      </c>
      <c r="E10" s="21">
        <v>0</v>
      </c>
      <c r="F10" s="21">
        <v>0</v>
      </c>
      <c r="G10" s="22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1">
        <v>0</v>
      </c>
      <c r="O10" s="23">
        <f t="shared" ref="O10:O15" si="0">SUM(H10:K10)</f>
        <v>0</v>
      </c>
      <c r="P10" s="112"/>
      <c r="Q10"/>
      <c r="R10" s="24"/>
      <c r="S10" s="24"/>
      <c r="T10" s="24"/>
      <c r="U10" s="24"/>
      <c r="V10" s="121"/>
    </row>
    <row r="11" spans="1:40" ht="15" x14ac:dyDescent="0.25">
      <c r="A11" s="1"/>
      <c r="B11" s="17" t="s">
        <v>19</v>
      </c>
      <c r="C11" s="17" t="s">
        <v>17</v>
      </c>
      <c r="D11" s="21">
        <v>0</v>
      </c>
      <c r="E11" s="21">
        <v>0</v>
      </c>
      <c r="F11" s="21">
        <v>0</v>
      </c>
      <c r="G11" s="22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1">
        <v>0</v>
      </c>
      <c r="O11" s="23">
        <f t="shared" si="0"/>
        <v>0</v>
      </c>
      <c r="P11" s="112"/>
      <c r="Q11"/>
      <c r="R11" s="24"/>
      <c r="S11" s="24"/>
      <c r="T11" s="24"/>
      <c r="U11" s="24"/>
      <c r="V11" s="121"/>
    </row>
    <row r="12" spans="1:40" ht="15" x14ac:dyDescent="0.25">
      <c r="A12" s="1"/>
      <c r="B12" s="17" t="s">
        <v>20</v>
      </c>
      <c r="C12" s="17"/>
      <c r="D12" s="24">
        <v>51673.777385999994</v>
      </c>
      <c r="E12" s="24">
        <v>17224.592462000001</v>
      </c>
      <c r="F12" s="24">
        <v>20669.510954400001</v>
      </c>
      <c r="G12" s="25"/>
      <c r="H12" s="24">
        <v>33464.922497600004</v>
      </c>
      <c r="I12" s="24">
        <v>82185.9126044</v>
      </c>
      <c r="J12" s="24">
        <v>492.13121319999999</v>
      </c>
      <c r="K12" s="24">
        <v>492.13121319999999</v>
      </c>
      <c r="L12" s="24">
        <v>112205.91660959995</v>
      </c>
      <c r="M12" s="24">
        <v>38386.234629600003</v>
      </c>
      <c r="N12" s="24">
        <v>356795.12956999993</v>
      </c>
      <c r="O12" s="24">
        <f t="shared" si="0"/>
        <v>116635.09752840002</v>
      </c>
      <c r="P12" s="112" t="s">
        <v>176</v>
      </c>
      <c r="Q12"/>
      <c r="R12" s="24"/>
      <c r="S12" s="24"/>
      <c r="T12" s="24"/>
      <c r="U12" s="24"/>
      <c r="V12" s="121"/>
    </row>
    <row r="13" spans="1:40" ht="15" x14ac:dyDescent="0.25">
      <c r="A13" s="1"/>
      <c r="B13" s="17" t="s">
        <v>21</v>
      </c>
      <c r="C13" s="17" t="s">
        <v>17</v>
      </c>
      <c r="D13" s="24">
        <v>0</v>
      </c>
      <c r="E13" s="24">
        <v>0</v>
      </c>
      <c r="F13" s="24">
        <v>0</v>
      </c>
      <c r="G13" s="25"/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4">
        <v>0</v>
      </c>
      <c r="O13" s="27">
        <f t="shared" si="0"/>
        <v>0</v>
      </c>
      <c r="P13" s="112"/>
      <c r="Q13"/>
      <c r="R13" s="24"/>
      <c r="S13" s="24"/>
      <c r="T13" s="24"/>
      <c r="U13" s="24"/>
      <c r="V13" s="121"/>
      <c r="W13" s="30"/>
    </row>
    <row r="14" spans="1:40" ht="15" x14ac:dyDescent="0.25">
      <c r="A14" s="1"/>
      <c r="B14" s="17" t="s">
        <v>22</v>
      </c>
      <c r="C14" s="17"/>
      <c r="D14" s="24">
        <v>108826.66666666667</v>
      </c>
      <c r="E14" s="24">
        <v>39013.333333333336</v>
      </c>
      <c r="F14" s="24">
        <v>42093.333333333336</v>
      </c>
      <c r="G14" s="25"/>
      <c r="H14" s="27">
        <v>68786.666666666672</v>
      </c>
      <c r="I14" s="27">
        <v>173506.66666666669</v>
      </c>
      <c r="J14" s="27">
        <v>1026.6666666666667</v>
      </c>
      <c r="K14" s="27">
        <v>1026.6666666666667</v>
      </c>
      <c r="L14" s="27">
        <v>242293.33333333334</v>
      </c>
      <c r="M14" s="27">
        <v>88293.333333333328</v>
      </c>
      <c r="N14" s="24">
        <v>764866.66666666674</v>
      </c>
      <c r="O14" s="27">
        <f>SUM(H14:K14)</f>
        <v>244346.66666666669</v>
      </c>
      <c r="P14" s="112" t="s">
        <v>182</v>
      </c>
      <c r="Q14"/>
      <c r="R14" s="24"/>
      <c r="S14" s="24"/>
      <c r="T14" s="24"/>
      <c r="U14" s="24"/>
      <c r="V14" s="121"/>
      <c r="W14" s="30"/>
    </row>
    <row r="15" spans="1:40" ht="15" x14ac:dyDescent="0.25">
      <c r="A15" s="1"/>
      <c r="B15" s="31" t="s">
        <v>23</v>
      </c>
      <c r="C15" s="31" t="s">
        <v>24</v>
      </c>
      <c r="D15" s="29">
        <v>23515.329999999998</v>
      </c>
      <c r="E15" s="29">
        <v>4710.6399999999994</v>
      </c>
      <c r="F15" s="29">
        <v>4508.17</v>
      </c>
      <c r="G15" s="29">
        <v>0</v>
      </c>
      <c r="H15" s="29">
        <v>4224.7700000000041</v>
      </c>
      <c r="I15" s="29">
        <v>-134135.12</v>
      </c>
      <c r="J15" s="29">
        <v>-301</v>
      </c>
      <c r="K15" s="29">
        <v>-356</v>
      </c>
      <c r="L15" s="29">
        <v>25802.62</v>
      </c>
      <c r="M15" s="29">
        <v>-38574.9</v>
      </c>
      <c r="N15" s="29">
        <v>-110605.48999999999</v>
      </c>
      <c r="O15" s="29">
        <f t="shared" si="0"/>
        <v>-130567.34999999999</v>
      </c>
      <c r="P15" s="133" t="s">
        <v>178</v>
      </c>
      <c r="Q15" s="124"/>
      <c r="R15" s="24">
        <f>-SUMIFS('BU Direct Costs'!$V$6:$V$33,'BU Direct Costs'!$B$6:$B$33,'BU Direct Costs'!$B$6)</f>
        <v>-28067.760000000002</v>
      </c>
      <c r="S15" s="24">
        <f>-SUMIFS('BU Direct Costs'!$V$6:$V$33,'BU Direct Costs'!$B$6:$B$33,'BU Direct Costs'!$B$30)</f>
        <v>-47273.440000000002</v>
      </c>
      <c r="T15" s="24">
        <f>-SUMIFS('BU Direct Costs'!$V$6:$V$33,'BU Direct Costs'!$B$6:$B$33,'BU Direct Costs'!$B$27)</f>
        <v>-62</v>
      </c>
      <c r="U15" s="24">
        <f>-SUMIFS('BU Direct Costs'!$V$6:$V$33,'BU Direct Costs'!$B$6:$B$33,'BU Direct Costs'!$B$25)</f>
        <v>-60</v>
      </c>
      <c r="V15" s="121">
        <f>SUM(R15:U15)</f>
        <v>-75463.200000000012</v>
      </c>
    </row>
    <row r="16" spans="1:40" ht="15" x14ac:dyDescent="0.25">
      <c r="A16" s="1"/>
      <c r="B16" s="31" t="s">
        <v>25</v>
      </c>
      <c r="C16" s="31" t="s">
        <v>26</v>
      </c>
      <c r="D16" s="123">
        <v>14204.778</v>
      </c>
      <c r="E16" s="123">
        <v>4734.9260000000004</v>
      </c>
      <c r="F16" s="123">
        <v>5681.9112000000005</v>
      </c>
      <c r="G16" s="123"/>
      <c r="H16" s="123">
        <v>9199.2848000000013</v>
      </c>
      <c r="I16" s="123">
        <v>22592.361200000003</v>
      </c>
      <c r="J16" s="123">
        <v>135.28360000000001</v>
      </c>
      <c r="K16" s="123">
        <v>135.28360000000001</v>
      </c>
      <c r="L16" s="123">
        <v>30844.660799999987</v>
      </c>
      <c r="M16" s="123">
        <v>10552.120800000001</v>
      </c>
      <c r="N16" s="123">
        <v>98080.609999999986</v>
      </c>
      <c r="O16" s="123">
        <f>SUM(H16:K16)</f>
        <v>32062.213200000002</v>
      </c>
      <c r="P16" s="133" t="s">
        <v>179</v>
      </c>
      <c r="Q16" s="124"/>
      <c r="R16" s="24">
        <f>-'Corp Direct Costs'!$V$54*Detail!H19</f>
        <v>-2180.22892</v>
      </c>
      <c r="S16" s="24">
        <f>-'Corp Direct Costs'!$V$54*Detail!I19</f>
        <v>-5354.38573</v>
      </c>
      <c r="T16" s="24">
        <f>-'Corp Direct Costs'!$V$54*Detail!J19</f>
        <v>-32.062190000000001</v>
      </c>
      <c r="U16" s="24">
        <f>-'Corp Direct Costs'!$V$54*Detail!K19</f>
        <v>-32.062190000000001</v>
      </c>
      <c r="V16" s="121">
        <f>SUM(R16:U16)</f>
        <v>-7598.7390299999988</v>
      </c>
    </row>
    <row r="17" spans="1:40" ht="15.75" thickBot="1" x14ac:dyDescent="0.3">
      <c r="A17" s="1"/>
      <c r="B17" s="32" t="s">
        <v>27</v>
      </c>
      <c r="C17" s="17"/>
      <c r="D17" s="33">
        <v>198220.55205266664</v>
      </c>
      <c r="E17" s="33">
        <v>65683.491795333335</v>
      </c>
      <c r="F17" s="33">
        <v>72952.925487733344</v>
      </c>
      <c r="G17" s="33">
        <v>0</v>
      </c>
      <c r="H17" s="33">
        <v>115675.6439642667</v>
      </c>
      <c r="I17" s="33">
        <v>144149.82047106672</v>
      </c>
      <c r="J17" s="33">
        <v>1353.0814798666668</v>
      </c>
      <c r="K17" s="33">
        <v>1298.0814798666668</v>
      </c>
      <c r="L17" s="33">
        <v>411146.53074293333</v>
      </c>
      <c r="M17" s="33">
        <v>98656.788762933342</v>
      </c>
      <c r="N17" s="33">
        <v>1109136.9162366665</v>
      </c>
      <c r="O17" s="33">
        <f>SUM(O9:O16)</f>
        <v>262476.62739506672</v>
      </c>
      <c r="P17" s="112"/>
      <c r="Q17"/>
      <c r="R17" s="24"/>
      <c r="S17" s="24"/>
      <c r="T17" s="24"/>
      <c r="U17" s="24"/>
      <c r="V17" s="121"/>
      <c r="X17" s="10"/>
    </row>
    <row r="18" spans="1:40" ht="15.75" thickTop="1" x14ac:dyDescent="0.25">
      <c r="A18" s="1"/>
      <c r="B18" s="10"/>
      <c r="C18" s="10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35"/>
      <c r="P18" s="134"/>
      <c r="Q18" s="21"/>
      <c r="R18" s="49"/>
      <c r="S18" s="49"/>
      <c r="T18" s="49"/>
      <c r="U18" s="49"/>
      <c r="V18" s="11"/>
      <c r="Y18" s="23"/>
      <c r="Z18" s="23"/>
      <c r="AA18" s="36"/>
      <c r="AB18" s="37"/>
    </row>
    <row r="19" spans="1:40" x14ac:dyDescent="0.2">
      <c r="A19" s="1"/>
      <c r="B19" s="38" t="s">
        <v>28</v>
      </c>
      <c r="C19" s="10"/>
      <c r="D19" s="39">
        <v>0.105</v>
      </c>
      <c r="E19" s="39">
        <v>3.5000000000000003E-2</v>
      </c>
      <c r="F19" s="39">
        <v>4.2000000000000003E-2</v>
      </c>
      <c r="G19" s="39"/>
      <c r="H19" s="39">
        <v>6.8000000000000005E-2</v>
      </c>
      <c r="I19" s="39">
        <v>0.16700000000000001</v>
      </c>
      <c r="J19" s="39">
        <v>1E-3</v>
      </c>
      <c r="K19" s="39">
        <v>1E-3</v>
      </c>
      <c r="L19" s="39">
        <v>0.2279999999999999</v>
      </c>
      <c r="M19" s="39">
        <v>7.8E-2</v>
      </c>
      <c r="N19" s="40">
        <v>0.72499999999999987</v>
      </c>
      <c r="O19" s="40">
        <f>SUM(H19:K19)</f>
        <v>0.23700000000000002</v>
      </c>
      <c r="P19" s="40"/>
      <c r="Q19" s="40"/>
      <c r="R19" s="49"/>
      <c r="S19" s="49"/>
      <c r="T19" s="49"/>
      <c r="U19" s="49"/>
      <c r="V19" s="11"/>
      <c r="AA19" s="36"/>
    </row>
    <row r="20" spans="1:40" x14ac:dyDescent="0.2">
      <c r="A20" s="1"/>
      <c r="B20" s="41" t="s">
        <v>29</v>
      </c>
      <c r="R20" s="49"/>
      <c r="S20" s="49"/>
      <c r="T20" s="49"/>
      <c r="U20" s="49"/>
      <c r="V20" s="11"/>
      <c r="X20" s="10"/>
    </row>
    <row r="21" spans="1:40" x14ac:dyDescent="0.2">
      <c r="A21" s="1"/>
      <c r="B21" s="41"/>
      <c r="X21" s="10"/>
    </row>
    <row r="22" spans="1:40" ht="15" x14ac:dyDescent="0.25">
      <c r="A22" s="1"/>
      <c r="B22" s="7" t="s">
        <v>30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35"/>
      <c r="Q22" s="23"/>
      <c r="R22" s="49"/>
      <c r="S22" s="49"/>
      <c r="T22" s="49"/>
      <c r="U22" s="49"/>
      <c r="V22" s="11"/>
      <c r="Y22" s="42"/>
    </row>
    <row r="23" spans="1:40" ht="15" x14ac:dyDescent="0.25">
      <c r="A23" s="1"/>
      <c r="B23" s="10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 t="s">
        <v>3</v>
      </c>
      <c r="R23" s="49"/>
      <c r="S23" s="49"/>
      <c r="T23" s="49"/>
      <c r="U23" s="49"/>
      <c r="V23" s="11"/>
      <c r="Y23" s="42"/>
    </row>
    <row r="24" spans="1:40" x14ac:dyDescent="0.2">
      <c r="A24" s="1"/>
      <c r="D24" s="15" t="s">
        <v>5</v>
      </c>
      <c r="E24" s="15" t="s">
        <v>6</v>
      </c>
      <c r="F24" s="15" t="s">
        <v>7</v>
      </c>
      <c r="G24" s="15" t="s">
        <v>8</v>
      </c>
      <c r="H24" s="15" t="s">
        <v>9</v>
      </c>
      <c r="I24" s="15" t="s">
        <v>10</v>
      </c>
      <c r="J24" s="15" t="s">
        <v>11</v>
      </c>
      <c r="K24" s="15" t="s">
        <v>12</v>
      </c>
      <c r="L24" s="15" t="s">
        <v>13</v>
      </c>
      <c r="M24" s="15" t="s">
        <v>14</v>
      </c>
      <c r="N24" s="16" t="s">
        <v>15</v>
      </c>
      <c r="O24" s="10"/>
      <c r="R24" s="49"/>
      <c r="S24" s="49"/>
      <c r="T24" s="49"/>
      <c r="U24" s="49"/>
      <c r="V24" s="11"/>
      <c r="AJ24" s="207"/>
      <c r="AK24" s="207"/>
      <c r="AL24" s="207"/>
      <c r="AM24" s="207"/>
    </row>
    <row r="25" spans="1:40" ht="15" hidden="1" outlineLevel="1" x14ac:dyDescent="0.25">
      <c r="A25" s="1"/>
      <c r="B25" s="10" t="s">
        <v>31</v>
      </c>
      <c r="C25" s="10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>
        <v>0</v>
      </c>
      <c r="O25" s="10"/>
      <c r="R25" s="120" t="s">
        <v>32</v>
      </c>
      <c r="S25" s="49"/>
      <c r="T25" s="49"/>
      <c r="U25" s="49"/>
      <c r="V25" s="11"/>
      <c r="AJ25" s="207"/>
      <c r="AK25" s="207"/>
      <c r="AL25" s="207"/>
      <c r="AM25" s="207"/>
    </row>
    <row r="26" spans="1:40" ht="15" hidden="1" outlineLevel="1" x14ac:dyDescent="0.25">
      <c r="A26" s="1"/>
      <c r="B26" s="10" t="s">
        <v>18</v>
      </c>
      <c r="C26" s="1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>
        <v>0</v>
      </c>
      <c r="O26" s="10"/>
      <c r="R26" s="120" t="s">
        <v>32</v>
      </c>
      <c r="S26" s="49"/>
      <c r="T26" s="49"/>
      <c r="U26" s="49"/>
      <c r="V26" s="11"/>
      <c r="AJ26" s="207"/>
      <c r="AK26" s="207"/>
      <c r="AL26" s="207"/>
      <c r="AM26" s="207"/>
    </row>
    <row r="27" spans="1:40" ht="15" hidden="1" outlineLevel="1" x14ac:dyDescent="0.25">
      <c r="A27" s="1"/>
      <c r="B27" s="10" t="s">
        <v>19</v>
      </c>
      <c r="C27" s="1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0</v>
      </c>
      <c r="O27" s="10"/>
      <c r="R27" s="120" t="s">
        <v>32</v>
      </c>
      <c r="S27" s="49"/>
      <c r="T27" s="49"/>
      <c r="U27" s="49"/>
      <c r="V27" s="11"/>
      <c r="AJ27" s="207"/>
      <c r="AK27" s="207"/>
      <c r="AL27" s="207"/>
      <c r="AM27" s="207"/>
    </row>
    <row r="28" spans="1:40" ht="15" hidden="1" outlineLevel="1" x14ac:dyDescent="0.25">
      <c r="A28" s="1"/>
      <c r="B28" s="10" t="s">
        <v>20</v>
      </c>
      <c r="C28" s="1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>
        <v>0</v>
      </c>
      <c r="O28" s="10"/>
      <c r="R28" s="17"/>
      <c r="S28" s="49"/>
      <c r="T28" s="49"/>
      <c r="U28" s="49"/>
      <c r="V28" s="11"/>
      <c r="AJ28" s="207"/>
      <c r="AK28" s="207"/>
      <c r="AL28" s="207"/>
      <c r="AM28" s="207"/>
    </row>
    <row r="29" spans="1:40" collapsed="1" x14ac:dyDescent="0.2">
      <c r="A29" s="1"/>
      <c r="B29" s="10" t="s">
        <v>33</v>
      </c>
      <c r="C29" s="10"/>
      <c r="D29" s="24">
        <v>-18685.616666666665</v>
      </c>
      <c r="E29" s="24">
        <v>-8164.916666666667</v>
      </c>
      <c r="F29" s="24">
        <v>-9245.8099999999977</v>
      </c>
      <c r="G29" s="25">
        <v>1645.22</v>
      </c>
      <c r="H29" s="24">
        <v>-31692.253333333341</v>
      </c>
      <c r="I29" s="24">
        <v>-75250.420000000013</v>
      </c>
      <c r="J29" s="24">
        <v>-1859.0900000000001</v>
      </c>
      <c r="K29" s="24">
        <v>-1593.25</v>
      </c>
      <c r="L29" s="24">
        <v>-24923.826666666668</v>
      </c>
      <c r="M29" s="24">
        <v>-25978.199999999997</v>
      </c>
      <c r="N29" s="43">
        <v>-195748.16333333333</v>
      </c>
      <c r="O29" s="10" t="s">
        <v>34</v>
      </c>
      <c r="P29" s="10" t="s">
        <v>183</v>
      </c>
      <c r="R29" s="49"/>
      <c r="S29" s="49"/>
      <c r="T29" s="49"/>
      <c r="U29" s="49"/>
      <c r="V29" s="11"/>
      <c r="AJ29" s="207"/>
      <c r="AK29" s="207"/>
      <c r="AL29" s="207"/>
      <c r="AM29" s="207"/>
    </row>
    <row r="30" spans="1:40" x14ac:dyDescent="0.2">
      <c r="A30" s="1"/>
      <c r="B30" s="10" t="s">
        <v>35</v>
      </c>
      <c r="C30" s="10"/>
      <c r="D30" s="24">
        <v>-13621.353333333318</v>
      </c>
      <c r="E30" s="24">
        <v>-7221.3933333333262</v>
      </c>
      <c r="F30" s="24">
        <v>-13257.443333333329</v>
      </c>
      <c r="G30" s="25"/>
      <c r="H30" s="24">
        <v>11704.243333333317</v>
      </c>
      <c r="I30" s="24">
        <v>-44359.63333333336</v>
      </c>
      <c r="J30" s="24"/>
      <c r="K30" s="24"/>
      <c r="L30" s="24"/>
      <c r="M30" s="24">
        <v>-24866.179999999935</v>
      </c>
      <c r="N30" s="24">
        <v>-91621.759999999951</v>
      </c>
      <c r="O30" s="5"/>
      <c r="P30" s="112" t="s">
        <v>226</v>
      </c>
      <c r="Q30" s="211">
        <v>1</v>
      </c>
      <c r="R30" s="222">
        <f>-ROUND(H30*$Q30,0)</f>
        <v>-11704</v>
      </c>
      <c r="S30" s="222">
        <f>-ROUND(I30*$Q30,0)</f>
        <v>44360</v>
      </c>
      <c r="T30" s="125">
        <f>-ROUND(J30*$Q30,0)</f>
        <v>0</v>
      </c>
      <c r="U30" s="125">
        <f>-ROUND(K30*$Q30,0)</f>
        <v>0</v>
      </c>
      <c r="V30" s="121">
        <f>SUM(R30:U30)</f>
        <v>32656</v>
      </c>
      <c r="AJ30" s="207">
        <v>-0.19</v>
      </c>
      <c r="AK30" s="207">
        <v>-0.57999999999999996</v>
      </c>
      <c r="AL30" s="207"/>
      <c r="AM30" s="207"/>
      <c r="AN30" s="210">
        <f>AVERAGE(AJ30:AK30)</f>
        <v>-0.38500000000000001</v>
      </c>
    </row>
    <row r="31" spans="1:40" x14ac:dyDescent="0.2">
      <c r="A31" s="1"/>
      <c r="B31" s="10" t="s">
        <v>36</v>
      </c>
      <c r="C31" s="10"/>
      <c r="D31" s="24"/>
      <c r="E31" s="24"/>
      <c r="F31" s="24"/>
      <c r="G31" s="25"/>
      <c r="H31" s="24"/>
      <c r="I31" s="24"/>
      <c r="J31" s="24"/>
      <c r="K31" s="24"/>
      <c r="L31" s="24"/>
      <c r="M31" s="24"/>
      <c r="N31" s="24">
        <v>0</v>
      </c>
      <c r="O31" s="10"/>
      <c r="R31" s="17"/>
      <c r="S31" s="49"/>
      <c r="T31" s="49"/>
      <c r="U31" s="49"/>
      <c r="V31" s="11"/>
      <c r="AJ31" s="207"/>
      <c r="AK31" s="207"/>
      <c r="AL31" s="207"/>
      <c r="AM31" s="207"/>
    </row>
    <row r="32" spans="1:40" x14ac:dyDescent="0.2">
      <c r="A32" s="1"/>
      <c r="B32" s="10" t="s">
        <v>37</v>
      </c>
      <c r="C32" s="10"/>
      <c r="D32" s="24">
        <v>0</v>
      </c>
      <c r="E32" s="24">
        <v>0</v>
      </c>
      <c r="F32" s="24">
        <v>0</v>
      </c>
      <c r="G32" s="25"/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5"/>
      <c r="R32" s="49"/>
      <c r="S32" s="49"/>
      <c r="T32" s="49"/>
      <c r="U32" s="49"/>
      <c r="V32" s="11"/>
      <c r="AJ32" s="207"/>
      <c r="AK32" s="207"/>
      <c r="AL32" s="207"/>
      <c r="AM32" s="207"/>
    </row>
    <row r="33" spans="1:40" x14ac:dyDescent="0.2">
      <c r="A33" s="1"/>
      <c r="B33" s="10" t="s">
        <v>38</v>
      </c>
      <c r="C33" s="10"/>
      <c r="D33" s="24"/>
      <c r="E33" s="24"/>
      <c r="F33" s="24"/>
      <c r="G33" s="25"/>
      <c r="H33" s="24"/>
      <c r="I33" s="24"/>
      <c r="J33" s="24"/>
      <c r="K33" s="24"/>
      <c r="L33" s="24"/>
      <c r="M33" s="24"/>
      <c r="N33" s="24">
        <v>0</v>
      </c>
      <c r="O33" s="10"/>
      <c r="R33" s="49"/>
      <c r="S33" s="49"/>
      <c r="T33" s="49"/>
      <c r="U33" s="49"/>
      <c r="V33" s="11"/>
      <c r="AJ33" s="207"/>
      <c r="AK33" s="207"/>
      <c r="AL33" s="207"/>
      <c r="AM33" s="207"/>
    </row>
    <row r="34" spans="1:40" hidden="1" outlineLevel="1" x14ac:dyDescent="0.2">
      <c r="A34" s="1"/>
      <c r="B34" s="10" t="s">
        <v>39</v>
      </c>
      <c r="C34" s="10"/>
      <c r="D34" s="24"/>
      <c r="E34" s="24"/>
      <c r="F34" s="24"/>
      <c r="G34" s="25"/>
      <c r="H34" s="24"/>
      <c r="I34" s="24"/>
      <c r="J34" s="24"/>
      <c r="K34" s="24"/>
      <c r="L34" s="24"/>
      <c r="M34" s="24"/>
      <c r="N34" s="24">
        <v>0</v>
      </c>
      <c r="O34" s="10"/>
      <c r="R34" s="49"/>
      <c r="S34" s="49"/>
      <c r="T34" s="49"/>
      <c r="U34" s="49"/>
      <c r="V34" s="11"/>
      <c r="AJ34" s="207"/>
      <c r="AK34" s="207"/>
      <c r="AL34" s="207"/>
      <c r="AM34" s="207"/>
    </row>
    <row r="35" spans="1:40" hidden="1" outlineLevel="1" x14ac:dyDescent="0.2">
      <c r="A35" s="1"/>
      <c r="B35" s="10" t="s">
        <v>40</v>
      </c>
      <c r="C35" s="10"/>
      <c r="D35" s="24"/>
      <c r="E35" s="24"/>
      <c r="F35" s="24"/>
      <c r="G35" s="25"/>
      <c r="H35" s="24"/>
      <c r="I35" s="24"/>
      <c r="J35" s="24"/>
      <c r="K35" s="24"/>
      <c r="L35" s="24"/>
      <c r="M35" s="24"/>
      <c r="N35" s="24">
        <v>0</v>
      </c>
      <c r="O35" s="10"/>
      <c r="R35" s="49"/>
      <c r="S35" s="49"/>
      <c r="T35" s="49"/>
      <c r="U35" s="49"/>
      <c r="V35" s="11"/>
      <c r="AJ35" s="207"/>
      <c r="AK35" s="207"/>
      <c r="AL35" s="207"/>
      <c r="AM35" s="207"/>
    </row>
    <row r="36" spans="1:40" hidden="1" outlineLevel="1" x14ac:dyDescent="0.2">
      <c r="A36" s="1"/>
      <c r="B36" s="10" t="s">
        <v>41</v>
      </c>
      <c r="D36" s="24"/>
      <c r="E36" s="24"/>
      <c r="F36" s="24"/>
      <c r="G36" s="25"/>
      <c r="H36" s="24"/>
      <c r="I36" s="24"/>
      <c r="J36" s="24"/>
      <c r="K36" s="24"/>
      <c r="L36" s="24"/>
      <c r="M36" s="24"/>
      <c r="N36" s="24">
        <v>0</v>
      </c>
      <c r="O36" s="10"/>
      <c r="R36" s="49"/>
      <c r="S36" s="49"/>
      <c r="T36" s="49"/>
      <c r="U36" s="49"/>
      <c r="V36" s="11"/>
      <c r="AJ36" s="207"/>
      <c r="AK36" s="207"/>
      <c r="AL36" s="207"/>
      <c r="AM36" s="207"/>
    </row>
    <row r="37" spans="1:40" collapsed="1" x14ac:dyDescent="0.2">
      <c r="A37" s="1"/>
      <c r="B37" s="10" t="s">
        <v>42</v>
      </c>
      <c r="D37" s="24"/>
      <c r="E37" s="24"/>
      <c r="F37" s="24"/>
      <c r="G37" s="25"/>
      <c r="H37" s="24"/>
      <c r="I37" s="24"/>
      <c r="J37" s="24"/>
      <c r="K37" s="24"/>
      <c r="L37" s="24"/>
      <c r="M37" s="24">
        <v>0</v>
      </c>
      <c r="N37" s="24">
        <v>0</v>
      </c>
      <c r="O37" s="8"/>
      <c r="R37" s="49"/>
      <c r="S37" s="49"/>
      <c r="T37" s="49"/>
      <c r="U37" s="49"/>
      <c r="V37" s="11"/>
      <c r="X37" s="125"/>
      <c r="Y37" s="125"/>
      <c r="Z37" s="125"/>
      <c r="AA37" s="125"/>
      <c r="AB37" s="121"/>
      <c r="AJ37" s="207"/>
      <c r="AK37" s="207"/>
      <c r="AL37" s="207"/>
      <c r="AM37" s="207"/>
    </row>
    <row r="38" spans="1:40" hidden="1" outlineLevel="1" x14ac:dyDescent="0.2">
      <c r="A38" s="1"/>
      <c r="B38" s="10" t="s">
        <v>43</v>
      </c>
      <c r="C38" s="10"/>
      <c r="D38" s="44"/>
      <c r="E38" s="44"/>
      <c r="F38" s="44"/>
      <c r="G38" s="45"/>
      <c r="H38" s="44"/>
      <c r="I38" s="44"/>
      <c r="J38" s="44"/>
      <c r="K38" s="44"/>
      <c r="L38" s="44"/>
      <c r="M38" s="44"/>
      <c r="N38" s="43">
        <v>0</v>
      </c>
      <c r="O38" s="10"/>
      <c r="R38" s="17"/>
      <c r="S38" s="49"/>
      <c r="T38" s="49"/>
      <c r="U38" s="49"/>
      <c r="V38" s="11"/>
      <c r="AB38" s="121">
        <f t="shared" ref="AB38" si="1">SUM(X38:AA38)</f>
        <v>0</v>
      </c>
      <c r="AJ38" s="207"/>
      <c r="AK38" s="207"/>
      <c r="AL38" s="207"/>
      <c r="AM38" s="207"/>
    </row>
    <row r="39" spans="1:40" collapsed="1" x14ac:dyDescent="0.2">
      <c r="A39" s="1"/>
      <c r="B39" s="31" t="s">
        <v>44</v>
      </c>
      <c r="C39" s="26"/>
      <c r="D39" s="29">
        <v>-34118.713333333326</v>
      </c>
      <c r="E39" s="29">
        <v>-7839.563333333339</v>
      </c>
      <c r="F39" s="29">
        <v>-3461.1499999999978</v>
      </c>
      <c r="G39" s="29">
        <v>6921.2899999999981</v>
      </c>
      <c r="H39" s="29">
        <v>-108903.67999999999</v>
      </c>
      <c r="I39" s="29">
        <v>-197145.24666666664</v>
      </c>
      <c r="J39" s="29">
        <v>-5454.253333333334</v>
      </c>
      <c r="K39" s="29">
        <v>-4820.7633333333333</v>
      </c>
      <c r="L39" s="24">
        <v>-140278.13666666666</v>
      </c>
      <c r="M39" s="24">
        <v>-70985.133333333317</v>
      </c>
      <c r="N39" s="43">
        <v>-566085.35</v>
      </c>
      <c r="P39" s="31" t="s">
        <v>181</v>
      </c>
      <c r="Q39" s="211">
        <v>1</v>
      </c>
      <c r="R39" s="222">
        <f>-ROUND(H39*$Q39,0)</f>
        <v>108904</v>
      </c>
      <c r="S39" s="222">
        <f>-ROUND(I39*$Q39,0)</f>
        <v>197145</v>
      </c>
      <c r="T39" s="222">
        <f>-ROUND(J39*$Q39,0)</f>
        <v>5454</v>
      </c>
      <c r="U39" s="222">
        <f>-ROUND(K39*$Q39,0)</f>
        <v>4821</v>
      </c>
      <c r="V39" s="121">
        <f>SUM(R39:U39)</f>
        <v>316324</v>
      </c>
      <c r="X39" s="125">
        <v>58908</v>
      </c>
      <c r="Y39" s="125">
        <v>118342</v>
      </c>
      <c r="Z39" s="125">
        <v>1106</v>
      </c>
      <c r="AA39" s="125">
        <v>969</v>
      </c>
      <c r="AB39" s="121">
        <f>SUM(X39:AA39)</f>
        <v>179325</v>
      </c>
      <c r="AC39" s="36">
        <f>+AB39*0.97/12*11</f>
        <v>159449.8125</v>
      </c>
      <c r="AJ39" s="207">
        <v>-0.76</v>
      </c>
      <c r="AK39" s="207">
        <v>-0.74</v>
      </c>
      <c r="AL39" s="207">
        <v>-0.88</v>
      </c>
      <c r="AM39" s="207">
        <v>-0.9</v>
      </c>
      <c r="AN39" s="210">
        <f>AVERAGE(AJ39:AM39)</f>
        <v>-0.82</v>
      </c>
    </row>
    <row r="40" spans="1:40" x14ac:dyDescent="0.2">
      <c r="A40" s="1"/>
      <c r="B40" s="8" t="s">
        <v>45</v>
      </c>
      <c r="C40" s="8"/>
      <c r="D40" s="24">
        <v>23775.786666666652</v>
      </c>
      <c r="E40" s="24">
        <v>8546.5199999999895</v>
      </c>
      <c r="F40" s="24">
        <v>-2051.386666666669</v>
      </c>
      <c r="G40" s="25">
        <v>24121.120000000003</v>
      </c>
      <c r="H40" s="24">
        <v>10796.996666666673</v>
      </c>
      <c r="I40" s="24">
        <v>51158.459999999934</v>
      </c>
      <c r="J40" s="24">
        <v>252.35333333333347</v>
      </c>
      <c r="K40" s="24">
        <v>-97.103333333333296</v>
      </c>
      <c r="L40" s="24">
        <v>-5182.7766666667012</v>
      </c>
      <c r="M40" s="24">
        <v>15252.686666666661</v>
      </c>
      <c r="N40" s="43">
        <v>126572.65666666655</v>
      </c>
      <c r="O40" s="10"/>
      <c r="P40" s="112"/>
      <c r="Q40" s="49"/>
      <c r="R40" s="223">
        <f>ROUND(+AD40,0)</f>
        <v>-9571</v>
      </c>
      <c r="S40" s="223">
        <f>ROUND(+AE40,0)</f>
        <v>34991</v>
      </c>
      <c r="T40" s="223">
        <f>ROUND(+AF40,0)</f>
        <v>308</v>
      </c>
      <c r="U40" s="223">
        <f>ROUND(+AG40,0)</f>
        <v>-150</v>
      </c>
      <c r="V40" s="121">
        <f>SUM(R40:U40)</f>
        <v>25578</v>
      </c>
      <c r="X40" s="125">
        <v>51432</v>
      </c>
      <c r="Y40" s="125">
        <v>187245</v>
      </c>
      <c r="Z40" s="125">
        <v>1440</v>
      </c>
      <c r="AA40" s="125">
        <v>497</v>
      </c>
      <c r="AB40" s="121">
        <f>SUM(X40:AA40)</f>
        <v>240614</v>
      </c>
      <c r="AC40" s="36">
        <f>+AB40*0.97/12*11</f>
        <v>213945.9483333333</v>
      </c>
      <c r="AD40" s="125">
        <v>-9571</v>
      </c>
      <c r="AE40" s="125">
        <v>34991</v>
      </c>
      <c r="AF40" s="125">
        <v>308</v>
      </c>
      <c r="AG40" s="125">
        <v>-150</v>
      </c>
      <c r="AH40" s="121">
        <f>SUM(AD40:AG40)</f>
        <v>25578</v>
      </c>
      <c r="AJ40" s="207"/>
      <c r="AK40" s="207"/>
      <c r="AL40" s="207"/>
      <c r="AM40" s="207"/>
    </row>
    <row r="41" spans="1:40" ht="13.5" thickBot="1" x14ac:dyDescent="0.25">
      <c r="A41" s="1"/>
      <c r="B41" s="7" t="s">
        <v>46</v>
      </c>
      <c r="C41" s="10"/>
      <c r="D41" s="33">
        <v>-42649.896666666653</v>
      </c>
      <c r="E41" s="33">
        <v>-14679.353333333343</v>
      </c>
      <c r="F41" s="33">
        <v>-28015.789999999994</v>
      </c>
      <c r="G41" s="33">
        <v>32687.63</v>
      </c>
      <c r="H41" s="33">
        <v>-118094.69333333334</v>
      </c>
      <c r="I41" s="33">
        <v>-265596.84000000008</v>
      </c>
      <c r="J41" s="33">
        <v>-7060.9900000000007</v>
      </c>
      <c r="K41" s="33">
        <v>-6511.1166666666668</v>
      </c>
      <c r="L41" s="33">
        <v>-170384.74000000002</v>
      </c>
      <c r="M41" s="33">
        <v>-106576.82666666659</v>
      </c>
      <c r="N41" s="33">
        <v>-726882.6166666667</v>
      </c>
      <c r="O41" s="10"/>
      <c r="R41" s="49"/>
      <c r="S41" s="49"/>
      <c r="T41" s="49"/>
      <c r="U41" s="49"/>
      <c r="V41" s="11"/>
      <c r="AJ41" s="207"/>
      <c r="AK41" s="207"/>
      <c r="AL41" s="207"/>
      <c r="AM41" s="207"/>
    </row>
    <row r="42" spans="1:40" ht="13.5" thickTop="1" x14ac:dyDescent="0.2">
      <c r="A42" s="1"/>
      <c r="B42" s="10"/>
      <c r="C42" s="10"/>
      <c r="D42" s="46"/>
      <c r="E42" s="47"/>
      <c r="F42" s="48"/>
      <c r="G42" s="47"/>
      <c r="H42" s="46"/>
      <c r="I42" s="46"/>
      <c r="J42" s="46"/>
      <c r="K42" s="46"/>
      <c r="L42" s="46"/>
      <c r="M42" s="46"/>
      <c r="N42" s="46"/>
      <c r="O42" s="17"/>
      <c r="P42" s="17"/>
      <c r="Q42" s="49"/>
      <c r="R42" s="49"/>
      <c r="S42" s="49"/>
      <c r="T42" s="49"/>
      <c r="U42" s="49"/>
      <c r="V42" s="11"/>
    </row>
    <row r="43" spans="1:40" x14ac:dyDescent="0.2">
      <c r="A43" s="1"/>
      <c r="B43" s="10"/>
      <c r="C43" s="10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10"/>
      <c r="R43" s="49"/>
      <c r="S43" s="49"/>
      <c r="T43" s="49"/>
      <c r="U43" s="49"/>
      <c r="V43" s="11"/>
    </row>
    <row r="44" spans="1:40" ht="15" x14ac:dyDescent="0.25">
      <c r="A44" s="1"/>
      <c r="B44" s="7" t="s">
        <v>47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10"/>
      <c r="R44" s="49"/>
      <c r="U44" s="49"/>
      <c r="V44" s="11"/>
    </row>
    <row r="45" spans="1:40" x14ac:dyDescent="0.2">
      <c r="A45" s="1"/>
      <c r="B45" s="10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 t="s">
        <v>3</v>
      </c>
      <c r="O45" s="10"/>
      <c r="R45" s="49"/>
      <c r="S45" s="49"/>
      <c r="T45" s="49"/>
      <c r="U45" s="49"/>
      <c r="V45" s="11"/>
    </row>
    <row r="46" spans="1:40" x14ac:dyDescent="0.2">
      <c r="A46" s="1"/>
      <c r="D46" s="15" t="s">
        <v>5</v>
      </c>
      <c r="E46" s="15" t="s">
        <v>6</v>
      </c>
      <c r="F46" s="15" t="s">
        <v>7</v>
      </c>
      <c r="G46" s="15" t="s">
        <v>8</v>
      </c>
      <c r="H46" s="15" t="s">
        <v>9</v>
      </c>
      <c r="I46" s="15" t="s">
        <v>10</v>
      </c>
      <c r="J46" s="15" t="s">
        <v>11</v>
      </c>
      <c r="K46" s="15" t="s">
        <v>12</v>
      </c>
      <c r="L46" s="15" t="s">
        <v>13</v>
      </c>
      <c r="M46" s="15" t="s">
        <v>14</v>
      </c>
      <c r="N46" s="16" t="s">
        <v>15</v>
      </c>
      <c r="O46" s="10"/>
      <c r="R46" s="49"/>
      <c r="S46" s="49"/>
      <c r="T46" s="49"/>
      <c r="U46" s="49"/>
      <c r="V46" s="11"/>
    </row>
    <row r="47" spans="1:40" ht="15" hidden="1" outlineLevel="1" x14ac:dyDescent="0.25">
      <c r="A47" s="50" t="s">
        <v>48</v>
      </c>
      <c r="B47" s="10" t="s">
        <v>31</v>
      </c>
      <c r="C47" s="10"/>
      <c r="D47" s="24">
        <v>0</v>
      </c>
      <c r="E47" s="24">
        <v>0</v>
      </c>
      <c r="F47" s="24">
        <v>0</v>
      </c>
      <c r="G47" s="51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1">
        <v>0</v>
      </c>
      <c r="O47" s="10"/>
      <c r="R47" s="120"/>
      <c r="S47" s="49"/>
      <c r="T47" s="49"/>
      <c r="U47" s="49"/>
      <c r="V47" s="11"/>
    </row>
    <row r="48" spans="1:40" ht="15" hidden="1" outlineLevel="1" x14ac:dyDescent="0.25">
      <c r="A48" s="50" t="s">
        <v>49</v>
      </c>
      <c r="B48" s="10" t="s">
        <v>50</v>
      </c>
      <c r="C48" s="10"/>
      <c r="D48" s="24">
        <v>0</v>
      </c>
      <c r="E48" s="24">
        <v>0</v>
      </c>
      <c r="F48" s="24">
        <v>0</v>
      </c>
      <c r="G48" s="51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1">
        <v>0</v>
      </c>
      <c r="O48" s="10"/>
      <c r="R48" s="120"/>
      <c r="S48" s="49"/>
      <c r="T48" s="49"/>
      <c r="U48" s="49"/>
      <c r="V48" s="11"/>
    </row>
    <row r="49" spans="1:35" ht="15" hidden="1" outlineLevel="1" x14ac:dyDescent="0.25">
      <c r="A49" s="50" t="s">
        <v>51</v>
      </c>
      <c r="B49" s="10" t="s">
        <v>52</v>
      </c>
      <c r="C49" s="10"/>
      <c r="D49" s="24">
        <v>0</v>
      </c>
      <c r="E49" s="24">
        <v>0</v>
      </c>
      <c r="F49" s="24">
        <v>0</v>
      </c>
      <c r="G49" s="51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1">
        <v>0</v>
      </c>
      <c r="O49" s="10"/>
      <c r="R49" s="120"/>
      <c r="S49" s="49"/>
      <c r="T49" s="49"/>
      <c r="U49" s="49"/>
      <c r="V49" s="11"/>
    </row>
    <row r="50" spans="1:35" ht="15" hidden="1" outlineLevel="1" x14ac:dyDescent="0.25">
      <c r="A50" s="50" t="s">
        <v>53</v>
      </c>
      <c r="B50" s="10" t="s">
        <v>54</v>
      </c>
      <c r="C50" s="10"/>
      <c r="D50" s="24">
        <v>0</v>
      </c>
      <c r="E50" s="24">
        <v>0</v>
      </c>
      <c r="F50" s="24">
        <v>0</v>
      </c>
      <c r="G50" s="51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1">
        <v>0</v>
      </c>
      <c r="O50" s="10"/>
      <c r="R50" s="120"/>
      <c r="S50" s="49"/>
      <c r="T50" s="49"/>
      <c r="U50" s="49"/>
      <c r="V50" s="11"/>
    </row>
    <row r="51" spans="1:35" ht="15" hidden="1" outlineLevel="1" x14ac:dyDescent="0.25">
      <c r="A51" s="50" t="s">
        <v>55</v>
      </c>
      <c r="B51" s="10" t="s">
        <v>19</v>
      </c>
      <c r="C51" s="10"/>
      <c r="D51" s="24">
        <v>0</v>
      </c>
      <c r="E51" s="24">
        <v>0</v>
      </c>
      <c r="F51" s="24">
        <v>0</v>
      </c>
      <c r="G51" s="51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1">
        <v>0</v>
      </c>
      <c r="O51" s="10"/>
      <c r="R51" s="120"/>
      <c r="S51" s="49"/>
      <c r="T51" s="49"/>
      <c r="U51" s="49"/>
      <c r="V51" s="11"/>
    </row>
    <row r="52" spans="1:35" ht="15" hidden="1" outlineLevel="1" x14ac:dyDescent="0.25">
      <c r="A52" s="50" t="s">
        <v>56</v>
      </c>
      <c r="B52" s="10" t="s">
        <v>20</v>
      </c>
      <c r="C52" s="10"/>
      <c r="D52" s="24"/>
      <c r="E52" s="24"/>
      <c r="F52" s="24"/>
      <c r="G52" s="51"/>
      <c r="H52" s="24"/>
      <c r="I52" s="24"/>
      <c r="J52" s="24"/>
      <c r="K52" s="24"/>
      <c r="L52" s="24"/>
      <c r="M52" s="24"/>
      <c r="N52" s="21">
        <v>0</v>
      </c>
      <c r="O52" s="10"/>
      <c r="R52" s="49"/>
      <c r="S52" s="49"/>
      <c r="T52" s="49"/>
      <c r="U52" s="49"/>
      <c r="V52" s="11"/>
    </row>
    <row r="53" spans="1:35" ht="15" hidden="1" outlineLevel="1" x14ac:dyDescent="0.25">
      <c r="A53" s="50" t="s">
        <v>57</v>
      </c>
      <c r="B53" s="10" t="s">
        <v>33</v>
      </c>
      <c r="C53" s="10"/>
      <c r="D53" s="24">
        <v>0</v>
      </c>
      <c r="E53" s="24">
        <v>0</v>
      </c>
      <c r="F53" s="24">
        <v>0</v>
      </c>
      <c r="G53" s="51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1">
        <v>0</v>
      </c>
      <c r="O53" s="10"/>
      <c r="R53" s="49"/>
      <c r="S53" s="49"/>
      <c r="T53" s="49"/>
      <c r="U53" s="49"/>
      <c r="V53" s="11"/>
    </row>
    <row r="54" spans="1:35" ht="15" collapsed="1" x14ac:dyDescent="0.25">
      <c r="A54" s="50" t="s">
        <v>58</v>
      </c>
      <c r="B54" s="10" t="s">
        <v>59</v>
      </c>
      <c r="C54" s="10"/>
      <c r="D54" s="24">
        <v>-11239.651500000004</v>
      </c>
      <c r="E54" s="24">
        <v>-3746.5505000000021</v>
      </c>
      <c r="F54" s="24">
        <v>-4495.8606000000018</v>
      </c>
      <c r="G54" s="24">
        <v>0</v>
      </c>
      <c r="H54" s="24">
        <v>-7279.0124000000033</v>
      </c>
      <c r="I54" s="24">
        <v>-17876.398100000009</v>
      </c>
      <c r="J54" s="24">
        <v>-107.04430000000005</v>
      </c>
      <c r="K54" s="24">
        <v>-107.04430000000005</v>
      </c>
      <c r="L54" s="24">
        <v>-24406.100399999999</v>
      </c>
      <c r="M54" s="24">
        <v>-8349.4554000000044</v>
      </c>
      <c r="N54" s="28">
        <v>-77607.117500000022</v>
      </c>
      <c r="O54" s="52" t="s">
        <v>60</v>
      </c>
      <c r="P54" s="112" t="s">
        <v>182</v>
      </c>
      <c r="Q54"/>
      <c r="R54" s="49"/>
      <c r="S54" s="49"/>
      <c r="T54" s="49"/>
      <c r="U54" s="49"/>
      <c r="V54" s="11"/>
    </row>
    <row r="55" spans="1:35" ht="15" hidden="1" outlineLevel="1" x14ac:dyDescent="0.25">
      <c r="A55" s="50" t="s">
        <v>61</v>
      </c>
      <c r="B55" s="10" t="s">
        <v>35</v>
      </c>
      <c r="C55" s="10"/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8">
        <v>0</v>
      </c>
      <c r="O55" s="10"/>
      <c r="R55" s="49"/>
      <c r="S55" s="49"/>
      <c r="T55" s="49"/>
      <c r="U55" s="49"/>
      <c r="V55" s="11"/>
    </row>
    <row r="56" spans="1:35" ht="15" hidden="1" outlineLevel="1" x14ac:dyDescent="0.25">
      <c r="A56" s="50" t="s">
        <v>62</v>
      </c>
      <c r="B56" s="10" t="s">
        <v>37</v>
      </c>
      <c r="C56" s="10"/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8">
        <v>0</v>
      </c>
      <c r="O56" s="10"/>
      <c r="R56" s="49"/>
      <c r="S56" s="49"/>
      <c r="T56" s="49"/>
      <c r="U56" s="49"/>
      <c r="V56" s="11"/>
    </row>
    <row r="57" spans="1:35" ht="15" collapsed="1" x14ac:dyDescent="0.25">
      <c r="A57" s="50" t="s">
        <v>63</v>
      </c>
      <c r="B57" s="10" t="s">
        <v>64</v>
      </c>
      <c r="C57" s="10"/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8">
        <v>0</v>
      </c>
      <c r="O57" s="10"/>
      <c r="R57" s="49"/>
      <c r="S57" s="49"/>
      <c r="T57" s="49"/>
      <c r="U57" s="49"/>
      <c r="V57" s="11"/>
    </row>
    <row r="58" spans="1:35" ht="15" hidden="1" outlineLevel="1" x14ac:dyDescent="0.25">
      <c r="A58" s="50" t="s">
        <v>65</v>
      </c>
      <c r="B58" s="10" t="s">
        <v>66</v>
      </c>
      <c r="C58" s="10"/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8">
        <v>0</v>
      </c>
      <c r="O58" s="10"/>
      <c r="R58" s="49"/>
      <c r="S58" s="49"/>
      <c r="T58" s="49"/>
      <c r="U58" s="49"/>
      <c r="V58" s="11"/>
    </row>
    <row r="59" spans="1:35" ht="15" hidden="1" outlineLevel="1" x14ac:dyDescent="0.25">
      <c r="A59" s="50" t="s">
        <v>67</v>
      </c>
      <c r="B59" s="10" t="s">
        <v>40</v>
      </c>
      <c r="C59" s="10"/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8">
        <v>0</v>
      </c>
      <c r="O59" s="10"/>
      <c r="R59" s="49"/>
      <c r="S59" s="49"/>
      <c r="T59" s="49"/>
      <c r="U59" s="49"/>
      <c r="V59" s="11"/>
    </row>
    <row r="60" spans="1:35" ht="15" hidden="1" outlineLevel="1" x14ac:dyDescent="0.25">
      <c r="A60" s="50" t="s">
        <v>68</v>
      </c>
      <c r="B60" s="10" t="s">
        <v>42</v>
      </c>
      <c r="C60" s="10"/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8">
        <v>0</v>
      </c>
      <c r="O60" s="10"/>
      <c r="R60" s="49"/>
      <c r="S60" s="49"/>
      <c r="T60" s="49"/>
      <c r="U60" s="49"/>
      <c r="V60" s="11"/>
    </row>
    <row r="61" spans="1:35" ht="15" collapsed="1" x14ac:dyDescent="0.25">
      <c r="A61" s="50" t="s">
        <v>69</v>
      </c>
      <c r="B61" s="10" t="s">
        <v>70</v>
      </c>
      <c r="C61" s="10"/>
      <c r="D61" s="24">
        <v>-3549.4368000000004</v>
      </c>
      <c r="E61" s="24">
        <v>-1183.1456000000003</v>
      </c>
      <c r="F61" s="24">
        <v>-1419.7747200000003</v>
      </c>
      <c r="G61" s="24">
        <v>0</v>
      </c>
      <c r="H61" s="24">
        <v>-2298.6828800000003</v>
      </c>
      <c r="I61" s="24">
        <v>-5645.2947200000008</v>
      </c>
      <c r="J61" s="24">
        <v>-33.804160000000003</v>
      </c>
      <c r="K61" s="24">
        <v>-33.804160000000003</v>
      </c>
      <c r="L61" s="24">
        <v>-7707.3484799999969</v>
      </c>
      <c r="M61" s="24">
        <v>-2636.7244800000003</v>
      </c>
      <c r="N61" s="28">
        <v>-24508.016</v>
      </c>
      <c r="O61" s="5"/>
      <c r="P61" s="112" t="s">
        <v>182</v>
      </c>
      <c r="Q61"/>
      <c r="R61" s="49"/>
      <c r="S61" s="49"/>
      <c r="T61" s="49"/>
      <c r="U61" s="49"/>
      <c r="V61" s="11"/>
    </row>
    <row r="62" spans="1:35" ht="15" x14ac:dyDescent="0.25">
      <c r="A62" s="50" t="s">
        <v>71</v>
      </c>
      <c r="B62" s="10" t="s">
        <v>43</v>
      </c>
      <c r="C62" s="10"/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8">
        <v>0</v>
      </c>
      <c r="O62" s="10"/>
      <c r="P62" s="112"/>
      <c r="Q62"/>
      <c r="R62" s="49"/>
      <c r="S62" s="49"/>
      <c r="T62" s="49"/>
      <c r="U62" s="49"/>
      <c r="V62" s="11"/>
    </row>
    <row r="63" spans="1:35" ht="15" x14ac:dyDescent="0.25">
      <c r="A63" s="50" t="s">
        <v>72</v>
      </c>
      <c r="B63" s="10" t="s">
        <v>73</v>
      </c>
      <c r="C63" s="10"/>
      <c r="D63" s="24">
        <v>-14149.338</v>
      </c>
      <c r="E63" s="24">
        <v>-4716.4460000000008</v>
      </c>
      <c r="F63" s="24">
        <v>-5659.735200000001</v>
      </c>
      <c r="G63" s="24">
        <v>0</v>
      </c>
      <c r="H63" s="24">
        <v>-9163.3808000000008</v>
      </c>
      <c r="I63" s="24">
        <v>-22504.185200000004</v>
      </c>
      <c r="J63" s="24">
        <v>-134.75560000000002</v>
      </c>
      <c r="K63" s="24">
        <v>-134.75560000000002</v>
      </c>
      <c r="L63" s="24">
        <v>-30724.276799999989</v>
      </c>
      <c r="M63" s="24">
        <v>-10510.936800000001</v>
      </c>
      <c r="N63" s="28">
        <v>-97697.809999999983</v>
      </c>
      <c r="O63" s="10"/>
      <c r="P63" s="112"/>
      <c r="Q63" s="119">
        <v>1</v>
      </c>
      <c r="R63" s="24">
        <f t="shared" ref="R63:U68" si="2">-ROUND(H63*$Q63,0)</f>
        <v>9163</v>
      </c>
      <c r="S63" s="24">
        <f t="shared" si="2"/>
        <v>22504</v>
      </c>
      <c r="T63" s="24">
        <f t="shared" si="2"/>
        <v>135</v>
      </c>
      <c r="U63" s="24">
        <f t="shared" si="2"/>
        <v>135</v>
      </c>
      <c r="V63" s="121">
        <f>SUM(R63:U63)</f>
        <v>31937</v>
      </c>
      <c r="W63" s="3">
        <v>9260</v>
      </c>
      <c r="AI63" s="207">
        <v>-1</v>
      </c>
    </row>
    <row r="64" spans="1:35" ht="15" x14ac:dyDescent="0.25">
      <c r="A64" s="50" t="s">
        <v>74</v>
      </c>
      <c r="B64" s="10" t="s">
        <v>75</v>
      </c>
      <c r="C64" s="10"/>
      <c r="D64" s="24">
        <v>-9462.0714999999982</v>
      </c>
      <c r="E64" s="24">
        <v>-3154.0238333333327</v>
      </c>
      <c r="F64" s="24">
        <v>-3784.8285999999994</v>
      </c>
      <c r="G64" s="24">
        <v>0</v>
      </c>
      <c r="H64" s="24">
        <v>-6127.8177333333324</v>
      </c>
      <c r="I64" s="24">
        <v>-15049.199433333331</v>
      </c>
      <c r="J64" s="24">
        <v>-90.114966666666646</v>
      </c>
      <c r="K64" s="24">
        <v>-90.114966666666646</v>
      </c>
      <c r="L64" s="24">
        <v>-20546.212399999986</v>
      </c>
      <c r="M64" s="24">
        <v>-7028.9673999999986</v>
      </c>
      <c r="N64" s="28">
        <v>-65333.350833333323</v>
      </c>
      <c r="O64" s="10" t="s">
        <v>76</v>
      </c>
      <c r="P64" s="112"/>
      <c r="Q64" s="119">
        <v>1</v>
      </c>
      <c r="R64" s="24">
        <f t="shared" si="2"/>
        <v>6128</v>
      </c>
      <c r="S64" s="24">
        <f t="shared" si="2"/>
        <v>15049</v>
      </c>
      <c r="T64" s="24">
        <f t="shared" si="2"/>
        <v>90</v>
      </c>
      <c r="U64" s="24">
        <f t="shared" si="2"/>
        <v>90</v>
      </c>
      <c r="V64" s="121">
        <f>SUM(R64:U64)</f>
        <v>21357</v>
      </c>
      <c r="W64" s="3">
        <v>9302</v>
      </c>
      <c r="AI64" s="207">
        <v>-0.87025461262155335</v>
      </c>
    </row>
    <row r="65" spans="1:35" ht="15" x14ac:dyDescent="0.25">
      <c r="A65" s="50" t="s">
        <v>77</v>
      </c>
      <c r="B65" s="26" t="s">
        <v>78</v>
      </c>
      <c r="C65" s="26"/>
      <c r="D65" s="29">
        <v>-59512.583199999979</v>
      </c>
      <c r="E65" s="29">
        <v>-19837.527733333329</v>
      </c>
      <c r="F65" s="29">
        <v>-23805.033279999992</v>
      </c>
      <c r="G65" s="29">
        <v>0</v>
      </c>
      <c r="H65" s="29">
        <v>-38541.482453333323</v>
      </c>
      <c r="I65" s="29">
        <v>-94653.346613333313</v>
      </c>
      <c r="J65" s="29">
        <v>-566.78650666666647</v>
      </c>
      <c r="K65" s="29">
        <v>-566.78650666666647</v>
      </c>
      <c r="L65" s="24">
        <v>-129227.3235199999</v>
      </c>
      <c r="M65" s="24">
        <v>-44209.347519999988</v>
      </c>
      <c r="N65" s="28">
        <v>-410920.21733333316</v>
      </c>
      <c r="P65" s="31"/>
      <c r="Q65" s="119">
        <v>1</v>
      </c>
      <c r="R65" s="24">
        <f t="shared" si="2"/>
        <v>38541</v>
      </c>
      <c r="S65" s="24">
        <f t="shared" si="2"/>
        <v>94653</v>
      </c>
      <c r="T65" s="24">
        <f t="shared" si="2"/>
        <v>567</v>
      </c>
      <c r="U65" s="24">
        <f t="shared" si="2"/>
        <v>567</v>
      </c>
      <c r="V65" s="121">
        <f>SUM(R65:U65)</f>
        <v>134328</v>
      </c>
      <c r="W65" s="3">
        <v>9210</v>
      </c>
      <c r="AI65" s="208">
        <v>-0.81093478206500713</v>
      </c>
    </row>
    <row r="66" spans="1:35" ht="15" x14ac:dyDescent="0.25">
      <c r="A66" s="50" t="s">
        <v>79</v>
      </c>
      <c r="B66" s="26" t="s">
        <v>80</v>
      </c>
      <c r="C66" s="26"/>
      <c r="D66" s="29">
        <v>-10171.570850000002</v>
      </c>
      <c r="E66" s="29">
        <v>-3390.5236166666673</v>
      </c>
      <c r="F66" s="29">
        <v>-4068.6283400000007</v>
      </c>
      <c r="G66" s="29">
        <v>0</v>
      </c>
      <c r="H66" s="29">
        <v>-6587.3030266666683</v>
      </c>
      <c r="I66" s="29">
        <v>-16177.64125666667</v>
      </c>
      <c r="J66" s="29">
        <v>-96.872103333333342</v>
      </c>
      <c r="K66" s="29">
        <v>-96.872103333333342</v>
      </c>
      <c r="L66" s="24">
        <v>-22086.839559999993</v>
      </c>
      <c r="M66" s="24">
        <v>-7556.0240600000006</v>
      </c>
      <c r="N66" s="28">
        <v>-70232.274916666662</v>
      </c>
      <c r="P66" s="31"/>
      <c r="Q66" s="119">
        <v>1</v>
      </c>
      <c r="R66" s="24">
        <f t="shared" si="2"/>
        <v>6587</v>
      </c>
      <c r="S66" s="24">
        <f t="shared" si="2"/>
        <v>16178</v>
      </c>
      <c r="T66" s="24">
        <f t="shared" si="2"/>
        <v>97</v>
      </c>
      <c r="U66" s="24">
        <f t="shared" si="2"/>
        <v>97</v>
      </c>
      <c r="V66" s="121">
        <f t="shared" ref="V66:V67" si="3">SUM(R66:U66)</f>
        <v>22959</v>
      </c>
      <c r="W66" s="3">
        <v>9210</v>
      </c>
      <c r="AI66" s="208">
        <v>-0.58900459452521969</v>
      </c>
    </row>
    <row r="67" spans="1:35" ht="15" x14ac:dyDescent="0.25">
      <c r="A67" s="50" t="s">
        <v>81</v>
      </c>
      <c r="B67" s="26" t="s">
        <v>82</v>
      </c>
      <c r="C67" s="26" t="s">
        <v>83</v>
      </c>
      <c r="D67" s="29">
        <v>-11681.05575</v>
      </c>
      <c r="E67" s="29">
        <v>-3893.68525</v>
      </c>
      <c r="F67" s="29">
        <v>-4672.4223000000002</v>
      </c>
      <c r="G67" s="29">
        <v>0</v>
      </c>
      <c r="H67" s="29">
        <v>-7564.8742000000002</v>
      </c>
      <c r="I67" s="29">
        <v>-18578.441050000001</v>
      </c>
      <c r="J67" s="29">
        <v>-111.24815</v>
      </c>
      <c r="K67" s="29">
        <v>-111.24815</v>
      </c>
      <c r="L67" s="24">
        <v>-25364.578199999989</v>
      </c>
      <c r="M67" s="24">
        <v>-8677.3557000000001</v>
      </c>
      <c r="N67" s="28">
        <v>-80654.908749999988</v>
      </c>
      <c r="P67" s="31"/>
      <c r="Q67" s="119">
        <v>1</v>
      </c>
      <c r="R67" s="24">
        <f t="shared" si="2"/>
        <v>7565</v>
      </c>
      <c r="S67" s="24">
        <f t="shared" si="2"/>
        <v>18578</v>
      </c>
      <c r="T67" s="24">
        <f t="shared" si="2"/>
        <v>111</v>
      </c>
      <c r="U67" s="24">
        <f t="shared" si="2"/>
        <v>111</v>
      </c>
      <c r="V67" s="121">
        <f t="shared" si="3"/>
        <v>26365</v>
      </c>
      <c r="W67" s="3">
        <v>9210</v>
      </c>
      <c r="AI67" s="208">
        <v>-0.3448279442674384</v>
      </c>
    </row>
    <row r="68" spans="1:35" ht="15" x14ac:dyDescent="0.25">
      <c r="A68" s="50" t="s">
        <v>84</v>
      </c>
      <c r="B68" s="8" t="s">
        <v>45</v>
      </c>
      <c r="C68" s="8"/>
      <c r="D68" s="24">
        <v>-1514.2666000000006</v>
      </c>
      <c r="E68" s="24">
        <v>-504.75553333333363</v>
      </c>
      <c r="F68" s="24">
        <v>-605.70664000000033</v>
      </c>
      <c r="G68" s="24">
        <v>0</v>
      </c>
      <c r="H68" s="24">
        <v>-980.66789333333384</v>
      </c>
      <c r="I68" s="24">
        <v>-2408.4049733333345</v>
      </c>
      <c r="J68" s="24">
        <v>-14.421586666666673</v>
      </c>
      <c r="K68" s="24">
        <v>-14.421586666666673</v>
      </c>
      <c r="L68" s="24">
        <v>-3288.12176</v>
      </c>
      <c r="M68" s="24">
        <v>-1124.8837600000006</v>
      </c>
      <c r="N68" s="28">
        <v>-10455.650333333337</v>
      </c>
      <c r="O68" s="10"/>
      <c r="P68" s="112"/>
      <c r="Q68" s="119">
        <v>1</v>
      </c>
      <c r="R68" s="24">
        <f t="shared" si="2"/>
        <v>981</v>
      </c>
      <c r="S68" s="24">
        <f t="shared" si="2"/>
        <v>2408</v>
      </c>
      <c r="T68" s="24">
        <f t="shared" si="2"/>
        <v>14</v>
      </c>
      <c r="U68" s="24">
        <f t="shared" si="2"/>
        <v>14</v>
      </c>
      <c r="V68" s="121">
        <f t="shared" ref="V68" si="4">SUM(R68:U68)</f>
        <v>3417</v>
      </c>
      <c r="W68" s="3">
        <v>9210</v>
      </c>
      <c r="AI68" s="207">
        <v>-0.34370363073481425</v>
      </c>
    </row>
    <row r="69" spans="1:35" ht="16.5" thickBot="1" x14ac:dyDescent="0.3">
      <c r="A69" s="53"/>
      <c r="B69" s="7" t="s">
        <v>85</v>
      </c>
      <c r="C69" s="10"/>
      <c r="D69" s="33">
        <v>-121279.97419999998</v>
      </c>
      <c r="E69" s="33">
        <v>-40426.65806666667</v>
      </c>
      <c r="F69" s="33">
        <v>-48511.989679999999</v>
      </c>
      <c r="G69" s="33">
        <v>0</v>
      </c>
      <c r="H69" s="33">
        <v>-78543.221386666657</v>
      </c>
      <c r="I69" s="33">
        <v>-192892.91134666663</v>
      </c>
      <c r="J69" s="33">
        <v>-1155.0473733333331</v>
      </c>
      <c r="K69" s="33">
        <v>-1155.0473733333331</v>
      </c>
      <c r="L69" s="33">
        <v>-263350.80111999984</v>
      </c>
      <c r="M69" s="33">
        <v>-90093.695119999989</v>
      </c>
      <c r="N69" s="33">
        <v>-837409.3456666664</v>
      </c>
      <c r="O69" s="10"/>
      <c r="P69" s="31"/>
      <c r="Q69" s="30"/>
      <c r="R69" s="49"/>
      <c r="S69" s="49"/>
      <c r="T69" s="49"/>
      <c r="U69" s="49"/>
      <c r="V69" s="11"/>
      <c r="AI69" s="207"/>
    </row>
    <row r="70" spans="1:35" ht="13.5" thickTop="1" x14ac:dyDescent="0.2">
      <c r="A70" s="1"/>
      <c r="B70" s="10"/>
      <c r="C70" s="10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10"/>
      <c r="P70" s="31"/>
      <c r="Q70" s="30"/>
      <c r="R70" s="49"/>
      <c r="S70" s="49"/>
      <c r="T70" s="49"/>
      <c r="U70" s="49"/>
      <c r="V70" s="11"/>
    </row>
    <row r="71" spans="1:35" x14ac:dyDescent="0.2">
      <c r="A71" s="1"/>
      <c r="B71" s="10"/>
      <c r="C71" s="10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10"/>
      <c r="P71" s="31"/>
      <c r="Q71" s="30"/>
      <c r="R71" s="49"/>
      <c r="S71" s="49"/>
      <c r="T71" s="49"/>
      <c r="U71" s="49"/>
      <c r="V71" s="11"/>
    </row>
    <row r="72" spans="1:35" ht="15" x14ac:dyDescent="0.25">
      <c r="A72" s="1"/>
      <c r="B72" s="7" t="s">
        <v>86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10"/>
      <c r="P72" s="31"/>
      <c r="Q72" s="30"/>
      <c r="R72" s="49"/>
      <c r="S72" s="49"/>
      <c r="T72" s="49"/>
      <c r="U72" s="49"/>
      <c r="V72" s="11"/>
    </row>
    <row r="73" spans="1:35" x14ac:dyDescent="0.2">
      <c r="A73" s="1"/>
      <c r="B73" s="10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 t="s">
        <v>3</v>
      </c>
      <c r="O73" s="10"/>
      <c r="P73" s="31"/>
      <c r="Q73" s="30"/>
      <c r="R73" s="49"/>
      <c r="S73" s="49"/>
      <c r="T73" s="49"/>
      <c r="U73" s="49"/>
      <c r="V73" s="11"/>
    </row>
    <row r="74" spans="1:35" x14ac:dyDescent="0.2">
      <c r="A74" s="1"/>
      <c r="D74" s="15" t="s">
        <v>5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5" t="s">
        <v>13</v>
      </c>
      <c r="M74" s="15" t="s">
        <v>14</v>
      </c>
      <c r="N74" s="16" t="s">
        <v>15</v>
      </c>
      <c r="O74" s="10"/>
      <c r="P74" s="31"/>
      <c r="Q74" s="30"/>
      <c r="R74" s="49"/>
      <c r="S74" s="49"/>
      <c r="T74" s="49"/>
      <c r="U74" s="49"/>
      <c r="V74" s="11"/>
    </row>
    <row r="75" spans="1:35" ht="15" hidden="1" outlineLevel="1" x14ac:dyDescent="0.25">
      <c r="A75" s="50" t="s">
        <v>48</v>
      </c>
      <c r="B75" s="10" t="s">
        <v>31</v>
      </c>
      <c r="C75" s="10"/>
      <c r="D75" s="21"/>
      <c r="E75" s="21"/>
      <c r="F75" s="21"/>
      <c r="G75" s="21"/>
      <c r="H75" s="21"/>
      <c r="I75" s="21"/>
      <c r="J75" s="21"/>
      <c r="K75" s="21"/>
      <c r="L75" s="54"/>
      <c r="M75" s="21"/>
      <c r="N75" s="55">
        <v>0</v>
      </c>
      <c r="O75" s="10"/>
      <c r="P75" s="31"/>
      <c r="Q75" s="30"/>
      <c r="R75" s="49"/>
      <c r="S75" s="49"/>
      <c r="T75" s="49"/>
      <c r="U75" s="49"/>
      <c r="V75" s="11"/>
    </row>
    <row r="76" spans="1:35" ht="15" hidden="1" outlineLevel="1" x14ac:dyDescent="0.25">
      <c r="A76" s="50" t="s">
        <v>49</v>
      </c>
      <c r="B76" s="10" t="s">
        <v>50</v>
      </c>
      <c r="C76" s="10"/>
      <c r="D76" s="21"/>
      <c r="E76" s="21"/>
      <c r="F76" s="21"/>
      <c r="G76" s="21"/>
      <c r="H76" s="21"/>
      <c r="I76" s="21"/>
      <c r="J76" s="21"/>
      <c r="K76" s="21"/>
      <c r="L76" s="54"/>
      <c r="M76" s="21"/>
      <c r="N76" s="21">
        <v>0</v>
      </c>
      <c r="O76" s="10"/>
      <c r="P76" s="31"/>
      <c r="Q76" s="30"/>
      <c r="R76" s="49"/>
      <c r="S76" s="49"/>
      <c r="T76" s="49"/>
      <c r="U76" s="49"/>
      <c r="V76" s="11"/>
    </row>
    <row r="77" spans="1:35" ht="15" hidden="1" outlineLevel="1" x14ac:dyDescent="0.25">
      <c r="A77" s="50" t="s">
        <v>51</v>
      </c>
      <c r="B77" s="10" t="s">
        <v>52</v>
      </c>
      <c r="C77" s="10"/>
      <c r="D77" s="21"/>
      <c r="E77" s="21"/>
      <c r="F77" s="21"/>
      <c r="G77" s="21"/>
      <c r="H77" s="21"/>
      <c r="I77" s="21"/>
      <c r="J77" s="21"/>
      <c r="K77" s="21"/>
      <c r="L77" s="54"/>
      <c r="M77" s="21"/>
      <c r="N77" s="21">
        <v>0</v>
      </c>
      <c r="O77" s="10"/>
      <c r="P77" s="31"/>
      <c r="Q77" s="30"/>
      <c r="R77" s="49"/>
      <c r="S77" s="49"/>
      <c r="T77" s="49"/>
      <c r="U77" s="49"/>
      <c r="V77" s="11"/>
    </row>
    <row r="78" spans="1:35" ht="15" hidden="1" outlineLevel="1" x14ac:dyDescent="0.25">
      <c r="A78" s="50" t="s">
        <v>53</v>
      </c>
      <c r="B78" s="10" t="s">
        <v>54</v>
      </c>
      <c r="C78" s="10"/>
      <c r="D78" s="21"/>
      <c r="E78" s="21"/>
      <c r="F78" s="21"/>
      <c r="G78" s="21"/>
      <c r="H78" s="21"/>
      <c r="I78" s="21"/>
      <c r="J78" s="21"/>
      <c r="K78" s="21"/>
      <c r="L78" s="54"/>
      <c r="M78" s="21"/>
      <c r="N78" s="21">
        <v>0</v>
      </c>
      <c r="O78" s="10"/>
      <c r="P78" s="31"/>
      <c r="Q78" s="30"/>
      <c r="R78" s="49"/>
      <c r="S78" s="49"/>
      <c r="T78" s="49"/>
      <c r="U78" s="49"/>
      <c r="V78" s="11"/>
    </row>
    <row r="79" spans="1:35" ht="15" hidden="1" outlineLevel="1" x14ac:dyDescent="0.25">
      <c r="A79" s="50" t="s">
        <v>55</v>
      </c>
      <c r="B79" s="10" t="s">
        <v>19</v>
      </c>
      <c r="C79" s="10"/>
      <c r="D79" s="21"/>
      <c r="E79" s="21"/>
      <c r="F79" s="21"/>
      <c r="G79" s="21"/>
      <c r="H79" s="21"/>
      <c r="I79" s="21"/>
      <c r="J79" s="21"/>
      <c r="K79" s="21"/>
      <c r="L79" s="54"/>
      <c r="M79" s="21"/>
      <c r="N79" s="21">
        <v>0</v>
      </c>
      <c r="O79" s="10"/>
      <c r="P79" s="31"/>
      <c r="Q79" s="30"/>
      <c r="R79" s="49"/>
      <c r="S79" s="49"/>
      <c r="T79" s="49"/>
      <c r="U79" s="49"/>
      <c r="V79" s="11"/>
    </row>
    <row r="80" spans="1:35" ht="15" hidden="1" outlineLevel="1" x14ac:dyDescent="0.25">
      <c r="A80" s="50" t="s">
        <v>56</v>
      </c>
      <c r="B80" s="10" t="s">
        <v>20</v>
      </c>
      <c r="C80" s="10"/>
      <c r="D80" s="21"/>
      <c r="E80" s="21"/>
      <c r="F80" s="21"/>
      <c r="G80" s="21"/>
      <c r="H80" s="21"/>
      <c r="I80" s="21"/>
      <c r="J80" s="21"/>
      <c r="K80" s="21"/>
      <c r="L80" s="54"/>
      <c r="M80" s="21"/>
      <c r="N80" s="21">
        <v>0</v>
      </c>
      <c r="O80" s="10"/>
      <c r="P80" s="31"/>
      <c r="Q80" s="30"/>
      <c r="R80" s="49"/>
      <c r="S80" s="49"/>
      <c r="T80" s="49"/>
      <c r="U80" s="49"/>
      <c r="V80" s="11"/>
    </row>
    <row r="81" spans="1:35" ht="15" hidden="1" outlineLevel="1" collapsed="1" x14ac:dyDescent="0.25">
      <c r="A81" s="50" t="s">
        <v>57</v>
      </c>
      <c r="B81" s="10" t="s">
        <v>33</v>
      </c>
      <c r="C81" s="10"/>
      <c r="D81" s="21"/>
      <c r="E81" s="21"/>
      <c r="F81" s="21"/>
      <c r="G81" s="21"/>
      <c r="H81" s="21"/>
      <c r="I81" s="21"/>
      <c r="J81" s="21"/>
      <c r="K81" s="21"/>
      <c r="L81" s="54"/>
      <c r="M81" s="21"/>
      <c r="N81" s="21">
        <v>0</v>
      </c>
      <c r="O81" s="10"/>
      <c r="P81" s="31"/>
      <c r="Q81" s="30"/>
      <c r="R81" s="49"/>
      <c r="S81" s="49"/>
      <c r="T81" s="49"/>
      <c r="U81" s="49"/>
      <c r="V81" s="11"/>
    </row>
    <row r="82" spans="1:35" ht="15" hidden="1" outlineLevel="1" x14ac:dyDescent="0.25">
      <c r="A82" s="50" t="s">
        <v>61</v>
      </c>
      <c r="B82" s="10" t="s">
        <v>35</v>
      </c>
      <c r="C82" s="10"/>
      <c r="D82" s="28"/>
      <c r="E82" s="28"/>
      <c r="F82" s="28"/>
      <c r="G82" s="28"/>
      <c r="H82" s="28"/>
      <c r="I82" s="28"/>
      <c r="J82" s="28"/>
      <c r="K82" s="28"/>
      <c r="L82" s="56"/>
      <c r="M82" s="28"/>
      <c r="N82" s="28">
        <v>0</v>
      </c>
      <c r="O82" s="10"/>
      <c r="P82" s="31"/>
      <c r="Q82" s="30"/>
      <c r="R82" s="49"/>
      <c r="S82" s="49"/>
      <c r="T82" s="49"/>
      <c r="U82" s="49"/>
      <c r="V82" s="11"/>
    </row>
    <row r="83" spans="1:35" ht="15" hidden="1" outlineLevel="1" x14ac:dyDescent="0.25">
      <c r="A83" s="50" t="s">
        <v>62</v>
      </c>
      <c r="B83" s="10" t="s">
        <v>37</v>
      </c>
      <c r="C83" s="10"/>
      <c r="D83" s="28"/>
      <c r="E83" s="28"/>
      <c r="F83" s="28"/>
      <c r="G83" s="28"/>
      <c r="H83" s="28"/>
      <c r="I83" s="28"/>
      <c r="J83" s="28"/>
      <c r="K83" s="28"/>
      <c r="L83" s="56"/>
      <c r="M83" s="28"/>
      <c r="N83" s="28">
        <v>0</v>
      </c>
      <c r="O83" s="10"/>
      <c r="P83" s="31"/>
      <c r="Q83" s="30"/>
      <c r="R83" s="49"/>
      <c r="S83" s="49"/>
      <c r="T83" s="49"/>
      <c r="U83" s="49"/>
      <c r="V83" s="11"/>
    </row>
    <row r="84" spans="1:35" ht="15" hidden="1" outlineLevel="1" x14ac:dyDescent="0.25">
      <c r="A84" s="50" t="s">
        <v>63</v>
      </c>
      <c r="B84" s="10" t="s">
        <v>38</v>
      </c>
      <c r="C84" s="10"/>
      <c r="D84" s="56"/>
      <c r="E84" s="56"/>
      <c r="F84" s="56"/>
      <c r="G84" s="56"/>
      <c r="H84" s="56"/>
      <c r="I84" s="56"/>
      <c r="J84" s="28"/>
      <c r="K84" s="28"/>
      <c r="L84" s="56"/>
      <c r="M84" s="28"/>
      <c r="N84" s="28">
        <v>0</v>
      </c>
      <c r="O84" s="10"/>
      <c r="P84" s="31"/>
      <c r="Q84" s="30"/>
      <c r="R84" s="49"/>
      <c r="S84" s="49"/>
      <c r="T84" s="49"/>
      <c r="U84" s="49"/>
      <c r="V84" s="11"/>
    </row>
    <row r="85" spans="1:35" ht="15" hidden="1" outlineLevel="1" x14ac:dyDescent="0.25">
      <c r="A85" s="50" t="s">
        <v>65</v>
      </c>
      <c r="B85" s="10" t="s">
        <v>66</v>
      </c>
      <c r="C85" s="10"/>
      <c r="D85" s="56"/>
      <c r="E85" s="56"/>
      <c r="F85" s="56"/>
      <c r="G85" s="56"/>
      <c r="H85" s="56"/>
      <c r="I85" s="56"/>
      <c r="J85" s="28"/>
      <c r="K85" s="28"/>
      <c r="L85" s="56"/>
      <c r="M85" s="28"/>
      <c r="N85" s="28">
        <v>0</v>
      </c>
      <c r="O85" s="10"/>
      <c r="P85" s="31"/>
      <c r="Q85" s="30"/>
      <c r="R85" s="49"/>
      <c r="S85" s="49"/>
      <c r="T85" s="49"/>
      <c r="U85" s="49"/>
      <c r="V85" s="11"/>
    </row>
    <row r="86" spans="1:35" ht="15" hidden="1" outlineLevel="1" x14ac:dyDescent="0.25">
      <c r="A86" s="50" t="s">
        <v>67</v>
      </c>
      <c r="B86" s="10" t="s">
        <v>40</v>
      </c>
      <c r="C86" s="10"/>
      <c r="D86" s="28"/>
      <c r="E86" s="28"/>
      <c r="F86" s="28"/>
      <c r="G86" s="28"/>
      <c r="H86" s="28"/>
      <c r="I86" s="28"/>
      <c r="J86" s="28"/>
      <c r="K86" s="28"/>
      <c r="L86" s="56"/>
      <c r="M86" s="28"/>
      <c r="N86" s="28">
        <v>0</v>
      </c>
      <c r="O86" s="10"/>
      <c r="P86" s="31"/>
      <c r="Q86" s="30"/>
      <c r="R86" s="49"/>
      <c r="S86" s="49"/>
      <c r="T86" s="49"/>
      <c r="U86" s="49"/>
      <c r="V86" s="11"/>
    </row>
    <row r="87" spans="1:35" ht="15" hidden="1" outlineLevel="1" x14ac:dyDescent="0.25">
      <c r="A87" s="50" t="s">
        <v>68</v>
      </c>
      <c r="B87" s="10" t="s">
        <v>42</v>
      </c>
      <c r="C87" s="10"/>
      <c r="D87" s="28"/>
      <c r="E87" s="28"/>
      <c r="F87" s="28"/>
      <c r="G87" s="28"/>
      <c r="H87" s="28"/>
      <c r="I87" s="28"/>
      <c r="J87" s="28"/>
      <c r="K87" s="28"/>
      <c r="L87" s="56"/>
      <c r="M87" s="28"/>
      <c r="N87" s="28">
        <v>0</v>
      </c>
      <c r="O87" s="10"/>
      <c r="P87" s="31"/>
      <c r="Q87" s="30"/>
      <c r="R87" s="49"/>
      <c r="S87" s="49"/>
      <c r="T87" s="49"/>
      <c r="U87" s="49"/>
      <c r="V87" s="11"/>
    </row>
    <row r="88" spans="1:35" ht="15" hidden="1" outlineLevel="1" x14ac:dyDescent="0.25">
      <c r="A88" s="50" t="s">
        <v>71</v>
      </c>
      <c r="B88" s="10" t="s">
        <v>43</v>
      </c>
      <c r="C88" s="10"/>
      <c r="D88" s="28"/>
      <c r="E88" s="28"/>
      <c r="F88" s="28"/>
      <c r="G88" s="28"/>
      <c r="H88" s="28"/>
      <c r="I88" s="28"/>
      <c r="J88" s="28"/>
      <c r="K88" s="28"/>
      <c r="L88" s="56"/>
      <c r="M88" s="28"/>
      <c r="N88" s="28">
        <v>0</v>
      </c>
      <c r="O88" s="10"/>
      <c r="P88" s="31"/>
      <c r="Q88" s="30"/>
      <c r="R88" s="49"/>
      <c r="S88" s="49"/>
      <c r="T88" s="49"/>
      <c r="U88" s="49"/>
      <c r="V88" s="11"/>
    </row>
    <row r="89" spans="1:35" ht="15" collapsed="1" x14ac:dyDescent="0.25">
      <c r="A89" s="50" t="s">
        <v>87</v>
      </c>
      <c r="B89" s="10" t="s">
        <v>88</v>
      </c>
      <c r="C89" s="10"/>
      <c r="D89" s="24">
        <v>12659.174150000003</v>
      </c>
      <c r="E89" s="24">
        <v>4219.7247166666675</v>
      </c>
      <c r="F89" s="24">
        <v>5063.6696600000014</v>
      </c>
      <c r="G89" s="24">
        <v>0</v>
      </c>
      <c r="H89" s="24">
        <v>8198.3223066666687</v>
      </c>
      <c r="I89" s="24">
        <v>20134.115076666672</v>
      </c>
      <c r="J89" s="24">
        <v>120.56356333333336</v>
      </c>
      <c r="K89" s="24">
        <v>120.56356333333336</v>
      </c>
      <c r="L89" s="24">
        <v>27488.492439999991</v>
      </c>
      <c r="M89" s="24">
        <v>9403.9579400000021</v>
      </c>
      <c r="N89" s="28">
        <v>87408.583416666675</v>
      </c>
      <c r="O89" s="10"/>
      <c r="P89" s="112" t="s">
        <v>182</v>
      </c>
      <c r="Q89"/>
      <c r="R89" s="49"/>
      <c r="S89" s="49"/>
      <c r="T89" s="49"/>
      <c r="U89" s="49"/>
      <c r="V89" s="11"/>
    </row>
    <row r="90" spans="1:35" ht="15" x14ac:dyDescent="0.25">
      <c r="A90" s="50" t="s">
        <v>77</v>
      </c>
      <c r="B90" s="26" t="s">
        <v>78</v>
      </c>
      <c r="C90" s="26"/>
      <c r="D90" s="29">
        <v>-12597.126850000002</v>
      </c>
      <c r="E90" s="29">
        <v>-4199.0422833333341</v>
      </c>
      <c r="F90" s="29">
        <v>-5038.8507400000008</v>
      </c>
      <c r="G90" s="29">
        <v>0</v>
      </c>
      <c r="H90" s="29">
        <v>-8158.1392933333354</v>
      </c>
      <c r="I90" s="29">
        <v>-20035.430323333338</v>
      </c>
      <c r="J90" s="29">
        <v>-119.97263666666669</v>
      </c>
      <c r="K90" s="29">
        <v>-119.97263666666669</v>
      </c>
      <c r="L90" s="24">
        <v>-27353.761159999991</v>
      </c>
      <c r="M90" s="24">
        <v>-9357.8656600000013</v>
      </c>
      <c r="N90" s="28">
        <v>-86980.161583333334</v>
      </c>
      <c r="P90" s="31"/>
      <c r="Q90" s="119">
        <v>1</v>
      </c>
      <c r="R90" s="24">
        <f t="shared" ref="R90:U93" si="5">-ROUND(H90*$Q90,0)</f>
        <v>8158</v>
      </c>
      <c r="S90" s="24">
        <f t="shared" si="5"/>
        <v>20035</v>
      </c>
      <c r="T90" s="24">
        <f t="shared" si="5"/>
        <v>120</v>
      </c>
      <c r="U90" s="24">
        <f t="shared" si="5"/>
        <v>120</v>
      </c>
      <c r="V90" s="121">
        <f>SUM(R90:U90)</f>
        <v>28433</v>
      </c>
      <c r="W90" s="3">
        <v>9210</v>
      </c>
      <c r="AI90" s="208">
        <v>-0.56065635369932398</v>
      </c>
    </row>
    <row r="91" spans="1:35" ht="15" x14ac:dyDescent="0.25">
      <c r="A91" s="50" t="s">
        <v>79</v>
      </c>
      <c r="B91" s="26" t="s">
        <v>80</v>
      </c>
      <c r="C91" s="26"/>
      <c r="D91" s="29">
        <v>-102.37989999999793</v>
      </c>
      <c r="E91" s="29">
        <v>-34.126633333332649</v>
      </c>
      <c r="F91" s="29">
        <v>-40.951959999999183</v>
      </c>
      <c r="G91" s="29">
        <v>0</v>
      </c>
      <c r="H91" s="29">
        <v>-66.303173333332012</v>
      </c>
      <c r="I91" s="29">
        <v>-162.83279333333007</v>
      </c>
      <c r="J91" s="29">
        <v>-0.97504666666664708</v>
      </c>
      <c r="K91" s="29">
        <v>-0.97504666666664708</v>
      </c>
      <c r="L91" s="24">
        <v>-222.31063999999543</v>
      </c>
      <c r="M91" s="24">
        <v>-76.053639999998467</v>
      </c>
      <c r="N91" s="28">
        <v>-706.90883333331908</v>
      </c>
      <c r="P91" s="31"/>
      <c r="Q91" s="119">
        <v>1</v>
      </c>
      <c r="R91" s="24">
        <f t="shared" si="5"/>
        <v>66</v>
      </c>
      <c r="S91" s="24">
        <f t="shared" si="5"/>
        <v>163</v>
      </c>
      <c r="T91" s="24">
        <f t="shared" si="5"/>
        <v>1</v>
      </c>
      <c r="U91" s="24">
        <f t="shared" si="5"/>
        <v>1</v>
      </c>
      <c r="V91" s="121">
        <f t="shared" ref="V91:V92" si="6">SUM(R91:U91)</f>
        <v>231</v>
      </c>
      <c r="W91" s="3">
        <v>9210</v>
      </c>
      <c r="AI91" s="208">
        <v>-2.1141942739517292E-2</v>
      </c>
    </row>
    <row r="92" spans="1:35" ht="15" x14ac:dyDescent="0.25">
      <c r="A92" s="50" t="s">
        <v>81</v>
      </c>
      <c r="B92" s="26" t="s">
        <v>82</v>
      </c>
      <c r="C92" s="26"/>
      <c r="D92" s="29">
        <v>-7377.1645499999977</v>
      </c>
      <c r="E92" s="29">
        <v>-2459.0548499999995</v>
      </c>
      <c r="F92" s="29">
        <v>-2950.8658199999991</v>
      </c>
      <c r="G92" s="29">
        <v>0</v>
      </c>
      <c r="H92" s="29">
        <v>-4777.5922799999989</v>
      </c>
      <c r="I92" s="29">
        <v>-11733.204569999996</v>
      </c>
      <c r="J92" s="29">
        <v>-70.258709999999979</v>
      </c>
      <c r="K92" s="29">
        <v>-70.258709999999979</v>
      </c>
      <c r="L92" s="24">
        <v>-16018.985879999987</v>
      </c>
      <c r="M92" s="24">
        <v>-5480.1793799999987</v>
      </c>
      <c r="N92" s="28">
        <v>-50937.564749999976</v>
      </c>
      <c r="P92" s="31"/>
      <c r="Q92" s="119">
        <v>1</v>
      </c>
      <c r="R92" s="24">
        <f t="shared" si="5"/>
        <v>4778</v>
      </c>
      <c r="S92" s="24">
        <f t="shared" si="5"/>
        <v>11733</v>
      </c>
      <c r="T92" s="24">
        <f t="shared" si="5"/>
        <v>70</v>
      </c>
      <c r="U92" s="24">
        <f t="shared" si="5"/>
        <v>70</v>
      </c>
      <c r="V92" s="121">
        <f t="shared" si="6"/>
        <v>16651</v>
      </c>
      <c r="W92" s="3">
        <v>9210</v>
      </c>
      <c r="AI92" s="208">
        <v>-0.68909442444111546</v>
      </c>
    </row>
    <row r="93" spans="1:35" ht="15" x14ac:dyDescent="0.25">
      <c r="A93" s="50" t="s">
        <v>84</v>
      </c>
      <c r="B93" s="8" t="s">
        <v>45</v>
      </c>
      <c r="C93" s="8"/>
      <c r="D93" s="24">
        <v>-278.94580000000042</v>
      </c>
      <c r="E93" s="24">
        <v>-92.981933333333487</v>
      </c>
      <c r="F93" s="24">
        <v>-111.57832000000018</v>
      </c>
      <c r="G93" s="24">
        <v>0</v>
      </c>
      <c r="H93" s="24">
        <v>-180.65061333333361</v>
      </c>
      <c r="I93" s="24">
        <v>-443.65665333333402</v>
      </c>
      <c r="J93" s="24">
        <v>-2.6566266666666709</v>
      </c>
      <c r="K93" s="24">
        <v>-2.6566266666666709</v>
      </c>
      <c r="L93" s="24">
        <v>-605.71088000000066</v>
      </c>
      <c r="M93" s="24">
        <v>-207.21688000000032</v>
      </c>
      <c r="N93" s="28">
        <v>-1926.0543333333358</v>
      </c>
      <c r="O93" s="10"/>
      <c r="P93" s="112"/>
      <c r="Q93" s="119">
        <v>1</v>
      </c>
      <c r="R93" s="24">
        <f t="shared" si="5"/>
        <v>181</v>
      </c>
      <c r="S93" s="24">
        <f t="shared" si="5"/>
        <v>444</v>
      </c>
      <c r="T93" s="24">
        <f t="shared" si="5"/>
        <v>3</v>
      </c>
      <c r="U93" s="24">
        <f t="shared" si="5"/>
        <v>3</v>
      </c>
      <c r="V93" s="121">
        <f t="shared" ref="V93" si="7">SUM(R93:U93)</f>
        <v>631</v>
      </c>
      <c r="W93" s="3">
        <v>9210</v>
      </c>
      <c r="AI93" s="208">
        <v>-0.17874459300678749</v>
      </c>
    </row>
    <row r="94" spans="1:35" ht="13.5" thickBot="1" x14ac:dyDescent="0.25">
      <c r="A94" s="1"/>
      <c r="B94" s="7" t="s">
        <v>89</v>
      </c>
      <c r="C94" s="10"/>
      <c r="D94" s="33">
        <v>-7696.442949999996</v>
      </c>
      <c r="E94" s="33">
        <v>-2565.4809833333325</v>
      </c>
      <c r="F94" s="33">
        <v>-3078.5771799999975</v>
      </c>
      <c r="G94" s="33">
        <v>0</v>
      </c>
      <c r="H94" s="33">
        <v>-4984.3630533333308</v>
      </c>
      <c r="I94" s="33">
        <v>-12241.009263333324</v>
      </c>
      <c r="J94" s="33">
        <v>-73.299456666666615</v>
      </c>
      <c r="K94" s="33">
        <v>-73.299456666666615</v>
      </c>
      <c r="L94" s="33">
        <v>-16712.276119999984</v>
      </c>
      <c r="M94" s="33">
        <v>-5717.3576199999961</v>
      </c>
      <c r="N94" s="33">
        <v>-53142.106083333289</v>
      </c>
      <c r="O94" s="10"/>
      <c r="R94" s="49"/>
      <c r="S94" s="49"/>
      <c r="T94" s="49"/>
      <c r="U94" s="49"/>
      <c r="V94" s="11"/>
    </row>
    <row r="95" spans="1:35" ht="13.5" thickTop="1" x14ac:dyDescent="0.2">
      <c r="A95" s="1"/>
      <c r="B95" s="10"/>
      <c r="C95" s="10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10"/>
      <c r="R95" s="49"/>
      <c r="S95" s="49"/>
      <c r="T95" s="49"/>
      <c r="U95" s="49"/>
      <c r="V95" s="11"/>
    </row>
    <row r="96" spans="1:35" ht="15" x14ac:dyDescent="0.25">
      <c r="A96" s="1"/>
      <c r="B96" s="9" t="s">
        <v>90</v>
      </c>
      <c r="C96" s="30"/>
      <c r="D96" s="57">
        <v>26594.238236000019</v>
      </c>
      <c r="E96" s="57">
        <v>8011.9994119999847</v>
      </c>
      <c r="F96" s="57">
        <v>-6653.4313722666457</v>
      </c>
      <c r="G96" s="57">
        <v>32687.63</v>
      </c>
      <c r="H96" s="57">
        <v>-85946.63380906664</v>
      </c>
      <c r="I96" s="57">
        <v>-326580.94013893331</v>
      </c>
      <c r="J96" s="57">
        <v>-6936.2553501333332</v>
      </c>
      <c r="K96" s="57">
        <v>-6441.3820167999993</v>
      </c>
      <c r="L96" s="57">
        <v>-39301.28649706651</v>
      </c>
      <c r="M96" s="57">
        <v>-103731.09064373323</v>
      </c>
      <c r="N96" s="57">
        <v>-508297.15217999986</v>
      </c>
      <c r="O96" s="8" t="s">
        <v>91</v>
      </c>
      <c r="P96" s="134"/>
      <c r="Q96" s="21"/>
      <c r="R96" s="201">
        <f>SUM(R9:R95)</f>
        <v>139529.01108</v>
      </c>
      <c r="S96" s="201">
        <f t="shared" ref="S96:V96" si="8">SUM(S9:S95)</f>
        <v>425613.17426999996</v>
      </c>
      <c r="T96" s="201">
        <f t="shared" si="8"/>
        <v>6875.9378100000004</v>
      </c>
      <c r="U96" s="201">
        <f t="shared" si="8"/>
        <v>5786.9378100000004</v>
      </c>
      <c r="V96" s="201">
        <f t="shared" si="8"/>
        <v>577805.06096999999</v>
      </c>
    </row>
    <row r="97" spans="1:22" ht="15" x14ac:dyDescent="0.25">
      <c r="A97" s="1"/>
      <c r="B97" s="9"/>
      <c r="C97" s="30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43"/>
      <c r="P97" s="134"/>
      <c r="Q97" s="21"/>
      <c r="R97" s="49"/>
      <c r="S97" s="49"/>
      <c r="T97" s="49"/>
      <c r="U97" s="49"/>
      <c r="V97" s="11"/>
    </row>
    <row r="98" spans="1:22" ht="15" x14ac:dyDescent="0.25">
      <c r="A98" s="1"/>
      <c r="B98" s="7"/>
      <c r="C98" s="8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60"/>
      <c r="O98" s="43"/>
      <c r="P98" s="134"/>
      <c r="Q98" s="139"/>
      <c r="R98"/>
      <c r="S98"/>
      <c r="T98"/>
      <c r="U98"/>
      <c r="V98"/>
    </row>
    <row r="99" spans="1:22" ht="15" x14ac:dyDescent="0.25">
      <c r="A99" s="1"/>
      <c r="B99" s="7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3" t="s">
        <v>3</v>
      </c>
      <c r="O99" s="43"/>
      <c r="P99" s="134"/>
      <c r="Q99" s="21"/>
      <c r="R99" s="49"/>
      <c r="S99" s="49"/>
      <c r="T99" s="49"/>
      <c r="U99" s="49"/>
      <c r="V99" s="11"/>
    </row>
    <row r="100" spans="1:22" ht="15" x14ac:dyDescent="0.25">
      <c r="A100" s="1"/>
      <c r="B100" s="8"/>
      <c r="D100" s="15" t="s">
        <v>5</v>
      </c>
      <c r="E100" s="15" t="s">
        <v>6</v>
      </c>
      <c r="F100" s="15" t="s">
        <v>7</v>
      </c>
      <c r="G100" s="15" t="s">
        <v>8</v>
      </c>
      <c r="H100" s="15" t="s">
        <v>9</v>
      </c>
      <c r="I100" s="15" t="s">
        <v>10</v>
      </c>
      <c r="J100" s="15" t="s">
        <v>11</v>
      </c>
      <c r="K100" s="15" t="s">
        <v>12</v>
      </c>
      <c r="L100" s="15" t="s">
        <v>13</v>
      </c>
      <c r="M100" s="15" t="s">
        <v>14</v>
      </c>
      <c r="N100" s="16" t="s">
        <v>15</v>
      </c>
      <c r="O100" s="43"/>
      <c r="P100" s="134"/>
      <c r="Q100" s="21"/>
      <c r="R100" s="49"/>
      <c r="S100" s="49"/>
      <c r="T100" s="49"/>
      <c r="U100" s="49"/>
      <c r="V100" s="11"/>
    </row>
    <row r="101" spans="1:22" ht="25.5" x14ac:dyDescent="0.2">
      <c r="A101" s="50"/>
      <c r="B101" s="7" t="s">
        <v>92</v>
      </c>
      <c r="C101" s="8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>
        <v>0</v>
      </c>
      <c r="O101" s="8"/>
      <c r="P101" s="147" t="s">
        <v>188</v>
      </c>
      <c r="R101" s="202">
        <f>+'BU Direct Costs'!T9</f>
        <v>31987</v>
      </c>
      <c r="S101" s="202">
        <f>+'BU Direct Costs'!T33</f>
        <v>188910</v>
      </c>
      <c r="T101" s="202">
        <f>+'BU Direct Costs'!T28</f>
        <v>363</v>
      </c>
      <c r="U101" s="202">
        <f>+'BU Direct Costs'!T26</f>
        <v>416</v>
      </c>
      <c r="V101" s="202">
        <f>SUM(R101:U101)</f>
        <v>221676</v>
      </c>
    </row>
    <row r="102" spans="1:22" ht="13.5" thickBot="1" x14ac:dyDescent="0.25">
      <c r="A102" s="50"/>
      <c r="B102" s="7" t="s">
        <v>93</v>
      </c>
      <c r="C102" s="62" t="s">
        <v>94</v>
      </c>
      <c r="D102" s="24">
        <v>62630.22</v>
      </c>
      <c r="E102" s="24">
        <v>-118127.81</v>
      </c>
      <c r="F102" s="24">
        <v>-42414.35</v>
      </c>
      <c r="G102" s="24">
        <v>-8744.4</v>
      </c>
      <c r="H102" s="24">
        <v>43700.33</v>
      </c>
      <c r="I102" s="24">
        <v>-184985</v>
      </c>
      <c r="J102" s="24">
        <v>-984.32999999999993</v>
      </c>
      <c r="K102" s="24">
        <v>2023</v>
      </c>
      <c r="L102" s="24"/>
      <c r="M102" s="24">
        <v>-149775</v>
      </c>
      <c r="N102" s="24">
        <v>-396677.33999999997</v>
      </c>
      <c r="O102" s="8" t="s">
        <v>95</v>
      </c>
      <c r="R102" s="153">
        <f>+R96+R101</f>
        <v>171516.01108</v>
      </c>
      <c r="S102" s="153">
        <f t="shared" ref="S102:V102" si="9">+S96+S101</f>
        <v>614523.17426999996</v>
      </c>
      <c r="T102" s="153">
        <f t="shared" si="9"/>
        <v>7238.9378100000004</v>
      </c>
      <c r="U102" s="153">
        <f t="shared" si="9"/>
        <v>6202.9378100000004</v>
      </c>
      <c r="V102" s="153">
        <f t="shared" si="9"/>
        <v>799481.06096999999</v>
      </c>
    </row>
    <row r="103" spans="1:22" ht="16.5" thickTop="1" thickBot="1" x14ac:dyDescent="0.3">
      <c r="A103" s="1"/>
      <c r="B103" s="8"/>
      <c r="C103" s="8"/>
      <c r="D103" s="33">
        <v>62630</v>
      </c>
      <c r="E103" s="33">
        <v>-118127.81</v>
      </c>
      <c r="F103" s="33">
        <v>-42414</v>
      </c>
      <c r="G103" s="33">
        <v>-8744.4</v>
      </c>
      <c r="H103" s="33">
        <v>43700.33</v>
      </c>
      <c r="I103" s="33">
        <v>-184985</v>
      </c>
      <c r="J103" s="33">
        <v>-984.32999999999993</v>
      </c>
      <c r="K103" s="33">
        <v>2023</v>
      </c>
      <c r="L103" s="33">
        <v>0</v>
      </c>
      <c r="M103" s="33">
        <v>-149775</v>
      </c>
      <c r="N103" s="33">
        <v>-396677</v>
      </c>
      <c r="O103" s="43"/>
      <c r="P103" s="134"/>
      <c r="Q103" s="21"/>
      <c r="V103" s="122"/>
    </row>
    <row r="104" spans="1:22" ht="15.75" thickTop="1" x14ac:dyDescent="0.25">
      <c r="A104" s="1"/>
      <c r="O104" s="10"/>
      <c r="P104"/>
      <c r="Q104"/>
      <c r="R104"/>
      <c r="S104"/>
      <c r="T104"/>
      <c r="U104"/>
      <c r="V104"/>
    </row>
    <row r="105" spans="1:22" ht="15" x14ac:dyDescent="0.25">
      <c r="A105" s="1"/>
      <c r="B105" s="7"/>
      <c r="C105" s="62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6"/>
      <c r="O105" s="63"/>
      <c r="P105"/>
      <c r="Q105"/>
      <c r="R105"/>
      <c r="S105"/>
      <c r="T105"/>
      <c r="U105"/>
      <c r="V105"/>
    </row>
    <row r="106" spans="1:22" ht="15" x14ac:dyDescent="0.25">
      <c r="A106" s="1"/>
      <c r="D106" s="64"/>
      <c r="E106" s="64"/>
      <c r="F106" s="28"/>
      <c r="G106" s="28"/>
      <c r="H106" s="28"/>
      <c r="I106" s="64"/>
      <c r="J106" s="64"/>
      <c r="K106" s="64"/>
      <c r="L106" s="64"/>
      <c r="M106" s="64"/>
      <c r="N106" s="23"/>
      <c r="O106" s="10"/>
      <c r="P106"/>
      <c r="Q106"/>
      <c r="R106"/>
      <c r="S106"/>
      <c r="T106"/>
      <c r="U106"/>
      <c r="V106"/>
    </row>
    <row r="107" spans="1:22" ht="15" x14ac:dyDescent="0.25">
      <c r="A107" s="1"/>
      <c r="B107" s="10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10"/>
      <c r="V107" s="122"/>
    </row>
    <row r="108" spans="1:22" ht="15" x14ac:dyDescent="0.25">
      <c r="A108" s="1"/>
      <c r="B108" s="65" t="s">
        <v>96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 t="s">
        <v>3</v>
      </c>
      <c r="O108" s="10"/>
      <c r="V108" s="122"/>
    </row>
    <row r="109" spans="1:22" x14ac:dyDescent="0.2">
      <c r="A109" s="1"/>
      <c r="B109" s="7"/>
      <c r="D109" s="15" t="s">
        <v>5</v>
      </c>
      <c r="E109" s="15" t="s">
        <v>6</v>
      </c>
      <c r="F109" s="15" t="s">
        <v>7</v>
      </c>
      <c r="G109" s="15" t="s">
        <v>8</v>
      </c>
      <c r="H109" s="15" t="s">
        <v>9</v>
      </c>
      <c r="I109" s="15" t="s">
        <v>10</v>
      </c>
      <c r="J109" s="15" t="s">
        <v>11</v>
      </c>
      <c r="K109" s="15" t="s">
        <v>12</v>
      </c>
      <c r="L109" s="15" t="s">
        <v>13</v>
      </c>
      <c r="M109" s="15" t="s">
        <v>14</v>
      </c>
      <c r="N109" s="16" t="s">
        <v>15</v>
      </c>
      <c r="O109" s="10"/>
      <c r="V109" s="122"/>
    </row>
    <row r="110" spans="1:22" x14ac:dyDescent="0.2">
      <c r="A110" s="1"/>
      <c r="B110" s="10" t="s">
        <v>97</v>
      </c>
      <c r="D110" s="48">
        <v>198220.55205266664</v>
      </c>
      <c r="E110" s="48">
        <v>65683.491795333335</v>
      </c>
      <c r="F110" s="48">
        <v>72952.925487733344</v>
      </c>
      <c r="G110" s="48">
        <v>0</v>
      </c>
      <c r="H110" s="48">
        <v>115675.6439642667</v>
      </c>
      <c r="I110" s="48">
        <v>144149.82047106672</v>
      </c>
      <c r="J110" s="48">
        <v>1353.0814798666668</v>
      </c>
      <c r="K110" s="48">
        <v>1298.0814798666668</v>
      </c>
      <c r="L110" s="48">
        <v>411146.53074293333</v>
      </c>
      <c r="M110" s="48">
        <v>98656.788762933342</v>
      </c>
      <c r="N110" s="46">
        <v>1109136.9162366665</v>
      </c>
      <c r="O110" s="10"/>
      <c r="V110" s="122"/>
    </row>
    <row r="111" spans="1:22" x14ac:dyDescent="0.2">
      <c r="A111" s="1"/>
      <c r="B111" s="10" t="s">
        <v>98</v>
      </c>
      <c r="D111" s="27">
        <v>-42649.896666666653</v>
      </c>
      <c r="E111" s="27">
        <v>-14679.353333333343</v>
      </c>
      <c r="F111" s="27">
        <v>-28015.789999999994</v>
      </c>
      <c r="G111" s="27">
        <v>32687.63</v>
      </c>
      <c r="H111" s="27">
        <v>-118094.69333333334</v>
      </c>
      <c r="I111" s="27">
        <v>-265596.84000000008</v>
      </c>
      <c r="J111" s="27">
        <v>-7060.9900000000007</v>
      </c>
      <c r="K111" s="27">
        <v>-6511.1166666666668</v>
      </c>
      <c r="L111" s="27">
        <v>-170384.74000000002</v>
      </c>
      <c r="M111" s="27">
        <v>-106576.82666666659</v>
      </c>
      <c r="N111" s="66">
        <v>-726882.6166666667</v>
      </c>
      <c r="O111" s="10"/>
      <c r="V111" s="122"/>
    </row>
    <row r="112" spans="1:22" x14ac:dyDescent="0.2">
      <c r="A112" s="1"/>
      <c r="B112" s="10" t="s">
        <v>99</v>
      </c>
      <c r="D112" s="67">
        <v>-121279.97419999998</v>
      </c>
      <c r="E112" s="67">
        <v>-40426.65806666667</v>
      </c>
      <c r="F112" s="67">
        <v>-48511.989679999999</v>
      </c>
      <c r="G112" s="67">
        <v>0</v>
      </c>
      <c r="H112" s="67">
        <v>-78543.221386666657</v>
      </c>
      <c r="I112" s="67">
        <v>-192892.91134666663</v>
      </c>
      <c r="J112" s="67">
        <v>-1155.0473733333331</v>
      </c>
      <c r="K112" s="67">
        <v>-1155.0473733333331</v>
      </c>
      <c r="L112" s="67">
        <v>-263350.80111999984</v>
      </c>
      <c r="M112" s="67">
        <v>-90093.695119999989</v>
      </c>
      <c r="N112" s="68">
        <v>-837409.3456666664</v>
      </c>
      <c r="O112" s="10"/>
      <c r="V112" s="122"/>
    </row>
    <row r="113" spans="1:22" ht="15" x14ac:dyDescent="0.25">
      <c r="A113" s="1"/>
      <c r="B113" s="10" t="s">
        <v>100</v>
      </c>
      <c r="D113" s="69">
        <v>-7696.442949999996</v>
      </c>
      <c r="E113" s="69">
        <v>-2565.4809833333325</v>
      </c>
      <c r="F113" s="69">
        <v>-3078.5771799999975</v>
      </c>
      <c r="G113" s="69">
        <v>0</v>
      </c>
      <c r="H113" s="69">
        <v>-4984.3630533333308</v>
      </c>
      <c r="I113" s="69">
        <v>-12241.009263333324</v>
      </c>
      <c r="J113" s="69">
        <v>-73.299456666666615</v>
      </c>
      <c r="K113" s="69">
        <v>-73.299456666666615</v>
      </c>
      <c r="L113" s="69">
        <v>-16712.276119999984</v>
      </c>
      <c r="M113" s="69">
        <v>-5717.3576199999961</v>
      </c>
      <c r="N113" s="70">
        <v>-53142.106083333289</v>
      </c>
      <c r="O113" s="10"/>
      <c r="V113" s="122"/>
    </row>
    <row r="114" spans="1:22" x14ac:dyDescent="0.2">
      <c r="A114" s="1"/>
      <c r="B114" s="9" t="s">
        <v>90</v>
      </c>
      <c r="D114" s="71">
        <v>26594.238236000019</v>
      </c>
      <c r="E114" s="71">
        <v>8011.9994119999847</v>
      </c>
      <c r="F114" s="71">
        <v>-6653.4313722666457</v>
      </c>
      <c r="G114" s="71">
        <v>32687.63</v>
      </c>
      <c r="H114" s="71">
        <v>-85946.63380906664</v>
      </c>
      <c r="I114" s="71">
        <v>-326580.94013893331</v>
      </c>
      <c r="J114" s="71">
        <v>-6936.2553501333332</v>
      </c>
      <c r="K114" s="71">
        <v>-6441.3820167999993</v>
      </c>
      <c r="L114" s="71">
        <v>-39301.28649706651</v>
      </c>
      <c r="M114" s="71">
        <v>-103731.09064373323</v>
      </c>
      <c r="N114" s="71">
        <v>-508297.15217999986</v>
      </c>
      <c r="O114" s="10"/>
      <c r="V114" s="122"/>
    </row>
    <row r="115" spans="1:22" x14ac:dyDescent="0.2">
      <c r="A115" s="1"/>
      <c r="B115" s="10" t="s">
        <v>101</v>
      </c>
      <c r="D115" s="66">
        <v>62630</v>
      </c>
      <c r="E115" s="66">
        <v>-118127.81</v>
      </c>
      <c r="F115" s="66">
        <v>-42414</v>
      </c>
      <c r="G115" s="66">
        <v>-8744.4</v>
      </c>
      <c r="H115" s="66">
        <v>43700.33</v>
      </c>
      <c r="I115" s="66">
        <v>-184985</v>
      </c>
      <c r="J115" s="66">
        <v>-984.32999999999993</v>
      </c>
      <c r="K115" s="66">
        <v>2023</v>
      </c>
      <c r="L115" s="66">
        <v>0</v>
      </c>
      <c r="M115" s="66">
        <v>-149775</v>
      </c>
      <c r="N115" s="66">
        <v>-396677</v>
      </c>
      <c r="O115" s="10"/>
      <c r="V115" s="122"/>
    </row>
    <row r="116" spans="1:22" ht="13.5" thickBot="1" x14ac:dyDescent="0.25">
      <c r="A116" s="1"/>
      <c r="B116" s="7" t="s">
        <v>102</v>
      </c>
      <c r="D116" s="33">
        <v>89224.238236000019</v>
      </c>
      <c r="E116" s="33">
        <v>-110115.81058800001</v>
      </c>
      <c r="F116" s="33">
        <v>-49067.431372266648</v>
      </c>
      <c r="G116" s="33">
        <v>23943.230000000003</v>
      </c>
      <c r="H116" s="33">
        <v>-42246.303809066638</v>
      </c>
      <c r="I116" s="33">
        <v>-511565.94013893331</v>
      </c>
      <c r="J116" s="33">
        <v>-7920.5853501333331</v>
      </c>
      <c r="K116" s="33">
        <v>-4418.3820167999993</v>
      </c>
      <c r="L116" s="33">
        <v>-39301.28649706651</v>
      </c>
      <c r="M116" s="33">
        <v>-253506.09064373322</v>
      </c>
      <c r="N116" s="33">
        <v>-904974.15217999986</v>
      </c>
      <c r="O116" s="10"/>
      <c r="V116" s="122"/>
    </row>
    <row r="117" spans="1:22" ht="13.5" thickTop="1" x14ac:dyDescent="0.2">
      <c r="A117" s="1"/>
      <c r="N117" s="46">
        <v>0</v>
      </c>
      <c r="O117" s="10"/>
      <c r="V117" s="122"/>
    </row>
    <row r="118" spans="1:22" x14ac:dyDescent="0.2">
      <c r="A118" s="1"/>
      <c r="B118" s="72" t="s">
        <v>103</v>
      </c>
      <c r="C118" s="73" t="s">
        <v>104</v>
      </c>
      <c r="D118" s="74">
        <v>62630.22</v>
      </c>
      <c r="E118" s="74">
        <v>-118127.81</v>
      </c>
      <c r="F118" s="74">
        <v>-42414.35</v>
      </c>
      <c r="G118" s="74">
        <v>-8744.4</v>
      </c>
      <c r="H118" s="74">
        <v>43700.33</v>
      </c>
      <c r="I118" s="74">
        <v>-184985</v>
      </c>
      <c r="J118" s="74">
        <v>-984.32999999999993</v>
      </c>
      <c r="K118" s="74">
        <v>2023</v>
      </c>
      <c r="L118" s="74">
        <v>0</v>
      </c>
      <c r="M118" s="74">
        <v>-149775</v>
      </c>
      <c r="N118" s="74">
        <v>-396677.33999999997</v>
      </c>
      <c r="O118" s="10"/>
      <c r="V118" s="122"/>
    </row>
    <row r="119" spans="1:22" x14ac:dyDescent="0.2">
      <c r="A119" s="1"/>
      <c r="B119" s="75" t="s">
        <v>105</v>
      </c>
      <c r="C119" s="75"/>
      <c r="D119" s="76">
        <v>0.70194177320227413</v>
      </c>
      <c r="E119" s="76">
        <v>1.0727597551088917</v>
      </c>
      <c r="F119" s="76">
        <v>0.86440942217270755</v>
      </c>
      <c r="G119" s="76"/>
      <c r="H119" s="76">
        <v>-1.0344178320902315</v>
      </c>
      <c r="I119" s="76">
        <v>0.36160538746923021</v>
      </c>
      <c r="J119" s="76">
        <v>0.12427490601858485</v>
      </c>
      <c r="K119" s="76">
        <v>-0.45785991168440254</v>
      </c>
      <c r="L119" s="76"/>
      <c r="M119" s="76">
        <v>0.59081420734181678</v>
      </c>
      <c r="N119" s="75"/>
      <c r="O119" s="10"/>
      <c r="V119" s="122"/>
    </row>
    <row r="120" spans="1:22" x14ac:dyDescent="0.2">
      <c r="A120" s="1"/>
      <c r="B120" s="75"/>
      <c r="C120" s="75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5"/>
      <c r="O120" s="10"/>
      <c r="V120" s="122"/>
    </row>
    <row r="121" spans="1:22" x14ac:dyDescent="0.2">
      <c r="A121" s="1"/>
      <c r="B121" s="75" t="s">
        <v>106</v>
      </c>
      <c r="C121" s="75"/>
      <c r="D121" s="76">
        <v>1.0000035126935973</v>
      </c>
      <c r="E121" s="76">
        <v>1</v>
      </c>
      <c r="F121" s="76">
        <v>1.0000082519922666</v>
      </c>
      <c r="G121" s="76"/>
      <c r="H121" s="76">
        <v>1</v>
      </c>
      <c r="I121" s="76">
        <v>1</v>
      </c>
      <c r="J121" s="76">
        <v>1</v>
      </c>
      <c r="K121" s="76">
        <v>1</v>
      </c>
      <c r="L121" s="76"/>
      <c r="M121" s="76">
        <v>1</v>
      </c>
      <c r="N121" s="75"/>
      <c r="O121" s="10"/>
      <c r="V121" s="122"/>
    </row>
    <row r="122" spans="1:22" ht="15" x14ac:dyDescent="0.25">
      <c r="A122" s="1"/>
      <c r="B122" s="10"/>
      <c r="C122" s="10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O122" s="10"/>
      <c r="V122" s="122"/>
    </row>
    <row r="123" spans="1:22" x14ac:dyDescent="0.2">
      <c r="A123" s="1"/>
      <c r="B123" s="72" t="s">
        <v>107</v>
      </c>
      <c r="C123" s="75"/>
      <c r="D123" s="79">
        <v>62630.22</v>
      </c>
      <c r="E123" s="79">
        <v>-118127.81</v>
      </c>
      <c r="F123" s="79">
        <v>-42414.35</v>
      </c>
      <c r="G123" s="79">
        <v>-8744.4</v>
      </c>
      <c r="H123" s="79">
        <v>43700.33</v>
      </c>
      <c r="I123" s="79">
        <v>-184985</v>
      </c>
      <c r="J123" s="79">
        <v>-984.32999999999993</v>
      </c>
      <c r="K123" s="79">
        <v>2023</v>
      </c>
      <c r="L123" s="79">
        <v>0</v>
      </c>
      <c r="M123" s="79">
        <v>-149775</v>
      </c>
      <c r="N123" s="79">
        <v>-396677.33999999997</v>
      </c>
      <c r="O123" s="10"/>
      <c r="V123" s="122"/>
    </row>
    <row r="124" spans="1:22" x14ac:dyDescent="0.2">
      <c r="A124" s="1"/>
      <c r="B124" s="75" t="s">
        <v>105</v>
      </c>
      <c r="C124" s="75"/>
      <c r="D124" s="80">
        <v>0.70194177320227413</v>
      </c>
      <c r="E124" s="80">
        <v>1.0727597551088917</v>
      </c>
      <c r="F124" s="80">
        <v>0.86440942217270755</v>
      </c>
      <c r="G124" s="80">
        <v>-0.3652138830057598</v>
      </c>
      <c r="H124" s="80">
        <v>-1.0344178320902315</v>
      </c>
      <c r="I124" s="80">
        <v>0.36160538746923021</v>
      </c>
      <c r="J124" s="80">
        <v>0.12427490601858485</v>
      </c>
      <c r="K124" s="80">
        <v>-0.45785991168440254</v>
      </c>
      <c r="L124" s="80">
        <v>0</v>
      </c>
      <c r="M124" s="80">
        <v>0.59081420734181678</v>
      </c>
      <c r="N124" s="75"/>
      <c r="O124" s="10"/>
      <c r="V124" s="122"/>
    </row>
    <row r="125" spans="1:22" x14ac:dyDescent="0.2">
      <c r="A125" s="1"/>
      <c r="B125" s="75"/>
      <c r="C125" s="75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75"/>
      <c r="O125" s="10"/>
      <c r="V125" s="122"/>
    </row>
    <row r="126" spans="1:22" x14ac:dyDescent="0.2">
      <c r="A126" s="1"/>
      <c r="B126" s="75" t="s">
        <v>106</v>
      </c>
      <c r="C126" s="75"/>
      <c r="D126" s="80">
        <v>1.0000035126935973</v>
      </c>
      <c r="E126" s="80">
        <v>1</v>
      </c>
      <c r="F126" s="80">
        <v>1.0000082519922666</v>
      </c>
      <c r="G126" s="80">
        <v>1</v>
      </c>
      <c r="H126" s="80">
        <v>1</v>
      </c>
      <c r="I126" s="80">
        <v>1</v>
      </c>
      <c r="J126" s="80">
        <v>1</v>
      </c>
      <c r="K126" s="80">
        <v>1</v>
      </c>
      <c r="L126" s="80"/>
      <c r="M126" s="80">
        <v>1</v>
      </c>
      <c r="N126" s="75"/>
      <c r="O126" s="10"/>
      <c r="V126" s="122"/>
    </row>
    <row r="127" spans="1:22" ht="15" x14ac:dyDescent="0.25">
      <c r="A127" s="1"/>
      <c r="B127" s="10"/>
      <c r="C127" s="10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O127" s="10"/>
      <c r="V127" s="122"/>
    </row>
    <row r="128" spans="1:22" ht="15" x14ac:dyDescent="0.25">
      <c r="A128" s="1"/>
      <c r="B128" s="10"/>
      <c r="D128" s="23"/>
      <c r="H128" s="81"/>
      <c r="V128" s="122"/>
    </row>
    <row r="129" spans="1:22" ht="15" x14ac:dyDescent="0.25">
      <c r="A129" s="1"/>
      <c r="B129" s="10"/>
      <c r="D129" s="23"/>
      <c r="H129" s="3" t="s">
        <v>83</v>
      </c>
      <c r="V129" s="122"/>
    </row>
    <row r="130" spans="1:22" ht="15" x14ac:dyDescent="0.25">
      <c r="A130" s="1"/>
      <c r="B130" s="10" t="s">
        <v>108</v>
      </c>
      <c r="C130" s="82">
        <v>0.06</v>
      </c>
      <c r="V130" s="122"/>
    </row>
    <row r="131" spans="1:22" ht="15" x14ac:dyDescent="0.25">
      <c r="A131" s="1"/>
      <c r="B131" s="10" t="s">
        <v>19</v>
      </c>
      <c r="C131" s="82">
        <v>0.19500000000000001</v>
      </c>
      <c r="P131" s="10" t="s">
        <v>109</v>
      </c>
      <c r="V131" s="122"/>
    </row>
    <row r="132" spans="1:22" ht="15" x14ac:dyDescent="0.25">
      <c r="A132" s="1"/>
      <c r="B132" s="10"/>
      <c r="C132" s="82"/>
      <c r="V132" s="122"/>
    </row>
    <row r="133" spans="1:22" x14ac:dyDescent="0.2">
      <c r="A133" s="1"/>
      <c r="V133" s="122"/>
    </row>
    <row r="134" spans="1:22" x14ac:dyDescent="0.2">
      <c r="A134" s="1"/>
      <c r="B134" s="83" t="s">
        <v>110</v>
      </c>
      <c r="C134" s="84"/>
      <c r="D134" s="15"/>
      <c r="E134" s="15"/>
      <c r="F134" s="15"/>
      <c r="G134" s="15"/>
      <c r="H134" s="15" t="s">
        <v>9</v>
      </c>
      <c r="I134" s="15" t="s">
        <v>10</v>
      </c>
      <c r="J134" s="15" t="s">
        <v>11</v>
      </c>
      <c r="K134" s="15" t="s">
        <v>12</v>
      </c>
      <c r="L134" s="15"/>
      <c r="M134" s="15" t="s">
        <v>14</v>
      </c>
      <c r="N134" s="14"/>
      <c r="O134" s="15" t="s">
        <v>111</v>
      </c>
      <c r="P134" s="15" t="s">
        <v>112</v>
      </c>
      <c r="Q134" s="15"/>
      <c r="V134" s="122"/>
    </row>
    <row r="135" spans="1:22" ht="15" x14ac:dyDescent="0.25">
      <c r="A135" s="1"/>
      <c r="B135" s="85" t="s">
        <v>113</v>
      </c>
      <c r="C135" s="86"/>
      <c r="D135" s="86"/>
      <c r="E135" s="86"/>
      <c r="F135" s="86"/>
      <c r="G135" s="86"/>
      <c r="H135" s="87">
        <v>43700.33</v>
      </c>
      <c r="I135" s="87">
        <v>-184985</v>
      </c>
      <c r="J135" s="87">
        <v>-984.32999999999993</v>
      </c>
      <c r="K135" s="87">
        <v>2023</v>
      </c>
      <c r="L135" s="86"/>
      <c r="M135" s="87">
        <v>-149775</v>
      </c>
      <c r="N135" s="49"/>
      <c r="O135" s="87">
        <v>-140245.99999999997</v>
      </c>
      <c r="P135" s="129">
        <v>-290021</v>
      </c>
      <c r="Q135" s="87"/>
      <c r="V135" s="122"/>
    </row>
    <row r="136" spans="1:22" ht="15.75" customHeight="1" x14ac:dyDescent="0.25">
      <c r="A136" s="1"/>
      <c r="B136" s="85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49"/>
      <c r="O136" s="86"/>
      <c r="P136" s="130"/>
      <c r="Q136" s="86"/>
      <c r="V136" s="122"/>
    </row>
    <row r="137" spans="1:22" ht="15" x14ac:dyDescent="0.25">
      <c r="A137" s="1"/>
      <c r="B137" s="85" t="s">
        <v>114</v>
      </c>
      <c r="C137" s="86"/>
      <c r="D137" s="86"/>
      <c r="E137" s="86"/>
      <c r="F137" s="86"/>
      <c r="G137" s="86"/>
      <c r="H137" s="87">
        <v>115675.6439642667</v>
      </c>
      <c r="I137" s="87">
        <v>144149.82047106672</v>
      </c>
      <c r="J137" s="87">
        <v>1353.0814798666668</v>
      </c>
      <c r="K137" s="87">
        <v>1298.0814798666668</v>
      </c>
      <c r="L137" s="86"/>
      <c r="M137" s="87">
        <v>98656.788762933342</v>
      </c>
      <c r="N137" s="49"/>
      <c r="O137" s="87">
        <v>262476.62739506672</v>
      </c>
      <c r="P137" s="129">
        <v>361133.41615800007</v>
      </c>
      <c r="Q137" s="87"/>
      <c r="V137" s="122"/>
    </row>
    <row r="138" spans="1:22" ht="15" x14ac:dyDescent="0.25">
      <c r="A138" s="1"/>
      <c r="B138" s="85"/>
      <c r="C138" s="86"/>
      <c r="D138" s="86"/>
      <c r="E138" s="86"/>
      <c r="F138" s="86"/>
      <c r="G138" s="86"/>
      <c r="H138" s="87"/>
      <c r="I138" s="87"/>
      <c r="J138" s="87"/>
      <c r="K138" s="87"/>
      <c r="L138" s="86"/>
      <c r="M138" s="87"/>
      <c r="N138" s="49"/>
      <c r="O138" s="87"/>
      <c r="P138" s="129"/>
      <c r="Q138" s="87"/>
      <c r="V138" s="122"/>
    </row>
    <row r="139" spans="1:22" ht="15" customHeight="1" x14ac:dyDescent="0.2">
      <c r="B139" s="89" t="s">
        <v>115</v>
      </c>
      <c r="C139" s="90"/>
      <c r="D139" s="90"/>
      <c r="E139" s="90"/>
      <c r="F139" s="91"/>
      <c r="G139" s="91"/>
      <c r="H139" s="92">
        <v>159375.97396426671</v>
      </c>
      <c r="I139" s="92">
        <v>-40835.17952893328</v>
      </c>
      <c r="J139" s="92">
        <v>368.75147986666684</v>
      </c>
      <c r="K139" s="92">
        <v>3321.081479866667</v>
      </c>
      <c r="L139" s="89"/>
      <c r="M139" s="92">
        <v>-51118.211237066658</v>
      </c>
      <c r="N139" s="32"/>
      <c r="O139" s="92">
        <v>122230.62739506675</v>
      </c>
      <c r="P139" s="92">
        <v>71112.416158000065</v>
      </c>
      <c r="Q139" s="92"/>
      <c r="V139" s="122"/>
    </row>
    <row r="140" spans="1:22" ht="15" customHeight="1" x14ac:dyDescent="0.2">
      <c r="B140" s="32"/>
      <c r="C140" s="93"/>
      <c r="D140" s="93"/>
      <c r="E140" s="93"/>
      <c r="F140" s="49"/>
      <c r="G140" s="49"/>
      <c r="H140" s="58"/>
      <c r="I140" s="58"/>
      <c r="J140" s="58"/>
      <c r="K140" s="58"/>
      <c r="L140" s="32"/>
      <c r="M140" s="58"/>
      <c r="N140" s="32"/>
      <c r="O140" s="58"/>
      <c r="P140" s="58"/>
      <c r="Q140" s="58"/>
      <c r="V140" s="122"/>
    </row>
    <row r="141" spans="1:22" ht="15" outlineLevel="1" x14ac:dyDescent="0.25">
      <c r="B141" s="94" t="s">
        <v>116</v>
      </c>
      <c r="H141" s="46">
        <v>-201622.27777333334</v>
      </c>
      <c r="I141" s="46">
        <v>-470730.76061000006</v>
      </c>
      <c r="J141" s="46">
        <v>-8289.3368300000002</v>
      </c>
      <c r="K141" s="46">
        <v>-7739.4634966666663</v>
      </c>
      <c r="L141" s="46"/>
      <c r="M141" s="46">
        <v>-202387.87940666659</v>
      </c>
      <c r="N141" s="49"/>
      <c r="O141" s="46">
        <v>-688381.83871000004</v>
      </c>
      <c r="P141" s="63">
        <v>-890769.71811666666</v>
      </c>
      <c r="Q141" s="46"/>
      <c r="V141" s="122"/>
    </row>
    <row r="142" spans="1:22" ht="7.5" customHeight="1" outlineLevel="1" x14ac:dyDescent="0.25">
      <c r="B142" s="95"/>
      <c r="N142" s="49"/>
      <c r="V142" s="122"/>
    </row>
    <row r="143" spans="1:22" ht="15" outlineLevel="1" x14ac:dyDescent="0.25">
      <c r="B143" s="94" t="s">
        <v>117</v>
      </c>
      <c r="H143" s="46">
        <v>-42246.303809066623</v>
      </c>
      <c r="I143" s="46">
        <v>-511565.94013893337</v>
      </c>
      <c r="J143" s="46">
        <v>-7920.5853501333331</v>
      </c>
      <c r="K143" s="46">
        <v>-4418.3820167999993</v>
      </c>
      <c r="M143" s="46">
        <v>-253506.09064373325</v>
      </c>
      <c r="N143" s="49"/>
      <c r="O143" s="46">
        <v>-566151.21131493326</v>
      </c>
      <c r="P143" s="63">
        <v>-819657.30195866665</v>
      </c>
      <c r="Q143" s="46"/>
      <c r="V143" s="122"/>
    </row>
    <row r="144" spans="1:22" outlineLevel="1" x14ac:dyDescent="0.2">
      <c r="N144" s="49"/>
      <c r="V144" s="122"/>
    </row>
    <row r="145" spans="2:22" x14ac:dyDescent="0.2">
      <c r="V145" s="122"/>
    </row>
    <row r="146" spans="2:22" x14ac:dyDescent="0.2">
      <c r="V146" s="122"/>
    </row>
    <row r="147" spans="2:22" x14ac:dyDescent="0.2">
      <c r="B147" s="7" t="s">
        <v>118</v>
      </c>
      <c r="M147" s="15" t="s">
        <v>14</v>
      </c>
      <c r="O147" s="96" t="s">
        <v>111</v>
      </c>
      <c r="P147" s="96" t="s">
        <v>112</v>
      </c>
      <c r="Q147" s="96"/>
      <c r="V147" s="122"/>
    </row>
    <row r="148" spans="2:22" ht="15" x14ac:dyDescent="0.25">
      <c r="B148" s="97" t="s">
        <v>119</v>
      </c>
      <c r="M148" s="98">
        <v>-8349.4554000000044</v>
      </c>
      <c r="N148" s="99"/>
      <c r="O148" s="98">
        <v>-25369.499100000015</v>
      </c>
      <c r="P148" s="98">
        <v>-33718.954500000022</v>
      </c>
      <c r="Q148" s="98"/>
      <c r="V148" s="122"/>
    </row>
    <row r="149" spans="2:22" ht="15" x14ac:dyDescent="0.25">
      <c r="B149" s="100" t="s">
        <v>120</v>
      </c>
      <c r="M149" s="101">
        <v>-146341.95929333329</v>
      </c>
      <c r="O149" s="101">
        <v>-545292.76067333319</v>
      </c>
      <c r="P149" s="131">
        <v>-691634.71996666654</v>
      </c>
      <c r="Q149" s="101"/>
      <c r="V149" s="122"/>
    </row>
    <row r="150" spans="2:22" ht="15" x14ac:dyDescent="0.25">
      <c r="B150" s="100" t="s">
        <v>121</v>
      </c>
      <c r="M150" s="101">
        <v>-36489.1368</v>
      </c>
      <c r="O150" s="101">
        <v>-142332.09053333336</v>
      </c>
      <c r="P150" s="131">
        <v>-178821.22733333337</v>
      </c>
      <c r="Q150" s="101"/>
      <c r="V150" s="122"/>
    </row>
    <row r="151" spans="2:22" ht="15" x14ac:dyDescent="0.25">
      <c r="B151" s="100" t="s">
        <v>122</v>
      </c>
      <c r="M151" s="101">
        <v>13920.58602666666</v>
      </c>
      <c r="O151" s="101">
        <v>58063.170106666621</v>
      </c>
      <c r="P151" s="131">
        <v>71983.756133333285</v>
      </c>
      <c r="Q151" s="101"/>
      <c r="V151" s="122"/>
    </row>
    <row r="152" spans="2:22" ht="15" x14ac:dyDescent="0.25">
      <c r="B152" s="100" t="s">
        <v>123</v>
      </c>
      <c r="M152" s="3">
        <v>0</v>
      </c>
      <c r="O152" s="3">
        <v>0</v>
      </c>
      <c r="P152" s="10">
        <v>0</v>
      </c>
    </row>
    <row r="153" spans="2:22" ht="15" x14ac:dyDescent="0.25">
      <c r="B153" s="100" t="s">
        <v>124</v>
      </c>
      <c r="M153" s="3">
        <v>0</v>
      </c>
      <c r="O153" s="3">
        <v>0</v>
      </c>
      <c r="P153" s="10">
        <v>0</v>
      </c>
    </row>
    <row r="154" spans="2:22" ht="15" x14ac:dyDescent="0.25">
      <c r="B154" s="100" t="s">
        <v>125</v>
      </c>
      <c r="M154" s="101">
        <v>-25127.913939999929</v>
      </c>
      <c r="O154" s="101">
        <v>-33450.65851000003</v>
      </c>
      <c r="P154" s="131">
        <v>-58578.572449999963</v>
      </c>
      <c r="Q154" s="101"/>
    </row>
    <row r="155" spans="2:22" x14ac:dyDescent="0.2">
      <c r="M155" s="102">
        <v>-202387.87940666659</v>
      </c>
      <c r="N155" s="103"/>
      <c r="O155" s="102">
        <v>-688381.83870999992</v>
      </c>
      <c r="P155" s="102">
        <v>-890769.71811666654</v>
      </c>
      <c r="Q155" s="128"/>
    </row>
    <row r="156" spans="2:22" x14ac:dyDescent="0.2">
      <c r="M156" s="104">
        <v>0</v>
      </c>
      <c r="O156" s="104">
        <v>0</v>
      </c>
      <c r="P156" s="132">
        <v>0</v>
      </c>
      <c r="Q156" s="104"/>
    </row>
    <row r="159" spans="2:22" ht="15" x14ac:dyDescent="0.25">
      <c r="D159"/>
      <c r="E159"/>
      <c r="F159"/>
      <c r="G159"/>
      <c r="L159"/>
    </row>
    <row r="160" spans="2:22" ht="15" x14ac:dyDescent="0.25">
      <c r="D160"/>
      <c r="E160"/>
      <c r="F160"/>
      <c r="G160"/>
      <c r="L160"/>
    </row>
    <row r="161" spans="4:12" ht="15" x14ac:dyDescent="0.25">
      <c r="D161"/>
      <c r="E161"/>
      <c r="F161"/>
      <c r="G161"/>
      <c r="L161"/>
    </row>
    <row r="162" spans="4:12" ht="15" x14ac:dyDescent="0.25">
      <c r="D162"/>
      <c r="E162"/>
      <c r="F162"/>
      <c r="G162"/>
      <c r="L162"/>
    </row>
    <row r="163" spans="4:12" ht="15" x14ac:dyDescent="0.25">
      <c r="D163"/>
      <c r="E163"/>
      <c r="F163"/>
      <c r="G163"/>
      <c r="L163"/>
    </row>
    <row r="164" spans="4:12" ht="15" x14ac:dyDescent="0.25">
      <c r="D164"/>
      <c r="E164"/>
      <c r="F164"/>
      <c r="G164"/>
      <c r="L164"/>
    </row>
    <row r="165" spans="4:12" ht="15" x14ac:dyDescent="0.25">
      <c r="D165"/>
      <c r="E165"/>
      <c r="F165"/>
      <c r="G165"/>
      <c r="L165"/>
    </row>
    <row r="166" spans="4:12" ht="15" x14ac:dyDescent="0.25">
      <c r="D166"/>
      <c r="E166"/>
      <c r="F166"/>
      <c r="G166"/>
    </row>
    <row r="167" spans="4:12" ht="15" x14ac:dyDescent="0.25">
      <c r="D167"/>
      <c r="E167"/>
      <c r="F167"/>
      <c r="G167"/>
    </row>
    <row r="168" spans="4:12" ht="15" x14ac:dyDescent="0.25">
      <c r="D168"/>
      <c r="E168"/>
      <c r="F168"/>
      <c r="G168"/>
    </row>
    <row r="169" spans="4:12" ht="15" x14ac:dyDescent="0.25">
      <c r="D169"/>
      <c r="E169"/>
      <c r="F169"/>
      <c r="G169"/>
    </row>
    <row r="170" spans="4:12" ht="15" x14ac:dyDescent="0.25">
      <c r="D170"/>
      <c r="E170"/>
      <c r="F170"/>
      <c r="G170"/>
    </row>
    <row r="171" spans="4:12" ht="15" x14ac:dyDescent="0.25">
      <c r="D171"/>
      <c r="E171"/>
      <c r="F171"/>
      <c r="G171"/>
    </row>
    <row r="172" spans="4:12" ht="15" x14ac:dyDescent="0.25">
      <c r="D172"/>
      <c r="E172"/>
      <c r="F172"/>
      <c r="G172"/>
    </row>
    <row r="173" spans="4:12" ht="15" x14ac:dyDescent="0.25">
      <c r="D173"/>
      <c r="E173"/>
      <c r="F173"/>
      <c r="G173"/>
    </row>
    <row r="174" spans="4:12" ht="15" x14ac:dyDescent="0.25">
      <c r="D174"/>
      <c r="E174"/>
      <c r="F174"/>
      <c r="G174"/>
    </row>
    <row r="175" spans="4:12" ht="15" x14ac:dyDescent="0.25">
      <c r="D175"/>
      <c r="E175"/>
      <c r="F175"/>
      <c r="G175"/>
    </row>
  </sheetData>
  <mergeCells count="1">
    <mergeCell ref="R6:V6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6"/>
  <sheetViews>
    <sheetView zoomScale="85" zoomScaleNormal="85" workbookViewId="0">
      <pane xSplit="4" ySplit="5" topLeftCell="N6" activePane="bottomRight" state="frozen"/>
      <selection pane="topRight" activeCell="E1" sqref="E1"/>
      <selection pane="bottomLeft" activeCell="A6" sqref="A6"/>
      <selection pane="bottomRight" activeCell="S62" sqref="S62"/>
    </sheetView>
  </sheetViews>
  <sheetFormatPr defaultRowHeight="12.75" outlineLevelCol="1" x14ac:dyDescent="0.2"/>
  <cols>
    <col min="1" max="1" width="22.85546875" style="112" customWidth="1"/>
    <col min="2" max="2" width="26.42578125" style="112" customWidth="1"/>
    <col min="3" max="3" width="42.85546875" style="112" customWidth="1"/>
    <col min="4" max="4" width="32.5703125" style="112" customWidth="1"/>
    <col min="5" max="17" width="15.5703125" style="112" hidden="1" customWidth="1" outlineLevel="1"/>
    <col min="18" max="18" width="15.5703125" style="112" customWidth="1" collapsed="1"/>
    <col min="19" max="19" width="35.5703125" style="112" customWidth="1"/>
    <col min="20" max="20" width="22" style="112" bestFit="1" customWidth="1"/>
    <col min="21" max="21" width="15.85546875" style="112" bestFit="1" customWidth="1"/>
    <col min="22" max="22" width="16" style="112" customWidth="1"/>
    <col min="23" max="16384" width="9.140625" style="112"/>
  </cols>
  <sheetData>
    <row r="1" spans="1:23" ht="35.25" customHeight="1" thickBot="1" x14ac:dyDescent="0.25">
      <c r="A1" s="203" t="s">
        <v>126</v>
      </c>
      <c r="B1" s="203" t="s">
        <v>127</v>
      </c>
      <c r="C1" s="203" t="s">
        <v>128</v>
      </c>
      <c r="D1" s="203" t="s">
        <v>129</v>
      </c>
      <c r="E1" s="203" t="s">
        <v>130</v>
      </c>
      <c r="F1" s="203" t="s">
        <v>131</v>
      </c>
      <c r="G1" s="203" t="s">
        <v>132</v>
      </c>
      <c r="H1" s="203" t="s">
        <v>133</v>
      </c>
      <c r="I1" s="203" t="s">
        <v>134</v>
      </c>
      <c r="J1" s="203" t="s">
        <v>135</v>
      </c>
      <c r="K1" s="203" t="s">
        <v>136</v>
      </c>
      <c r="L1" s="203" t="s">
        <v>137</v>
      </c>
      <c r="M1" s="203" t="s">
        <v>138</v>
      </c>
      <c r="N1" s="203" t="s">
        <v>139</v>
      </c>
      <c r="O1" s="203" t="s">
        <v>140</v>
      </c>
      <c r="P1" s="203" t="s">
        <v>141</v>
      </c>
      <c r="Q1" s="203" t="s">
        <v>142</v>
      </c>
      <c r="R1" s="204" t="s">
        <v>232</v>
      </c>
      <c r="S1" s="111" t="s">
        <v>168</v>
      </c>
      <c r="T1" s="111" t="s">
        <v>174</v>
      </c>
      <c r="U1" s="111" t="s">
        <v>175</v>
      </c>
      <c r="V1" s="111" t="s">
        <v>180</v>
      </c>
    </row>
    <row r="2" spans="1:23" customFormat="1" ht="15.75" hidden="1" x14ac:dyDescent="0.25">
      <c r="A2" s="105" t="s">
        <v>144</v>
      </c>
      <c r="B2" s="105" t="s">
        <v>145</v>
      </c>
      <c r="C2" s="105" t="s">
        <v>146</v>
      </c>
      <c r="D2" s="106" t="s">
        <v>147</v>
      </c>
      <c r="E2" s="107">
        <v>0</v>
      </c>
      <c r="F2" s="107">
        <v>0</v>
      </c>
      <c r="G2" s="107">
        <v>1476</v>
      </c>
      <c r="H2" s="107">
        <v>0</v>
      </c>
      <c r="I2" s="107">
        <v>0</v>
      </c>
      <c r="J2" s="107">
        <v>0</v>
      </c>
      <c r="K2" s="107">
        <v>0</v>
      </c>
      <c r="L2" s="107">
        <v>0</v>
      </c>
      <c r="M2" s="107">
        <v>0</v>
      </c>
      <c r="N2" s="107">
        <v>0</v>
      </c>
      <c r="O2" s="107">
        <v>0</v>
      </c>
      <c r="P2" s="107">
        <v>0</v>
      </c>
      <c r="Q2" s="107">
        <v>1476</v>
      </c>
      <c r="R2" s="107">
        <f>SUM(E2:P2)</f>
        <v>1476</v>
      </c>
    </row>
    <row r="3" spans="1:23" customFormat="1" ht="15.75" hidden="1" x14ac:dyDescent="0.25">
      <c r="A3" s="105" t="s">
        <v>144</v>
      </c>
      <c r="B3" s="105" t="s">
        <v>145</v>
      </c>
      <c r="C3" s="105" t="s">
        <v>146</v>
      </c>
      <c r="D3" s="106" t="s">
        <v>63</v>
      </c>
      <c r="E3" s="107">
        <v>0.99</v>
      </c>
      <c r="F3" s="107">
        <v>0.99</v>
      </c>
      <c r="G3" s="107">
        <v>0.99</v>
      </c>
      <c r="H3" s="107">
        <v>0.99</v>
      </c>
      <c r="I3" s="107">
        <v>0.99</v>
      </c>
      <c r="J3" s="107">
        <v>0.99</v>
      </c>
      <c r="K3" s="107">
        <v>0</v>
      </c>
      <c r="L3" s="107">
        <v>0</v>
      </c>
      <c r="M3" s="107">
        <v>0</v>
      </c>
      <c r="N3" s="107">
        <v>0</v>
      </c>
      <c r="O3" s="107">
        <v>0</v>
      </c>
      <c r="P3" s="107">
        <v>0</v>
      </c>
      <c r="Q3" s="107">
        <v>5.94</v>
      </c>
      <c r="R3" s="107">
        <f t="shared" ref="R3:R51" si="0">SUM(E3:P3)</f>
        <v>5.94</v>
      </c>
    </row>
    <row r="4" spans="1:23" customFormat="1" ht="15.75" hidden="1" x14ac:dyDescent="0.25">
      <c r="A4" s="105" t="s">
        <v>144</v>
      </c>
      <c r="B4" s="105" t="s">
        <v>145</v>
      </c>
      <c r="C4" s="105" t="s">
        <v>146</v>
      </c>
      <c r="D4" s="106" t="s">
        <v>67</v>
      </c>
      <c r="E4" s="107">
        <v>0</v>
      </c>
      <c r="F4" s="107">
        <v>2947.5</v>
      </c>
      <c r="G4" s="107">
        <v>787.5</v>
      </c>
      <c r="H4" s="107">
        <v>-3573.75</v>
      </c>
      <c r="I4" s="107">
        <v>82.5</v>
      </c>
      <c r="J4" s="107">
        <v>67.5</v>
      </c>
      <c r="K4" s="107">
        <v>63.75</v>
      </c>
      <c r="L4" s="107">
        <v>0</v>
      </c>
      <c r="M4" s="107">
        <v>0</v>
      </c>
      <c r="N4" s="107">
        <v>0</v>
      </c>
      <c r="O4" s="107">
        <v>0</v>
      </c>
      <c r="P4" s="107">
        <v>0</v>
      </c>
      <c r="Q4" s="107">
        <v>375</v>
      </c>
      <c r="R4" s="107">
        <f t="shared" si="0"/>
        <v>375</v>
      </c>
    </row>
    <row r="5" spans="1:23" customFormat="1" ht="15.75" hidden="1" x14ac:dyDescent="0.25">
      <c r="A5" s="105" t="s">
        <v>144</v>
      </c>
      <c r="B5" s="105" t="s">
        <v>145</v>
      </c>
      <c r="C5" s="105" t="s">
        <v>146</v>
      </c>
      <c r="D5" s="106" t="s">
        <v>69</v>
      </c>
      <c r="E5" s="107">
        <v>610.13</v>
      </c>
      <c r="F5" s="107">
        <v>255.6</v>
      </c>
      <c r="G5" s="107">
        <v>319.5</v>
      </c>
      <c r="H5" s="107">
        <v>255.6</v>
      </c>
      <c r="I5" s="107">
        <v>255.6</v>
      </c>
      <c r="J5" s="107">
        <v>255.6</v>
      </c>
      <c r="K5" s="107">
        <v>255.6</v>
      </c>
      <c r="L5" s="107">
        <v>319.5</v>
      </c>
      <c r="M5" s="107">
        <v>191.7</v>
      </c>
      <c r="N5" s="107">
        <v>255.59999999999997</v>
      </c>
      <c r="O5" s="107">
        <v>255.6</v>
      </c>
      <c r="P5" s="107">
        <v>223.65</v>
      </c>
      <c r="Q5" s="107">
        <v>3453.6799999999994</v>
      </c>
      <c r="R5" s="107">
        <f t="shared" si="0"/>
        <v>3453.6799999999994</v>
      </c>
    </row>
    <row r="6" spans="1:23" ht="15" x14ac:dyDescent="0.2">
      <c r="A6" s="105" t="s">
        <v>144</v>
      </c>
      <c r="B6" s="105" t="s">
        <v>148</v>
      </c>
      <c r="C6" s="105" t="s">
        <v>146</v>
      </c>
      <c r="D6" s="106" t="s">
        <v>147</v>
      </c>
      <c r="E6" s="107">
        <v>0</v>
      </c>
      <c r="F6" s="107">
        <v>0</v>
      </c>
      <c r="G6" s="107">
        <v>2804</v>
      </c>
      <c r="H6" s="107">
        <v>0</v>
      </c>
      <c r="I6" s="107">
        <v>0</v>
      </c>
      <c r="J6" s="107">
        <v>0</v>
      </c>
      <c r="K6" s="107">
        <v>0</v>
      </c>
      <c r="L6" s="107">
        <v>0</v>
      </c>
      <c r="M6" s="107">
        <v>0</v>
      </c>
      <c r="N6" s="107">
        <v>0</v>
      </c>
      <c r="O6" s="107">
        <v>0</v>
      </c>
      <c r="P6" s="107">
        <v>0</v>
      </c>
      <c r="Q6" s="107">
        <v>2804</v>
      </c>
      <c r="R6" s="107">
        <f t="shared" si="0"/>
        <v>2804</v>
      </c>
      <c r="S6" s="112" t="s">
        <v>169</v>
      </c>
      <c r="U6" s="113">
        <f>+R6+T6</f>
        <v>2804</v>
      </c>
      <c r="V6" s="113">
        <f>+U6</f>
        <v>2804</v>
      </c>
    </row>
    <row r="7" spans="1:23" ht="15" x14ac:dyDescent="0.2">
      <c r="A7" s="105" t="s">
        <v>144</v>
      </c>
      <c r="B7" s="105" t="s">
        <v>148</v>
      </c>
      <c r="C7" s="105" t="s">
        <v>146</v>
      </c>
      <c r="D7" s="106" t="s">
        <v>65</v>
      </c>
      <c r="E7" s="107">
        <v>1270.9100000000001</v>
      </c>
      <c r="F7" s="107">
        <v>75.1099999999999</v>
      </c>
      <c r="G7" s="107">
        <v>143.75</v>
      </c>
      <c r="H7" s="107">
        <v>3073.96</v>
      </c>
      <c r="I7" s="107">
        <v>3950.83</v>
      </c>
      <c r="J7" s="107">
        <v>9879.6</v>
      </c>
      <c r="K7" s="107">
        <v>1090.3</v>
      </c>
      <c r="L7" s="107">
        <v>187.79</v>
      </c>
      <c r="M7" s="107">
        <v>25.150000000000006</v>
      </c>
      <c r="N7" s="107">
        <v>0</v>
      </c>
      <c r="O7" s="107">
        <v>0</v>
      </c>
      <c r="P7" s="107">
        <v>0</v>
      </c>
      <c r="Q7" s="107">
        <v>19697.399999999998</v>
      </c>
      <c r="R7" s="107">
        <f t="shared" si="0"/>
        <v>19697.400000000001</v>
      </c>
      <c r="S7" s="112" t="s">
        <v>170</v>
      </c>
      <c r="U7" s="113">
        <f t="shared" ref="U7:U9" si="1">+R7+T7</f>
        <v>19697.400000000001</v>
      </c>
      <c r="V7" s="113">
        <f>+U7</f>
        <v>19697.400000000001</v>
      </c>
    </row>
    <row r="8" spans="1:23" ht="15" x14ac:dyDescent="0.2">
      <c r="A8" s="105" t="s">
        <v>144</v>
      </c>
      <c r="B8" s="105" t="s">
        <v>148</v>
      </c>
      <c r="C8" s="105" t="s">
        <v>146</v>
      </c>
      <c r="D8" s="106" t="s">
        <v>67</v>
      </c>
      <c r="E8" s="107">
        <v>0</v>
      </c>
      <c r="F8" s="107">
        <v>306.51</v>
      </c>
      <c r="G8" s="107">
        <v>226.5</v>
      </c>
      <c r="H8" s="107">
        <v>3965.01</v>
      </c>
      <c r="I8" s="107">
        <v>773.11999999999989</v>
      </c>
      <c r="J8" s="107">
        <v>41.880000000000109</v>
      </c>
      <c r="K8" s="107">
        <v>78.490000000000009</v>
      </c>
      <c r="L8" s="107">
        <v>70.2</v>
      </c>
      <c r="M8" s="107">
        <v>54.6</v>
      </c>
      <c r="N8" s="107">
        <v>50.05</v>
      </c>
      <c r="O8" s="107">
        <v>0</v>
      </c>
      <c r="P8" s="107">
        <v>0</v>
      </c>
      <c r="Q8" s="107">
        <v>5566.3600000000006</v>
      </c>
      <c r="R8" s="107">
        <f t="shared" si="0"/>
        <v>5566.3600000000006</v>
      </c>
      <c r="S8" s="112" t="s">
        <v>171</v>
      </c>
      <c r="U8" s="113">
        <f t="shared" si="1"/>
        <v>5566.3600000000006</v>
      </c>
      <c r="V8" s="113">
        <f>+U8</f>
        <v>5566.3600000000006</v>
      </c>
    </row>
    <row r="9" spans="1:23" ht="15" hidden="1" x14ac:dyDescent="0.2">
      <c r="A9" s="105" t="s">
        <v>144</v>
      </c>
      <c r="B9" s="105" t="s">
        <v>148</v>
      </c>
      <c r="C9" s="105" t="s">
        <v>146</v>
      </c>
      <c r="D9" s="106" t="s">
        <v>69</v>
      </c>
      <c r="E9" s="107">
        <v>214</v>
      </c>
      <c r="F9" s="107">
        <v>623.02</v>
      </c>
      <c r="G9" s="107">
        <v>1557.56</v>
      </c>
      <c r="H9" s="107">
        <v>856</v>
      </c>
      <c r="I9" s="107">
        <v>1246.05</v>
      </c>
      <c r="J9" s="107">
        <v>1460.05</v>
      </c>
      <c r="K9" s="107">
        <v>-31773</v>
      </c>
      <c r="L9" s="107">
        <v>0</v>
      </c>
      <c r="M9" s="107">
        <v>0</v>
      </c>
      <c r="N9" s="107">
        <v>1022.3800000000001</v>
      </c>
      <c r="O9" s="107">
        <v>570.56999999999994</v>
      </c>
      <c r="P9" s="107">
        <v>380.38</v>
      </c>
      <c r="Q9" s="107">
        <v>-23842.99</v>
      </c>
      <c r="R9" s="107">
        <f t="shared" si="0"/>
        <v>-23842.989999999998</v>
      </c>
      <c r="S9" s="112" t="s">
        <v>172</v>
      </c>
      <c r="T9" s="113">
        <v>31987</v>
      </c>
      <c r="U9" s="113">
        <f t="shared" si="1"/>
        <v>8144.010000000002</v>
      </c>
      <c r="V9" s="113">
        <v>0</v>
      </c>
      <c r="W9" s="112" t="s">
        <v>176</v>
      </c>
    </row>
    <row r="10" spans="1:23" customFormat="1" ht="15.75" hidden="1" x14ac:dyDescent="0.25">
      <c r="A10" s="105" t="s">
        <v>144</v>
      </c>
      <c r="B10" s="105" t="s">
        <v>149</v>
      </c>
      <c r="C10" s="105" t="s">
        <v>146</v>
      </c>
      <c r="D10" s="106" t="s">
        <v>63</v>
      </c>
      <c r="E10" s="107">
        <v>0</v>
      </c>
      <c r="F10" s="107">
        <v>7038.46</v>
      </c>
      <c r="G10" s="107">
        <v>0</v>
      </c>
      <c r="H10" s="107">
        <v>0</v>
      </c>
      <c r="I10" s="107">
        <v>0</v>
      </c>
      <c r="J10" s="107">
        <v>23.73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7062.1899999999987</v>
      </c>
      <c r="R10" s="107">
        <f t="shared" si="0"/>
        <v>7062.19</v>
      </c>
      <c r="U10" s="107"/>
      <c r="V10" s="107"/>
    </row>
    <row r="11" spans="1:23" customFormat="1" ht="15.75" hidden="1" x14ac:dyDescent="0.25">
      <c r="A11" s="105" t="s">
        <v>144</v>
      </c>
      <c r="B11" s="105" t="s">
        <v>149</v>
      </c>
      <c r="C11" s="105" t="s">
        <v>146</v>
      </c>
      <c r="D11" s="106" t="s">
        <v>69</v>
      </c>
      <c r="E11" s="107">
        <v>0</v>
      </c>
      <c r="F11" s="107">
        <v>0</v>
      </c>
      <c r="G11" s="107">
        <v>4834.6000000000004</v>
      </c>
      <c r="H11" s="107">
        <v>0</v>
      </c>
      <c r="I11" s="107">
        <v>14412.61</v>
      </c>
      <c r="J11" s="107">
        <v>4621.2</v>
      </c>
      <c r="K11" s="107">
        <v>2643.1</v>
      </c>
      <c r="L11" s="107">
        <v>2260.7600000000002</v>
      </c>
      <c r="M11" s="107">
        <v>0</v>
      </c>
      <c r="N11" s="107">
        <v>0</v>
      </c>
      <c r="O11" s="107">
        <v>0</v>
      </c>
      <c r="P11" s="107">
        <v>0</v>
      </c>
      <c r="Q11" s="107">
        <v>28772.269999999997</v>
      </c>
      <c r="R11" s="107">
        <f t="shared" si="0"/>
        <v>28772.269999999997</v>
      </c>
      <c r="U11" s="107"/>
      <c r="V11" s="107"/>
    </row>
    <row r="12" spans="1:23" customFormat="1" ht="15.75" hidden="1" x14ac:dyDescent="0.25">
      <c r="A12" s="105" t="s">
        <v>144</v>
      </c>
      <c r="B12" s="105" t="s">
        <v>149</v>
      </c>
      <c r="C12" s="105" t="s">
        <v>146</v>
      </c>
      <c r="D12" s="106" t="s">
        <v>150</v>
      </c>
      <c r="E12" s="107">
        <v>-525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-525</v>
      </c>
      <c r="R12" s="107">
        <f t="shared" si="0"/>
        <v>-525</v>
      </c>
      <c r="U12" s="107"/>
      <c r="V12" s="107"/>
    </row>
    <row r="13" spans="1:23" customFormat="1" ht="15.75" hidden="1" x14ac:dyDescent="0.25">
      <c r="A13" s="105" t="s">
        <v>144</v>
      </c>
      <c r="B13" s="105" t="s">
        <v>151</v>
      </c>
      <c r="C13" s="105" t="s">
        <v>152</v>
      </c>
      <c r="D13" s="106" t="s">
        <v>69</v>
      </c>
      <c r="E13" s="107">
        <v>0</v>
      </c>
      <c r="F13" s="107">
        <v>0</v>
      </c>
      <c r="G13" s="107">
        <v>44.92</v>
      </c>
      <c r="H13" s="107">
        <v>0</v>
      </c>
      <c r="I13" s="107">
        <v>34.950000000000003</v>
      </c>
      <c r="J13" s="107">
        <v>0</v>
      </c>
      <c r="K13" s="107">
        <v>0</v>
      </c>
      <c r="L13" s="107">
        <v>0</v>
      </c>
      <c r="M13" s="107">
        <v>22.89</v>
      </c>
      <c r="N13" s="107">
        <v>70.47</v>
      </c>
      <c r="O13" s="107">
        <v>0</v>
      </c>
      <c r="P13" s="107">
        <v>0</v>
      </c>
      <c r="Q13" s="107">
        <v>173.23000000000002</v>
      </c>
      <c r="R13" s="107">
        <f t="shared" si="0"/>
        <v>173.23000000000002</v>
      </c>
      <c r="U13" s="107"/>
      <c r="V13" s="107"/>
    </row>
    <row r="14" spans="1:23" customFormat="1" ht="15.75" hidden="1" x14ac:dyDescent="0.25">
      <c r="A14" s="105" t="s">
        <v>144</v>
      </c>
      <c r="B14" s="105" t="s">
        <v>151</v>
      </c>
      <c r="C14" s="105" t="s">
        <v>146</v>
      </c>
      <c r="D14" s="106" t="s">
        <v>147</v>
      </c>
      <c r="E14" s="107">
        <v>0</v>
      </c>
      <c r="F14" s="107">
        <v>0</v>
      </c>
      <c r="G14" s="107">
        <v>4642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4642</v>
      </c>
      <c r="R14" s="107">
        <f t="shared" si="0"/>
        <v>4642</v>
      </c>
      <c r="U14" s="107"/>
      <c r="V14" s="107"/>
    </row>
    <row r="15" spans="1:23" customFormat="1" ht="15.75" hidden="1" x14ac:dyDescent="0.25">
      <c r="A15" s="105" t="s">
        <v>144</v>
      </c>
      <c r="B15" s="105" t="s">
        <v>151</v>
      </c>
      <c r="C15" s="105" t="s">
        <v>146</v>
      </c>
      <c r="D15" s="106" t="s">
        <v>69</v>
      </c>
      <c r="E15" s="107">
        <v>2402.5</v>
      </c>
      <c r="F15" s="107">
        <v>3166.92</v>
      </c>
      <c r="G15" s="107">
        <v>720.65000000000009</v>
      </c>
      <c r="H15" s="107">
        <v>6403.02</v>
      </c>
      <c r="I15" s="107">
        <v>55.429999999999382</v>
      </c>
      <c r="J15" s="107">
        <v>3763.3999999999996</v>
      </c>
      <c r="K15" s="107">
        <v>81.700000000000045</v>
      </c>
      <c r="L15" s="107">
        <v>1977.8799999999999</v>
      </c>
      <c r="M15" s="107">
        <v>128.6</v>
      </c>
      <c r="N15" s="107">
        <v>0</v>
      </c>
      <c r="O15" s="107">
        <v>0</v>
      </c>
      <c r="P15" s="107">
        <v>0</v>
      </c>
      <c r="Q15" s="107">
        <v>18700.100000000002</v>
      </c>
      <c r="R15" s="107">
        <f t="shared" si="0"/>
        <v>18700.099999999999</v>
      </c>
      <c r="U15" s="107"/>
      <c r="V15" s="107"/>
    </row>
    <row r="16" spans="1:23" customFormat="1" ht="15.75" hidden="1" x14ac:dyDescent="0.25">
      <c r="A16" s="105" t="s">
        <v>144</v>
      </c>
      <c r="B16" s="105" t="s">
        <v>151</v>
      </c>
      <c r="C16" s="105" t="s">
        <v>146</v>
      </c>
      <c r="D16" s="106" t="s">
        <v>150</v>
      </c>
      <c r="E16" s="107">
        <v>0</v>
      </c>
      <c r="F16" s="107">
        <v>0</v>
      </c>
      <c r="G16" s="107">
        <v>0</v>
      </c>
      <c r="H16" s="107">
        <v>1000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1000</v>
      </c>
      <c r="R16" s="107">
        <f t="shared" si="0"/>
        <v>1000</v>
      </c>
      <c r="U16" s="107"/>
      <c r="V16" s="107"/>
    </row>
    <row r="17" spans="1:22" customFormat="1" ht="15.75" hidden="1" x14ac:dyDescent="0.25">
      <c r="A17" s="105" t="s">
        <v>144</v>
      </c>
      <c r="B17" s="105" t="s">
        <v>153</v>
      </c>
      <c r="C17" s="105" t="s">
        <v>146</v>
      </c>
      <c r="D17" s="106" t="s">
        <v>147</v>
      </c>
      <c r="E17" s="107">
        <v>0</v>
      </c>
      <c r="F17" s="107">
        <v>0</v>
      </c>
      <c r="G17" s="107">
        <v>8670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8670</v>
      </c>
      <c r="R17" s="107">
        <f t="shared" si="0"/>
        <v>8670</v>
      </c>
      <c r="U17" s="107"/>
      <c r="V17" s="107"/>
    </row>
    <row r="18" spans="1:22" customFormat="1" ht="15.75" hidden="1" x14ac:dyDescent="0.25">
      <c r="A18" s="105" t="s">
        <v>144</v>
      </c>
      <c r="B18" s="105" t="s">
        <v>153</v>
      </c>
      <c r="C18" s="105" t="s">
        <v>146</v>
      </c>
      <c r="D18" s="106" t="s">
        <v>69</v>
      </c>
      <c r="E18" s="107">
        <v>716.59</v>
      </c>
      <c r="F18" s="107">
        <v>3180.9999999999995</v>
      </c>
      <c r="G18" s="107">
        <v>1452.0800000000004</v>
      </c>
      <c r="H18" s="107">
        <v>6153.03</v>
      </c>
      <c r="I18" s="107">
        <v>48.5</v>
      </c>
      <c r="J18" s="107">
        <v>3866.6000000000004</v>
      </c>
      <c r="K18" s="107">
        <v>358.29999999999995</v>
      </c>
      <c r="L18" s="107">
        <v>1356.52</v>
      </c>
      <c r="M18" s="107">
        <v>0</v>
      </c>
      <c r="N18" s="107">
        <v>0</v>
      </c>
      <c r="O18" s="107">
        <v>0</v>
      </c>
      <c r="P18" s="107">
        <v>0</v>
      </c>
      <c r="Q18" s="107">
        <v>17132.620000000003</v>
      </c>
      <c r="R18" s="107">
        <f t="shared" si="0"/>
        <v>17132.62</v>
      </c>
      <c r="U18" s="107"/>
      <c r="V18" s="107"/>
    </row>
    <row r="19" spans="1:22" customFormat="1" ht="15.75" hidden="1" x14ac:dyDescent="0.25">
      <c r="A19" s="105" t="s">
        <v>144</v>
      </c>
      <c r="B19" s="105" t="s">
        <v>154</v>
      </c>
      <c r="C19" s="105" t="s">
        <v>146</v>
      </c>
      <c r="D19" s="106" t="s">
        <v>147</v>
      </c>
      <c r="E19" s="107">
        <v>0</v>
      </c>
      <c r="F19" s="107">
        <v>0</v>
      </c>
      <c r="G19" s="107">
        <v>706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706</v>
      </c>
      <c r="R19" s="107">
        <f t="shared" si="0"/>
        <v>706</v>
      </c>
      <c r="U19" s="107"/>
      <c r="V19" s="107"/>
    </row>
    <row r="20" spans="1:22" customFormat="1" ht="15.75" hidden="1" x14ac:dyDescent="0.25">
      <c r="A20" s="105" t="s">
        <v>144</v>
      </c>
      <c r="B20" s="105" t="s">
        <v>155</v>
      </c>
      <c r="C20" s="105" t="s">
        <v>146</v>
      </c>
      <c r="D20" s="106" t="s">
        <v>147</v>
      </c>
      <c r="E20" s="107">
        <v>0</v>
      </c>
      <c r="F20" s="107">
        <v>0</v>
      </c>
      <c r="G20" s="107">
        <v>3068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3068</v>
      </c>
      <c r="R20" s="107">
        <f t="shared" si="0"/>
        <v>3068</v>
      </c>
      <c r="U20" s="107"/>
      <c r="V20" s="107"/>
    </row>
    <row r="21" spans="1:22" customFormat="1" ht="15.75" hidden="1" x14ac:dyDescent="0.25">
      <c r="A21" s="105" t="s">
        <v>144</v>
      </c>
      <c r="B21" s="105" t="s">
        <v>155</v>
      </c>
      <c r="C21" s="105" t="s">
        <v>146</v>
      </c>
      <c r="D21" s="106" t="s">
        <v>65</v>
      </c>
      <c r="E21" s="107">
        <v>762.54</v>
      </c>
      <c r="F21" s="107">
        <v>45.07000000000005</v>
      </c>
      <c r="G21" s="107">
        <v>86.25</v>
      </c>
      <c r="H21" s="107">
        <v>1844.38</v>
      </c>
      <c r="I21" s="107">
        <v>2370.5</v>
      </c>
      <c r="J21" s="107">
        <v>5927.76</v>
      </c>
      <c r="K21" s="107">
        <v>654.17999999999995</v>
      </c>
      <c r="L21" s="107">
        <v>112.67</v>
      </c>
      <c r="M21" s="107">
        <v>15.090000000000003</v>
      </c>
      <c r="N21" s="107">
        <v>0</v>
      </c>
      <c r="O21" s="107">
        <v>0</v>
      </c>
      <c r="P21" s="107">
        <v>0</v>
      </c>
      <c r="Q21" s="107">
        <v>11818.44</v>
      </c>
      <c r="R21" s="107">
        <f t="shared" si="0"/>
        <v>11818.44</v>
      </c>
      <c r="U21" s="107"/>
      <c r="V21" s="107"/>
    </row>
    <row r="22" spans="1:22" customFormat="1" ht="15.75" hidden="1" x14ac:dyDescent="0.25">
      <c r="A22" s="105" t="s">
        <v>144</v>
      </c>
      <c r="B22" s="105" t="s">
        <v>155</v>
      </c>
      <c r="C22" s="105" t="s">
        <v>146</v>
      </c>
      <c r="D22" s="106" t="s">
        <v>67</v>
      </c>
      <c r="E22" s="107">
        <v>0</v>
      </c>
      <c r="F22" s="107">
        <v>376.74</v>
      </c>
      <c r="G22" s="107">
        <v>226.5</v>
      </c>
      <c r="H22" s="107">
        <v>3965</v>
      </c>
      <c r="I22" s="107">
        <v>-218.11999999999989</v>
      </c>
      <c r="J22" s="107">
        <v>-851.88</v>
      </c>
      <c r="K22" s="107">
        <v>36.56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3534.8</v>
      </c>
      <c r="R22" s="107">
        <f t="shared" si="0"/>
        <v>3534.7999999999997</v>
      </c>
      <c r="U22" s="107"/>
      <c r="V22" s="107"/>
    </row>
    <row r="23" spans="1:22" customFormat="1" ht="15.75" hidden="1" x14ac:dyDescent="0.25">
      <c r="A23" s="105" t="s">
        <v>144</v>
      </c>
      <c r="B23" s="105" t="s">
        <v>155</v>
      </c>
      <c r="C23" s="105" t="s">
        <v>146</v>
      </c>
      <c r="D23" s="106" t="s">
        <v>69</v>
      </c>
      <c r="E23" s="107">
        <v>0</v>
      </c>
      <c r="F23" s="107">
        <v>0</v>
      </c>
      <c r="G23" s="107">
        <v>725.63</v>
      </c>
      <c r="H23" s="107">
        <v>0</v>
      </c>
      <c r="I23" s="107">
        <v>827.76</v>
      </c>
      <c r="J23" s="107">
        <v>383.51</v>
      </c>
      <c r="K23" s="107">
        <v>-61243</v>
      </c>
      <c r="L23" s="107">
        <v>418.77</v>
      </c>
      <c r="M23" s="107">
        <v>1703.88</v>
      </c>
      <c r="N23" s="107">
        <v>0</v>
      </c>
      <c r="O23" s="107">
        <v>0</v>
      </c>
      <c r="P23" s="107">
        <v>187.31</v>
      </c>
      <c r="Q23" s="107">
        <v>-56996.14</v>
      </c>
      <c r="R23" s="107">
        <f t="shared" si="0"/>
        <v>-56996.140000000007</v>
      </c>
      <c r="U23" s="107"/>
      <c r="V23" s="107"/>
    </row>
    <row r="24" spans="1:22" customFormat="1" ht="15.75" hidden="1" x14ac:dyDescent="0.25">
      <c r="A24" s="105" t="s">
        <v>144</v>
      </c>
      <c r="B24" s="105" t="s">
        <v>156</v>
      </c>
      <c r="C24" s="105" t="s">
        <v>146</v>
      </c>
      <c r="D24" s="106" t="s">
        <v>147</v>
      </c>
      <c r="E24" s="107">
        <v>0</v>
      </c>
      <c r="F24" s="107">
        <v>0</v>
      </c>
      <c r="G24" s="107">
        <v>82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82</v>
      </c>
      <c r="R24" s="107">
        <f t="shared" si="0"/>
        <v>82</v>
      </c>
      <c r="U24" s="107"/>
      <c r="V24" s="107"/>
    </row>
    <row r="25" spans="1:22" ht="15" x14ac:dyDescent="0.2">
      <c r="A25" s="105" t="s">
        <v>144</v>
      </c>
      <c r="B25" s="105" t="s">
        <v>157</v>
      </c>
      <c r="C25" s="105" t="s">
        <v>146</v>
      </c>
      <c r="D25" s="106" t="s">
        <v>147</v>
      </c>
      <c r="E25" s="107">
        <v>0</v>
      </c>
      <c r="F25" s="107">
        <v>0</v>
      </c>
      <c r="G25" s="107">
        <v>60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0</v>
      </c>
      <c r="O25" s="107">
        <v>0</v>
      </c>
      <c r="P25" s="107">
        <v>0</v>
      </c>
      <c r="Q25" s="107">
        <v>60</v>
      </c>
      <c r="R25" s="107">
        <f t="shared" si="0"/>
        <v>60</v>
      </c>
      <c r="S25" s="112" t="s">
        <v>169</v>
      </c>
      <c r="U25" s="113">
        <f t="shared" ref="U25:U32" si="2">+R25+T25</f>
        <v>60</v>
      </c>
      <c r="V25" s="113">
        <f>+U25</f>
        <v>60</v>
      </c>
    </row>
    <row r="26" spans="1:22" ht="15" hidden="1" x14ac:dyDescent="0.2">
      <c r="A26" s="105" t="s">
        <v>144</v>
      </c>
      <c r="B26" s="105" t="s">
        <v>157</v>
      </c>
      <c r="C26" s="105" t="s">
        <v>146</v>
      </c>
      <c r="D26" s="106" t="s">
        <v>69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-416</v>
      </c>
      <c r="L26" s="107">
        <v>0</v>
      </c>
      <c r="M26" s="107">
        <v>0</v>
      </c>
      <c r="N26" s="107">
        <v>0</v>
      </c>
      <c r="O26" s="107">
        <v>0</v>
      </c>
      <c r="P26" s="107">
        <v>0</v>
      </c>
      <c r="Q26" s="107">
        <v>-416</v>
      </c>
      <c r="R26" s="107">
        <f t="shared" si="0"/>
        <v>-416</v>
      </c>
      <c r="S26" s="112" t="s">
        <v>172</v>
      </c>
      <c r="T26" s="113">
        <v>416</v>
      </c>
      <c r="U26" s="113">
        <f t="shared" si="2"/>
        <v>0</v>
      </c>
      <c r="V26" s="113">
        <v>0</v>
      </c>
    </row>
    <row r="27" spans="1:22" ht="15" x14ac:dyDescent="0.2">
      <c r="A27" s="105" t="s">
        <v>144</v>
      </c>
      <c r="B27" s="105" t="s">
        <v>158</v>
      </c>
      <c r="C27" s="105" t="s">
        <v>146</v>
      </c>
      <c r="D27" s="106" t="s">
        <v>147</v>
      </c>
      <c r="E27" s="107">
        <v>0</v>
      </c>
      <c r="F27" s="107">
        <v>0</v>
      </c>
      <c r="G27" s="107">
        <v>62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7">
        <v>0</v>
      </c>
      <c r="P27" s="107">
        <v>0</v>
      </c>
      <c r="Q27" s="107">
        <v>62</v>
      </c>
      <c r="R27" s="107">
        <f t="shared" si="0"/>
        <v>62</v>
      </c>
      <c r="S27" s="112" t="s">
        <v>169</v>
      </c>
      <c r="U27" s="113">
        <f t="shared" si="2"/>
        <v>62</v>
      </c>
      <c r="V27" s="113">
        <f>+U27</f>
        <v>62</v>
      </c>
    </row>
    <row r="28" spans="1:22" ht="15" hidden="1" x14ac:dyDescent="0.2">
      <c r="A28" s="105" t="s">
        <v>144</v>
      </c>
      <c r="B28" s="105" t="s">
        <v>158</v>
      </c>
      <c r="C28" s="105" t="s">
        <v>146</v>
      </c>
      <c r="D28" s="106" t="s">
        <v>69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-363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-363</v>
      </c>
      <c r="R28" s="107">
        <f t="shared" si="0"/>
        <v>-363</v>
      </c>
      <c r="S28" s="112" t="s">
        <v>172</v>
      </c>
      <c r="T28" s="113">
        <v>363</v>
      </c>
      <c r="U28" s="113">
        <f t="shared" si="2"/>
        <v>0</v>
      </c>
      <c r="V28" s="113">
        <v>0</v>
      </c>
    </row>
    <row r="29" spans="1:22" ht="15" x14ac:dyDescent="0.2">
      <c r="A29" s="105" t="s">
        <v>144</v>
      </c>
      <c r="B29" s="105" t="s">
        <v>159</v>
      </c>
      <c r="C29" s="105" t="s">
        <v>146</v>
      </c>
      <c r="D29" s="106" t="s">
        <v>147</v>
      </c>
      <c r="E29" s="107">
        <v>0</v>
      </c>
      <c r="F29" s="107">
        <v>0</v>
      </c>
      <c r="G29" s="107">
        <v>6054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6054</v>
      </c>
      <c r="R29" s="107">
        <f t="shared" si="0"/>
        <v>6054</v>
      </c>
      <c r="S29" s="112" t="s">
        <v>169</v>
      </c>
      <c r="U29" s="113">
        <f t="shared" si="2"/>
        <v>6054</v>
      </c>
      <c r="V29" s="113">
        <f>+U29</f>
        <v>6054</v>
      </c>
    </row>
    <row r="30" spans="1:22" ht="15" x14ac:dyDescent="0.2">
      <c r="A30" s="105" t="s">
        <v>144</v>
      </c>
      <c r="B30" s="105" t="s">
        <v>159</v>
      </c>
      <c r="C30" s="105" t="s">
        <v>146</v>
      </c>
      <c r="D30" s="106" t="s">
        <v>63</v>
      </c>
      <c r="E30" s="107">
        <v>0</v>
      </c>
      <c r="F30" s="107">
        <v>0</v>
      </c>
      <c r="G30" s="107">
        <v>303.52999999999997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303.52999999999997</v>
      </c>
      <c r="R30" s="107">
        <f t="shared" si="0"/>
        <v>303.52999999999997</v>
      </c>
      <c r="S30" s="112" t="s">
        <v>173</v>
      </c>
      <c r="U30" s="113">
        <f>+R30+T30</f>
        <v>303.52999999999997</v>
      </c>
      <c r="V30" s="113">
        <f>+U30</f>
        <v>303.52999999999997</v>
      </c>
    </row>
    <row r="31" spans="1:22" ht="15" x14ac:dyDescent="0.2">
      <c r="A31" s="105" t="s">
        <v>144</v>
      </c>
      <c r="B31" s="105" t="s">
        <v>159</v>
      </c>
      <c r="C31" s="105" t="s">
        <v>146</v>
      </c>
      <c r="D31" s="106" t="s">
        <v>65</v>
      </c>
      <c r="E31" s="107">
        <v>2033.45</v>
      </c>
      <c r="F31" s="107">
        <v>120.18000000000006</v>
      </c>
      <c r="G31" s="107">
        <v>230</v>
      </c>
      <c r="H31" s="107">
        <v>4918.33</v>
      </c>
      <c r="I31" s="107">
        <v>6321.33</v>
      </c>
      <c r="J31" s="107">
        <v>15807.360000000002</v>
      </c>
      <c r="K31" s="107">
        <v>1744.46</v>
      </c>
      <c r="L31" s="107">
        <v>300.45999999999998</v>
      </c>
      <c r="M31" s="107">
        <v>40.240000000000009</v>
      </c>
      <c r="N31" s="107">
        <v>0</v>
      </c>
      <c r="O31" s="107">
        <v>0</v>
      </c>
      <c r="P31" s="107">
        <v>0</v>
      </c>
      <c r="Q31" s="107">
        <v>31515.81</v>
      </c>
      <c r="R31" s="107">
        <f t="shared" si="0"/>
        <v>31515.81</v>
      </c>
      <c r="S31" s="112" t="s">
        <v>170</v>
      </c>
      <c r="U31" s="113">
        <f t="shared" si="2"/>
        <v>31515.81</v>
      </c>
      <c r="V31" s="113">
        <f>+U31</f>
        <v>31515.81</v>
      </c>
    </row>
    <row r="32" spans="1:22" ht="15" x14ac:dyDescent="0.2">
      <c r="A32" s="105" t="s">
        <v>144</v>
      </c>
      <c r="B32" s="105" t="s">
        <v>159</v>
      </c>
      <c r="C32" s="105" t="s">
        <v>146</v>
      </c>
      <c r="D32" s="106" t="s">
        <v>67</v>
      </c>
      <c r="E32" s="107">
        <v>0</v>
      </c>
      <c r="F32" s="107">
        <v>921</v>
      </c>
      <c r="G32" s="107">
        <v>226.5</v>
      </c>
      <c r="H32" s="107">
        <v>3965</v>
      </c>
      <c r="I32" s="107">
        <v>7616.41</v>
      </c>
      <c r="J32" s="107">
        <v>-3973.91</v>
      </c>
      <c r="K32" s="107">
        <v>147.45000000000005</v>
      </c>
      <c r="L32" s="107">
        <v>199.8</v>
      </c>
      <c r="M32" s="107">
        <v>155.4</v>
      </c>
      <c r="N32" s="107">
        <v>142.44999999999999</v>
      </c>
      <c r="O32" s="107">
        <v>0</v>
      </c>
      <c r="P32" s="107">
        <v>0</v>
      </c>
      <c r="Q32" s="107">
        <v>9400.1</v>
      </c>
      <c r="R32" s="107">
        <f t="shared" si="0"/>
        <v>9400.1</v>
      </c>
      <c r="S32" s="112" t="s">
        <v>171</v>
      </c>
      <c r="U32" s="113">
        <f t="shared" si="2"/>
        <v>9400.1</v>
      </c>
      <c r="V32" s="113">
        <f>+U32</f>
        <v>9400.1</v>
      </c>
    </row>
    <row r="33" spans="1:23" ht="15" hidden="1" x14ac:dyDescent="0.2">
      <c r="A33" s="105" t="s">
        <v>144</v>
      </c>
      <c r="B33" s="105" t="s">
        <v>159</v>
      </c>
      <c r="C33" s="105" t="s">
        <v>146</v>
      </c>
      <c r="D33" s="106" t="s">
        <v>69</v>
      </c>
      <c r="E33" s="107">
        <v>802.5</v>
      </c>
      <c r="F33" s="107">
        <v>0</v>
      </c>
      <c r="G33" s="107">
        <v>3425.1499999999996</v>
      </c>
      <c r="H33" s="107">
        <v>1246.05</v>
      </c>
      <c r="I33" s="107">
        <v>1246.05</v>
      </c>
      <c r="J33" s="107">
        <v>0</v>
      </c>
      <c r="K33" s="107">
        <v>-188910</v>
      </c>
      <c r="L33" s="107">
        <v>0</v>
      </c>
      <c r="M33" s="107">
        <v>0</v>
      </c>
      <c r="N33" s="107">
        <v>86.19</v>
      </c>
      <c r="O33" s="107">
        <v>0</v>
      </c>
      <c r="P33" s="107">
        <v>695.5</v>
      </c>
      <c r="Q33" s="107">
        <v>-181408.56</v>
      </c>
      <c r="R33" s="107">
        <f t="shared" si="0"/>
        <v>-181408.56</v>
      </c>
      <c r="S33" s="112" t="s">
        <v>172</v>
      </c>
      <c r="T33" s="113">
        <v>188910</v>
      </c>
      <c r="U33" s="113">
        <f>+R33+T33</f>
        <v>7501.4400000000023</v>
      </c>
      <c r="V33" s="113">
        <v>0</v>
      </c>
      <c r="W33" s="112" t="s">
        <v>176</v>
      </c>
    </row>
    <row r="34" spans="1:23" customFormat="1" ht="15.75" hidden="1" x14ac:dyDescent="0.25">
      <c r="A34" s="105" t="s">
        <v>144</v>
      </c>
      <c r="B34" s="105" t="s">
        <v>160</v>
      </c>
      <c r="C34" s="105" t="s">
        <v>146</v>
      </c>
      <c r="D34" s="106" t="s">
        <v>147</v>
      </c>
      <c r="E34" s="107">
        <v>0</v>
      </c>
      <c r="F34" s="107">
        <v>0</v>
      </c>
      <c r="G34" s="107">
        <v>400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  <c r="P34" s="107">
        <v>0</v>
      </c>
      <c r="Q34" s="107">
        <v>400</v>
      </c>
      <c r="R34" s="107">
        <f t="shared" si="0"/>
        <v>400</v>
      </c>
    </row>
    <row r="35" spans="1:23" customFormat="1" ht="15.75" hidden="1" x14ac:dyDescent="0.25">
      <c r="A35" s="105" t="s">
        <v>144</v>
      </c>
      <c r="B35" s="105" t="s">
        <v>161</v>
      </c>
      <c r="C35" s="105" t="s">
        <v>152</v>
      </c>
      <c r="D35" s="106" t="s">
        <v>69</v>
      </c>
      <c r="E35" s="107">
        <v>0</v>
      </c>
      <c r="F35" s="107">
        <v>0</v>
      </c>
      <c r="G35" s="107">
        <v>15.76</v>
      </c>
      <c r="H35" s="107">
        <v>0</v>
      </c>
      <c r="I35" s="107">
        <v>12.27</v>
      </c>
      <c r="J35" s="107">
        <v>0</v>
      </c>
      <c r="K35" s="107">
        <v>0</v>
      </c>
      <c r="L35" s="107">
        <v>0</v>
      </c>
      <c r="M35" s="107">
        <v>8.0299999999999994</v>
      </c>
      <c r="N35" s="107">
        <v>24.73</v>
      </c>
      <c r="O35" s="107">
        <v>0</v>
      </c>
      <c r="P35" s="107">
        <v>0</v>
      </c>
      <c r="Q35" s="107">
        <v>60.790000000000006</v>
      </c>
      <c r="R35" s="107">
        <f t="shared" si="0"/>
        <v>60.790000000000006</v>
      </c>
    </row>
    <row r="36" spans="1:23" customFormat="1" ht="15.75" hidden="1" x14ac:dyDescent="0.25">
      <c r="A36" s="105" t="s">
        <v>144</v>
      </c>
      <c r="B36" s="105" t="s">
        <v>161</v>
      </c>
      <c r="C36" s="105" t="s">
        <v>146</v>
      </c>
      <c r="D36" s="106" t="s">
        <v>147</v>
      </c>
      <c r="E36" s="107">
        <v>0</v>
      </c>
      <c r="F36" s="107">
        <v>0</v>
      </c>
      <c r="G36" s="107">
        <v>1438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1438</v>
      </c>
      <c r="R36" s="107">
        <f t="shared" si="0"/>
        <v>1438</v>
      </c>
    </row>
    <row r="37" spans="1:23" customFormat="1" ht="15.75" hidden="1" x14ac:dyDescent="0.25">
      <c r="A37" s="105" t="s">
        <v>144</v>
      </c>
      <c r="B37" s="105" t="s">
        <v>161</v>
      </c>
      <c r="C37" s="105" t="s">
        <v>146</v>
      </c>
      <c r="D37" s="106" t="s">
        <v>67</v>
      </c>
      <c r="E37" s="107">
        <v>0</v>
      </c>
      <c r="F37" s="107">
        <v>0</v>
      </c>
      <c r="G37" s="107">
        <v>562.5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0</v>
      </c>
      <c r="Q37" s="107">
        <v>562.5</v>
      </c>
      <c r="R37" s="107">
        <f t="shared" si="0"/>
        <v>562.5</v>
      </c>
    </row>
    <row r="38" spans="1:23" customFormat="1" ht="15.75" hidden="1" x14ac:dyDescent="0.25">
      <c r="A38" s="105" t="s">
        <v>144</v>
      </c>
      <c r="B38" s="105" t="s">
        <v>161</v>
      </c>
      <c r="C38" s="105" t="s">
        <v>146</v>
      </c>
      <c r="D38" s="106" t="s">
        <v>69</v>
      </c>
      <c r="E38" s="107">
        <v>298.40999999999997</v>
      </c>
      <c r="F38" s="107">
        <v>447</v>
      </c>
      <c r="G38" s="107">
        <v>162.39999999999998</v>
      </c>
      <c r="H38" s="107">
        <v>895.92</v>
      </c>
      <c r="I38" s="107">
        <v>6.9400000000000546</v>
      </c>
      <c r="J38" s="107">
        <v>585</v>
      </c>
      <c r="K38" s="107">
        <v>67.5</v>
      </c>
      <c r="L38" s="107">
        <v>186.18</v>
      </c>
      <c r="M38" s="107">
        <v>0</v>
      </c>
      <c r="N38" s="107">
        <v>0</v>
      </c>
      <c r="O38" s="107">
        <v>0</v>
      </c>
      <c r="P38" s="107">
        <v>0</v>
      </c>
      <c r="Q38" s="107">
        <v>2649.35</v>
      </c>
      <c r="R38" s="107">
        <f t="shared" si="0"/>
        <v>2649.35</v>
      </c>
    </row>
    <row r="39" spans="1:23" customFormat="1" ht="15.75" hidden="1" x14ac:dyDescent="0.25">
      <c r="A39" s="105" t="s">
        <v>144</v>
      </c>
      <c r="B39" s="105" t="s">
        <v>162</v>
      </c>
      <c r="C39" s="105" t="s">
        <v>146</v>
      </c>
      <c r="D39" s="106" t="s">
        <v>147</v>
      </c>
      <c r="E39" s="107">
        <v>0</v>
      </c>
      <c r="F39" s="107">
        <v>0</v>
      </c>
      <c r="G39" s="107">
        <v>1430</v>
      </c>
      <c r="H39" s="107">
        <v>0</v>
      </c>
      <c r="I39" s="107">
        <v>0</v>
      </c>
      <c r="J39" s="107">
        <v>0</v>
      </c>
      <c r="K39" s="107">
        <v>0</v>
      </c>
      <c r="L39" s="107">
        <v>0</v>
      </c>
      <c r="M39" s="107">
        <v>0</v>
      </c>
      <c r="N39" s="107">
        <v>0</v>
      </c>
      <c r="O39" s="107">
        <v>0</v>
      </c>
      <c r="P39" s="107">
        <v>0</v>
      </c>
      <c r="Q39" s="107">
        <v>1430</v>
      </c>
      <c r="R39" s="107">
        <f t="shared" si="0"/>
        <v>1430</v>
      </c>
    </row>
    <row r="40" spans="1:23" customFormat="1" ht="15.75" hidden="1" x14ac:dyDescent="0.25">
      <c r="A40" s="105" t="s">
        <v>144</v>
      </c>
      <c r="B40" s="105" t="s">
        <v>163</v>
      </c>
      <c r="C40" s="105" t="s">
        <v>146</v>
      </c>
      <c r="D40" s="106" t="s">
        <v>147</v>
      </c>
      <c r="E40" s="107">
        <v>0</v>
      </c>
      <c r="F40" s="107">
        <v>0</v>
      </c>
      <c r="G40" s="107">
        <v>4786</v>
      </c>
      <c r="H40" s="107">
        <v>0</v>
      </c>
      <c r="I40" s="107">
        <v>0</v>
      </c>
      <c r="J40" s="107">
        <v>0</v>
      </c>
      <c r="K40" s="107">
        <v>0</v>
      </c>
      <c r="L40" s="107">
        <v>0</v>
      </c>
      <c r="M40" s="107">
        <v>0</v>
      </c>
      <c r="N40" s="107">
        <v>0</v>
      </c>
      <c r="O40" s="107">
        <v>0</v>
      </c>
      <c r="P40" s="107">
        <v>0</v>
      </c>
      <c r="Q40" s="107">
        <v>4786</v>
      </c>
      <c r="R40" s="107">
        <f t="shared" si="0"/>
        <v>4786</v>
      </c>
    </row>
    <row r="41" spans="1:23" customFormat="1" ht="15.75" hidden="1" x14ac:dyDescent="0.25">
      <c r="A41" s="105" t="s">
        <v>144</v>
      </c>
      <c r="B41" s="105" t="s">
        <v>163</v>
      </c>
      <c r="C41" s="105" t="s">
        <v>146</v>
      </c>
      <c r="D41" s="106" t="s">
        <v>67</v>
      </c>
      <c r="E41" s="107">
        <v>0</v>
      </c>
      <c r="F41" s="107">
        <v>157.5</v>
      </c>
      <c r="G41" s="107">
        <v>165</v>
      </c>
      <c r="H41" s="107">
        <v>0</v>
      </c>
      <c r="I41" s="107">
        <v>165</v>
      </c>
      <c r="J41" s="107">
        <v>135</v>
      </c>
      <c r="K41" s="107">
        <v>127.5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750</v>
      </c>
      <c r="R41" s="107">
        <f t="shared" si="0"/>
        <v>750</v>
      </c>
    </row>
    <row r="42" spans="1:23" customFormat="1" ht="15.75" hidden="1" x14ac:dyDescent="0.25">
      <c r="A42" s="105" t="s">
        <v>144</v>
      </c>
      <c r="B42" s="105" t="s">
        <v>163</v>
      </c>
      <c r="C42" s="105" t="s">
        <v>146</v>
      </c>
      <c r="D42" s="106" t="s">
        <v>69</v>
      </c>
      <c r="E42" s="107">
        <v>8470.5</v>
      </c>
      <c r="F42" s="107">
        <v>18324.71</v>
      </c>
      <c r="G42" s="107">
        <v>669.47999999999956</v>
      </c>
      <c r="H42" s="107">
        <v>8935.39</v>
      </c>
      <c r="I42" s="107">
        <v>15621.24</v>
      </c>
      <c r="J42" s="107">
        <v>6805.5</v>
      </c>
      <c r="K42" s="107">
        <v>0</v>
      </c>
      <c r="L42" s="107">
        <v>1852.88</v>
      </c>
      <c r="M42" s="107">
        <v>304.5</v>
      </c>
      <c r="N42" s="107">
        <v>2599.5</v>
      </c>
      <c r="O42" s="107">
        <v>0</v>
      </c>
      <c r="P42" s="107">
        <v>1371</v>
      </c>
      <c r="Q42" s="107">
        <v>64954.7</v>
      </c>
      <c r="R42" s="107">
        <f t="shared" si="0"/>
        <v>64954.7</v>
      </c>
    </row>
    <row r="43" spans="1:23" customFormat="1" ht="15.75" hidden="1" x14ac:dyDescent="0.25">
      <c r="A43" s="105" t="s">
        <v>144</v>
      </c>
      <c r="B43" s="105" t="s">
        <v>164</v>
      </c>
      <c r="C43" s="105" t="s">
        <v>146</v>
      </c>
      <c r="D43" s="106" t="s">
        <v>147</v>
      </c>
      <c r="E43" s="107">
        <v>0</v>
      </c>
      <c r="F43" s="107">
        <v>0</v>
      </c>
      <c r="G43" s="107">
        <v>1086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1086</v>
      </c>
      <c r="R43" s="107">
        <f t="shared" si="0"/>
        <v>1086</v>
      </c>
    </row>
    <row r="44" spans="1:23" customFormat="1" ht="15.75" hidden="1" x14ac:dyDescent="0.25">
      <c r="A44" s="105" t="s">
        <v>144</v>
      </c>
      <c r="B44" s="105" t="s">
        <v>164</v>
      </c>
      <c r="C44" s="105" t="s">
        <v>146</v>
      </c>
      <c r="D44" s="106" t="s">
        <v>69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392.59</v>
      </c>
      <c r="L44" s="107">
        <v>0</v>
      </c>
      <c r="M44" s="107">
        <v>0</v>
      </c>
      <c r="N44" s="107">
        <v>365.45000000000005</v>
      </c>
      <c r="O44" s="107">
        <v>0</v>
      </c>
      <c r="P44" s="107">
        <v>0</v>
      </c>
      <c r="Q44" s="107">
        <v>758.04</v>
      </c>
      <c r="R44" s="107">
        <f t="shared" si="0"/>
        <v>758.04</v>
      </c>
    </row>
    <row r="45" spans="1:23" customFormat="1" ht="15.75" hidden="1" x14ac:dyDescent="0.25">
      <c r="A45" s="105" t="s">
        <v>144</v>
      </c>
      <c r="B45" s="105" t="s">
        <v>164</v>
      </c>
      <c r="C45" s="105" t="s">
        <v>146</v>
      </c>
      <c r="D45" s="106" t="s">
        <v>165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f t="shared" si="0"/>
        <v>0</v>
      </c>
    </row>
    <row r="46" spans="1:23" customFormat="1" ht="15.75" hidden="1" x14ac:dyDescent="0.25">
      <c r="A46" s="105" t="s">
        <v>144</v>
      </c>
      <c r="B46" s="105" t="s">
        <v>166</v>
      </c>
      <c r="C46" s="105" t="s">
        <v>152</v>
      </c>
      <c r="D46" s="106" t="s">
        <v>69</v>
      </c>
      <c r="E46" s="107">
        <v>0</v>
      </c>
      <c r="F46" s="107">
        <v>0</v>
      </c>
      <c r="G46" s="107">
        <v>18.13</v>
      </c>
      <c r="H46" s="107">
        <v>0</v>
      </c>
      <c r="I46" s="107">
        <v>14.11</v>
      </c>
      <c r="J46" s="107">
        <v>0</v>
      </c>
      <c r="K46" s="107">
        <v>0</v>
      </c>
      <c r="L46" s="107">
        <v>0</v>
      </c>
      <c r="M46" s="107">
        <v>9.23</v>
      </c>
      <c r="N46" s="107">
        <v>28.43</v>
      </c>
      <c r="O46" s="107">
        <v>0</v>
      </c>
      <c r="P46" s="107">
        <v>0</v>
      </c>
      <c r="Q46" s="107">
        <v>69.900000000000006</v>
      </c>
      <c r="R46" s="107">
        <f t="shared" si="0"/>
        <v>69.900000000000006</v>
      </c>
    </row>
    <row r="47" spans="1:23" customFormat="1" ht="15.75" hidden="1" x14ac:dyDescent="0.25">
      <c r="A47" s="105" t="s">
        <v>144</v>
      </c>
      <c r="B47" s="105" t="s">
        <v>166</v>
      </c>
      <c r="C47" s="105" t="s">
        <v>146</v>
      </c>
      <c r="D47" s="106" t="s">
        <v>147</v>
      </c>
      <c r="E47" s="107">
        <v>0</v>
      </c>
      <c r="F47" s="107">
        <v>0</v>
      </c>
      <c r="G47" s="107">
        <v>2236</v>
      </c>
      <c r="H47" s="107">
        <v>0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107">
        <v>0</v>
      </c>
      <c r="P47" s="107">
        <v>0</v>
      </c>
      <c r="Q47" s="107">
        <v>2236</v>
      </c>
      <c r="R47" s="107">
        <f t="shared" si="0"/>
        <v>2236</v>
      </c>
    </row>
    <row r="48" spans="1:23" customFormat="1" ht="15.75" hidden="1" x14ac:dyDescent="0.25">
      <c r="A48" s="105" t="s">
        <v>144</v>
      </c>
      <c r="B48" s="105" t="s">
        <v>166</v>
      </c>
      <c r="C48" s="105" t="s">
        <v>146</v>
      </c>
      <c r="D48" s="106" t="s">
        <v>67</v>
      </c>
      <c r="E48" s="107">
        <v>0</v>
      </c>
      <c r="F48" s="107">
        <v>0</v>
      </c>
      <c r="G48" s="107">
        <v>562.5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7">
        <v>0</v>
      </c>
      <c r="Q48" s="107">
        <v>562.5</v>
      </c>
      <c r="R48" s="107">
        <f t="shared" si="0"/>
        <v>562.5</v>
      </c>
    </row>
    <row r="49" spans="1:22" customFormat="1" ht="15.75" hidden="1" x14ac:dyDescent="0.25">
      <c r="A49" s="105" t="s">
        <v>144</v>
      </c>
      <c r="B49" s="105" t="s">
        <v>166</v>
      </c>
      <c r="C49" s="105" t="s">
        <v>146</v>
      </c>
      <c r="D49" s="106" t="s">
        <v>69</v>
      </c>
      <c r="E49" s="107">
        <v>135</v>
      </c>
      <c r="F49" s="107">
        <v>249.6</v>
      </c>
      <c r="G49" s="107">
        <v>0</v>
      </c>
      <c r="H49" s="107">
        <v>740.69</v>
      </c>
      <c r="I49" s="107">
        <v>5.5399999999999636</v>
      </c>
      <c r="J49" s="107">
        <v>360</v>
      </c>
      <c r="K49" s="107">
        <v>0</v>
      </c>
      <c r="L49" s="107">
        <v>148.94</v>
      </c>
      <c r="M49" s="107">
        <v>0</v>
      </c>
      <c r="N49" s="107">
        <v>0</v>
      </c>
      <c r="O49" s="107">
        <v>0</v>
      </c>
      <c r="P49" s="107">
        <v>0</v>
      </c>
      <c r="Q49" s="107">
        <v>1639.77</v>
      </c>
      <c r="R49" s="107">
        <f t="shared" si="0"/>
        <v>1639.77</v>
      </c>
    </row>
    <row r="50" spans="1:22" customFormat="1" ht="15.75" hidden="1" x14ac:dyDescent="0.25">
      <c r="A50" s="105" t="s">
        <v>149</v>
      </c>
      <c r="B50" s="105" t="s">
        <v>149</v>
      </c>
      <c r="C50" s="105" t="s">
        <v>167</v>
      </c>
      <c r="D50" s="106" t="s">
        <v>147</v>
      </c>
      <c r="E50" s="107">
        <v>0</v>
      </c>
      <c r="F50" s="107">
        <v>0</v>
      </c>
      <c r="G50" s="107">
        <v>0</v>
      </c>
      <c r="H50" s="107">
        <v>0</v>
      </c>
      <c r="I50" s="107">
        <v>0</v>
      </c>
      <c r="J50" s="107">
        <v>10000</v>
      </c>
      <c r="K50" s="107">
        <v>15000</v>
      </c>
      <c r="L50" s="107">
        <v>0</v>
      </c>
      <c r="M50" s="107">
        <v>0</v>
      </c>
      <c r="N50" s="107">
        <v>0</v>
      </c>
      <c r="O50" s="107">
        <v>0</v>
      </c>
      <c r="P50" s="107">
        <v>0</v>
      </c>
      <c r="Q50" s="107">
        <v>25000</v>
      </c>
      <c r="R50" s="107">
        <f t="shared" si="0"/>
        <v>25000</v>
      </c>
    </row>
    <row r="51" spans="1:22" customFormat="1" ht="15.75" hidden="1" x14ac:dyDescent="0.25">
      <c r="A51" s="105" t="s">
        <v>149</v>
      </c>
      <c r="B51" s="105" t="s">
        <v>149</v>
      </c>
      <c r="C51" s="105" t="s">
        <v>167</v>
      </c>
      <c r="D51" s="106" t="s">
        <v>69</v>
      </c>
      <c r="E51" s="107">
        <v>14131.94</v>
      </c>
      <c r="F51" s="107">
        <v>18860.120000000003</v>
      </c>
      <c r="G51" s="107">
        <v>5322.18</v>
      </c>
      <c r="H51" s="107">
        <v>11036.199999999999</v>
      </c>
      <c r="I51" s="107">
        <v>4791.08</v>
      </c>
      <c r="J51" s="107">
        <v>3163.9</v>
      </c>
      <c r="K51" s="107">
        <v>800</v>
      </c>
      <c r="L51" s="107">
        <v>8068.8700000000008</v>
      </c>
      <c r="M51" s="107">
        <v>4508.4400000000005</v>
      </c>
      <c r="N51" s="107">
        <v>2441.41</v>
      </c>
      <c r="O51" s="107">
        <v>1049.9999999999998</v>
      </c>
      <c r="P51" s="107">
        <v>800</v>
      </c>
      <c r="Q51" s="107">
        <v>74974.140000000014</v>
      </c>
      <c r="R51" s="107">
        <f t="shared" si="0"/>
        <v>74974.140000000014</v>
      </c>
    </row>
    <row r="52" spans="1:22" customFormat="1" ht="15.75" hidden="1" x14ac:dyDescent="0.25">
      <c r="D52" s="108" t="s">
        <v>3</v>
      </c>
      <c r="E52" s="109">
        <v>31324.46</v>
      </c>
      <c r="F52" s="109">
        <v>57097.03</v>
      </c>
      <c r="G52" s="109">
        <v>61789.56</v>
      </c>
      <c r="H52" s="109">
        <v>55680.82</v>
      </c>
      <c r="I52" s="109">
        <v>59640.69</v>
      </c>
      <c r="J52" s="109">
        <v>62322.79</v>
      </c>
      <c r="K52" s="109">
        <v>-259163.51999999996</v>
      </c>
      <c r="L52" s="109">
        <v>17461.22</v>
      </c>
      <c r="M52" s="109">
        <v>7167.75</v>
      </c>
      <c r="N52" s="109">
        <v>7086.66</v>
      </c>
      <c r="O52" s="109">
        <v>1876.1699999999996</v>
      </c>
      <c r="P52" s="109">
        <v>3657.84</v>
      </c>
      <c r="Q52" s="109">
        <v>105941.47</v>
      </c>
      <c r="R52" s="109">
        <f>SUM(E52:P52)</f>
        <v>105941.47000000002</v>
      </c>
    </row>
    <row r="53" spans="1:22" customFormat="1" ht="15" hidden="1" x14ac:dyDescent="0.25">
      <c r="R53" s="110">
        <v>0</v>
      </c>
    </row>
    <row r="55" spans="1:22" ht="15" x14ac:dyDescent="0.25">
      <c r="R55"/>
      <c r="S55"/>
    </row>
    <row r="56" spans="1:22" ht="15.75" thickBot="1" x14ac:dyDescent="0.3">
      <c r="R56"/>
      <c r="S56"/>
      <c r="T56" s="114">
        <f t="shared" ref="T56:V56" si="3">SUBTOTAL(9,T4:T35)</f>
        <v>0</v>
      </c>
      <c r="U56" s="114">
        <f t="shared" si="3"/>
        <v>75463.200000000012</v>
      </c>
      <c r="V56" s="116">
        <f t="shared" si="3"/>
        <v>75463.200000000012</v>
      </c>
    </row>
    <row r="57" spans="1:22" ht="15.75" thickTop="1" x14ac:dyDescent="0.25">
      <c r="R57"/>
      <c r="S57"/>
    </row>
    <row r="60" spans="1:22" x14ac:dyDescent="0.2">
      <c r="R60" s="141"/>
    </row>
    <row r="62" spans="1:22" x14ac:dyDescent="0.2">
      <c r="R62" s="220">
        <f>R6+R27+R25+R29</f>
        <v>8980</v>
      </c>
      <c r="S62" s="112" t="s">
        <v>147</v>
      </c>
    </row>
    <row r="63" spans="1:22" x14ac:dyDescent="0.2">
      <c r="R63" s="220">
        <f>R30</f>
        <v>303.52999999999997</v>
      </c>
      <c r="S63" s="112" t="s">
        <v>63</v>
      </c>
    </row>
    <row r="64" spans="1:22" x14ac:dyDescent="0.2">
      <c r="R64" s="220">
        <f>R7+R31</f>
        <v>51213.210000000006</v>
      </c>
      <c r="S64" s="112" t="s">
        <v>65</v>
      </c>
    </row>
    <row r="65" spans="18:19" x14ac:dyDescent="0.2">
      <c r="R65" s="220">
        <f>R8+R32</f>
        <v>14966.460000000001</v>
      </c>
      <c r="S65" s="112" t="s">
        <v>67</v>
      </c>
    </row>
    <row r="66" spans="18:19" ht="13.5" thickBot="1" x14ac:dyDescent="0.25">
      <c r="R66" s="221">
        <f>SUBTOTAL(9,R62:R65)</f>
        <v>75463.200000000012</v>
      </c>
    </row>
  </sheetData>
  <autoFilter ref="A1:W53">
    <filterColumn colId="18">
      <filters>
        <filter val="COVID Proceeding"/>
        <filter val="Insert creation"/>
        <filter val="Maitre &amp; Welch"/>
        <filter val="Pandemic Spot Awards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58"/>
  <sheetViews>
    <sheetView workbookViewId="0">
      <pane xSplit="4" ySplit="5" topLeftCell="O10" activePane="bottomRight" state="frozen"/>
      <selection pane="topRight" activeCell="E1" sqref="E1"/>
      <selection pane="bottomLeft" activeCell="A6" sqref="A6"/>
      <selection pane="bottomRight" activeCell="F50" sqref="F50"/>
    </sheetView>
  </sheetViews>
  <sheetFormatPr defaultRowHeight="12.75" x14ac:dyDescent="0.2"/>
  <cols>
    <col min="1" max="1" width="22.85546875" style="112" customWidth="1"/>
    <col min="2" max="2" width="26.42578125" style="112" customWidth="1"/>
    <col min="3" max="3" width="42.85546875" style="112" customWidth="1"/>
    <col min="4" max="4" width="32.5703125" style="112" customWidth="1"/>
    <col min="5" max="18" width="15.5703125" style="112" customWidth="1"/>
    <col min="19" max="19" width="35.5703125" style="112" customWidth="1"/>
    <col min="20" max="20" width="22" style="112" bestFit="1" customWidth="1"/>
    <col min="21" max="21" width="15.85546875" style="112" bestFit="1" customWidth="1"/>
    <col min="22" max="22" width="16" style="112" customWidth="1"/>
    <col min="23" max="16384" width="9.140625" style="112"/>
  </cols>
  <sheetData>
    <row r="1" spans="1:24" ht="35.25" customHeight="1" thickBot="1" x14ac:dyDescent="0.25">
      <c r="A1" s="203" t="s">
        <v>126</v>
      </c>
      <c r="B1" s="203" t="s">
        <v>127</v>
      </c>
      <c r="C1" s="203" t="s">
        <v>128</v>
      </c>
      <c r="D1" s="203" t="s">
        <v>129</v>
      </c>
      <c r="E1" s="203" t="s">
        <v>130</v>
      </c>
      <c r="F1" s="203" t="s">
        <v>131</v>
      </c>
      <c r="G1" s="203" t="s">
        <v>132</v>
      </c>
      <c r="H1" s="203" t="s">
        <v>133</v>
      </c>
      <c r="I1" s="203" t="s">
        <v>134</v>
      </c>
      <c r="J1" s="203" t="s">
        <v>135</v>
      </c>
      <c r="K1" s="203" t="s">
        <v>136</v>
      </c>
      <c r="L1" s="203" t="s">
        <v>137</v>
      </c>
      <c r="M1" s="203" t="s">
        <v>138</v>
      </c>
      <c r="N1" s="203" t="s">
        <v>139</v>
      </c>
      <c r="O1" s="203" t="s">
        <v>140</v>
      </c>
      <c r="P1" s="203" t="s">
        <v>141</v>
      </c>
      <c r="Q1" s="203" t="s">
        <v>142</v>
      </c>
      <c r="R1" s="204" t="s">
        <v>232</v>
      </c>
      <c r="S1" s="111" t="s">
        <v>168</v>
      </c>
      <c r="T1" s="111" t="s">
        <v>174</v>
      </c>
      <c r="U1" s="111" t="s">
        <v>175</v>
      </c>
      <c r="V1" s="111" t="s">
        <v>180</v>
      </c>
      <c r="X1" s="197" t="s">
        <v>227</v>
      </c>
    </row>
    <row r="2" spans="1:24" customFormat="1" ht="15.75" hidden="1" x14ac:dyDescent="0.25">
      <c r="A2" s="105" t="s">
        <v>144</v>
      </c>
      <c r="B2" s="105" t="s">
        <v>145</v>
      </c>
      <c r="C2" s="105" t="s">
        <v>146</v>
      </c>
      <c r="D2" s="106" t="s">
        <v>147</v>
      </c>
      <c r="E2" s="107">
        <v>0</v>
      </c>
      <c r="F2" s="107">
        <v>0</v>
      </c>
      <c r="G2" s="107">
        <v>1476</v>
      </c>
      <c r="H2" s="107">
        <v>0</v>
      </c>
      <c r="I2" s="107">
        <v>0</v>
      </c>
      <c r="J2" s="107">
        <v>0</v>
      </c>
      <c r="K2" s="107">
        <v>0</v>
      </c>
      <c r="L2" s="107">
        <v>0</v>
      </c>
      <c r="M2" s="107">
        <v>0</v>
      </c>
      <c r="N2" s="107">
        <v>0</v>
      </c>
      <c r="O2" s="107">
        <v>0</v>
      </c>
      <c r="P2" s="107">
        <v>0</v>
      </c>
      <c r="Q2" s="107">
        <v>1476</v>
      </c>
      <c r="R2" s="107">
        <f>SUM(E2:P2)</f>
        <v>1476</v>
      </c>
    </row>
    <row r="3" spans="1:24" customFormat="1" ht="15.75" hidden="1" x14ac:dyDescent="0.25">
      <c r="A3" s="105" t="s">
        <v>144</v>
      </c>
      <c r="B3" s="105" t="s">
        <v>145</v>
      </c>
      <c r="C3" s="105" t="s">
        <v>146</v>
      </c>
      <c r="D3" s="106" t="s">
        <v>63</v>
      </c>
      <c r="E3" s="107">
        <v>0.99</v>
      </c>
      <c r="F3" s="107">
        <v>0.99</v>
      </c>
      <c r="G3" s="107">
        <v>0.99</v>
      </c>
      <c r="H3" s="107">
        <v>0.99</v>
      </c>
      <c r="I3" s="107">
        <v>0.99</v>
      </c>
      <c r="J3" s="107">
        <v>0.99</v>
      </c>
      <c r="K3" s="107">
        <v>0</v>
      </c>
      <c r="L3" s="107">
        <v>0</v>
      </c>
      <c r="M3" s="107">
        <v>0</v>
      </c>
      <c r="N3" s="107">
        <v>0</v>
      </c>
      <c r="O3" s="107">
        <v>0</v>
      </c>
      <c r="P3" s="107">
        <v>0</v>
      </c>
      <c r="Q3" s="107">
        <v>5.94</v>
      </c>
      <c r="R3" s="107">
        <f t="shared" ref="R3:R51" si="0">SUM(E3:P3)</f>
        <v>5.94</v>
      </c>
    </row>
    <row r="4" spans="1:24" customFormat="1" ht="15.75" hidden="1" x14ac:dyDescent="0.25">
      <c r="A4" s="105" t="s">
        <v>144</v>
      </c>
      <c r="B4" s="105" t="s">
        <v>145</v>
      </c>
      <c r="C4" s="105" t="s">
        <v>146</v>
      </c>
      <c r="D4" s="106" t="s">
        <v>67</v>
      </c>
      <c r="E4" s="107">
        <v>0</v>
      </c>
      <c r="F4" s="107">
        <v>2947.5</v>
      </c>
      <c r="G4" s="107">
        <v>787.5</v>
      </c>
      <c r="H4" s="107">
        <v>-3573.75</v>
      </c>
      <c r="I4" s="107">
        <v>82.5</v>
      </c>
      <c r="J4" s="107">
        <v>67.5</v>
      </c>
      <c r="K4" s="107">
        <v>63.75</v>
      </c>
      <c r="L4" s="107">
        <v>0</v>
      </c>
      <c r="M4" s="107">
        <v>0</v>
      </c>
      <c r="N4" s="107">
        <v>0</v>
      </c>
      <c r="O4" s="107">
        <v>0</v>
      </c>
      <c r="P4" s="107">
        <v>0</v>
      </c>
      <c r="Q4" s="107">
        <v>375</v>
      </c>
      <c r="R4" s="107">
        <f t="shared" si="0"/>
        <v>375</v>
      </c>
    </row>
    <row r="5" spans="1:24" customFormat="1" ht="15.75" hidden="1" x14ac:dyDescent="0.25">
      <c r="A5" s="105" t="s">
        <v>144</v>
      </c>
      <c r="B5" s="105" t="s">
        <v>145</v>
      </c>
      <c r="C5" s="105" t="s">
        <v>146</v>
      </c>
      <c r="D5" s="106" t="s">
        <v>69</v>
      </c>
      <c r="E5" s="107">
        <v>610.13</v>
      </c>
      <c r="F5" s="107">
        <v>255.6</v>
      </c>
      <c r="G5" s="107">
        <v>319.5</v>
      </c>
      <c r="H5" s="107">
        <v>255.6</v>
      </c>
      <c r="I5" s="107">
        <v>255.6</v>
      </c>
      <c r="J5" s="107">
        <v>255.6</v>
      </c>
      <c r="K5" s="107">
        <v>255.6</v>
      </c>
      <c r="L5" s="107">
        <v>319.5</v>
      </c>
      <c r="M5" s="107">
        <v>191.7</v>
      </c>
      <c r="N5" s="107">
        <v>255.59999999999997</v>
      </c>
      <c r="O5" s="107">
        <v>255.6</v>
      </c>
      <c r="P5" s="107">
        <v>223.65</v>
      </c>
      <c r="Q5" s="107">
        <v>3453.6799999999994</v>
      </c>
      <c r="R5" s="107">
        <f t="shared" si="0"/>
        <v>3453.6799999999994</v>
      </c>
    </row>
    <row r="6" spans="1:24" ht="15" hidden="1" x14ac:dyDescent="0.2">
      <c r="A6" s="105" t="s">
        <v>144</v>
      </c>
      <c r="B6" s="105" t="s">
        <v>148</v>
      </c>
      <c r="C6" s="105" t="s">
        <v>146</v>
      </c>
      <c r="D6" s="106" t="s">
        <v>147</v>
      </c>
      <c r="E6" s="107">
        <v>0</v>
      </c>
      <c r="F6" s="107">
        <v>0</v>
      </c>
      <c r="G6" s="107">
        <v>2804</v>
      </c>
      <c r="H6" s="107">
        <v>0</v>
      </c>
      <c r="I6" s="107">
        <v>0</v>
      </c>
      <c r="J6" s="107">
        <v>0</v>
      </c>
      <c r="K6" s="107">
        <v>0</v>
      </c>
      <c r="L6" s="107">
        <v>0</v>
      </c>
      <c r="M6" s="107">
        <v>0</v>
      </c>
      <c r="N6" s="107">
        <v>0</v>
      </c>
      <c r="O6" s="107">
        <v>0</v>
      </c>
      <c r="P6" s="107">
        <v>0</v>
      </c>
      <c r="Q6" s="107">
        <v>2804</v>
      </c>
      <c r="R6" s="107">
        <f t="shared" si="0"/>
        <v>2804</v>
      </c>
      <c r="S6" s="112" t="s">
        <v>169</v>
      </c>
      <c r="U6" s="113">
        <f t="shared" ref="U6:U9" si="1">+R6+T6</f>
        <v>2804</v>
      </c>
      <c r="V6" s="113">
        <f>+U6</f>
        <v>2804</v>
      </c>
    </row>
    <row r="7" spans="1:24" ht="15" hidden="1" x14ac:dyDescent="0.2">
      <c r="A7" s="105" t="s">
        <v>144</v>
      </c>
      <c r="B7" s="105" t="s">
        <v>148</v>
      </c>
      <c r="C7" s="105" t="s">
        <v>146</v>
      </c>
      <c r="D7" s="106" t="s">
        <v>65</v>
      </c>
      <c r="E7" s="107">
        <v>1270.9100000000001</v>
      </c>
      <c r="F7" s="107">
        <v>75.1099999999999</v>
      </c>
      <c r="G7" s="107">
        <v>143.75</v>
      </c>
      <c r="H7" s="107">
        <v>3073.96</v>
      </c>
      <c r="I7" s="107">
        <v>3950.83</v>
      </c>
      <c r="J7" s="107">
        <v>9879.6</v>
      </c>
      <c r="K7" s="107">
        <v>1090.3</v>
      </c>
      <c r="L7" s="107">
        <v>187.79</v>
      </c>
      <c r="M7" s="107">
        <v>25.150000000000006</v>
      </c>
      <c r="N7" s="107">
        <v>0</v>
      </c>
      <c r="O7" s="107">
        <v>0</v>
      </c>
      <c r="P7" s="107">
        <v>0</v>
      </c>
      <c r="Q7" s="107">
        <v>19697.399999999998</v>
      </c>
      <c r="R7" s="107">
        <f t="shared" si="0"/>
        <v>19697.400000000001</v>
      </c>
      <c r="S7" s="112" t="s">
        <v>170</v>
      </c>
      <c r="U7" s="113">
        <f t="shared" si="1"/>
        <v>19697.400000000001</v>
      </c>
      <c r="V7" s="113">
        <f>+U7</f>
        <v>19697.400000000001</v>
      </c>
    </row>
    <row r="8" spans="1:24" ht="15" hidden="1" x14ac:dyDescent="0.2">
      <c r="A8" s="105" t="s">
        <v>144</v>
      </c>
      <c r="B8" s="105" t="s">
        <v>148</v>
      </c>
      <c r="C8" s="105" t="s">
        <v>146</v>
      </c>
      <c r="D8" s="106" t="s">
        <v>67</v>
      </c>
      <c r="E8" s="107">
        <v>0</v>
      </c>
      <c r="F8" s="107">
        <v>306.51</v>
      </c>
      <c r="G8" s="107">
        <v>226.5</v>
      </c>
      <c r="H8" s="107">
        <v>3965.01</v>
      </c>
      <c r="I8" s="107">
        <v>773.11999999999989</v>
      </c>
      <c r="J8" s="107">
        <v>41.880000000000109</v>
      </c>
      <c r="K8" s="107">
        <v>78.490000000000009</v>
      </c>
      <c r="L8" s="107">
        <v>70.2</v>
      </c>
      <c r="M8" s="107">
        <v>54.6</v>
      </c>
      <c r="N8" s="107">
        <v>50.05</v>
      </c>
      <c r="O8" s="107">
        <v>0</v>
      </c>
      <c r="P8" s="107">
        <v>0</v>
      </c>
      <c r="Q8" s="107">
        <v>5566.3600000000006</v>
      </c>
      <c r="R8" s="107">
        <f t="shared" si="0"/>
        <v>5566.3600000000006</v>
      </c>
      <c r="S8" s="112" t="s">
        <v>171</v>
      </c>
      <c r="U8" s="113">
        <f t="shared" si="1"/>
        <v>5566.3600000000006</v>
      </c>
      <c r="V8" s="113">
        <f>+U8</f>
        <v>5566.3600000000006</v>
      </c>
    </row>
    <row r="9" spans="1:24" ht="15" hidden="1" x14ac:dyDescent="0.2">
      <c r="A9" s="105" t="s">
        <v>144</v>
      </c>
      <c r="B9" s="105" t="s">
        <v>148</v>
      </c>
      <c r="C9" s="105" t="s">
        <v>146</v>
      </c>
      <c r="D9" s="106" t="s">
        <v>69</v>
      </c>
      <c r="E9" s="107">
        <v>214</v>
      </c>
      <c r="F9" s="107">
        <v>623.02</v>
      </c>
      <c r="G9" s="107">
        <v>1557.56</v>
      </c>
      <c r="H9" s="107">
        <v>856</v>
      </c>
      <c r="I9" s="107">
        <v>1246.05</v>
      </c>
      <c r="J9" s="107">
        <v>1460.05</v>
      </c>
      <c r="K9" s="107">
        <v>-31773</v>
      </c>
      <c r="L9" s="107">
        <v>0</v>
      </c>
      <c r="M9" s="107">
        <v>0</v>
      </c>
      <c r="N9" s="107">
        <v>1022.3800000000001</v>
      </c>
      <c r="O9" s="107">
        <v>570.56999999999994</v>
      </c>
      <c r="P9" s="107">
        <v>380.38</v>
      </c>
      <c r="Q9" s="107">
        <v>-23842.99</v>
      </c>
      <c r="R9" s="107">
        <f t="shared" si="0"/>
        <v>-23842.989999999998</v>
      </c>
      <c r="S9" s="112" t="s">
        <v>172</v>
      </c>
      <c r="T9" s="113">
        <v>31987</v>
      </c>
      <c r="U9" s="113">
        <f t="shared" si="1"/>
        <v>8144.010000000002</v>
      </c>
      <c r="V9" s="113">
        <v>0</v>
      </c>
      <c r="W9" s="112" t="s">
        <v>176</v>
      </c>
    </row>
    <row r="10" spans="1:24" s="117" customFormat="1" ht="15" x14ac:dyDescent="0.2">
      <c r="A10" s="105" t="s">
        <v>144</v>
      </c>
      <c r="B10" s="105" t="s">
        <v>149</v>
      </c>
      <c r="C10" s="105" t="s">
        <v>146</v>
      </c>
      <c r="D10" s="106" t="s">
        <v>63</v>
      </c>
      <c r="E10" s="107">
        <v>0</v>
      </c>
      <c r="F10" s="107">
        <v>7038.46</v>
      </c>
      <c r="G10" s="107">
        <v>0</v>
      </c>
      <c r="H10" s="107">
        <v>0</v>
      </c>
      <c r="I10" s="107">
        <v>0</v>
      </c>
      <c r="J10" s="107">
        <v>23.73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7062.1899999999987</v>
      </c>
      <c r="R10" s="107">
        <f t="shared" si="0"/>
        <v>7062.19</v>
      </c>
      <c r="S10" s="112" t="s">
        <v>173</v>
      </c>
      <c r="U10" s="118">
        <f>+R10+T10</f>
        <v>7062.19</v>
      </c>
      <c r="V10" s="118">
        <f>+U10</f>
        <v>7062.19</v>
      </c>
      <c r="X10" s="117">
        <v>9302</v>
      </c>
    </row>
    <row r="11" spans="1:24" s="117" customFormat="1" ht="15" x14ac:dyDescent="0.2">
      <c r="A11" s="105" t="s">
        <v>144</v>
      </c>
      <c r="B11" s="105" t="s">
        <v>149</v>
      </c>
      <c r="C11" s="105" t="s">
        <v>146</v>
      </c>
      <c r="D11" s="106" t="s">
        <v>69</v>
      </c>
      <c r="E11" s="107">
        <v>0</v>
      </c>
      <c r="F11" s="107">
        <v>0</v>
      </c>
      <c r="G11" s="107">
        <v>4834.6000000000004</v>
      </c>
      <c r="H11" s="107">
        <v>0</v>
      </c>
      <c r="I11" s="107">
        <v>14412.61</v>
      </c>
      <c r="J11" s="107">
        <v>4621.2</v>
      </c>
      <c r="K11" s="107">
        <v>2643.1</v>
      </c>
      <c r="L11" s="107">
        <v>2260.7600000000002</v>
      </c>
      <c r="M11" s="107">
        <v>0</v>
      </c>
      <c r="N11" s="107">
        <v>0</v>
      </c>
      <c r="O11" s="107">
        <v>0</v>
      </c>
      <c r="P11" s="107">
        <v>0</v>
      </c>
      <c r="Q11" s="107">
        <v>28772.269999999997</v>
      </c>
      <c r="R11" s="107">
        <f t="shared" si="0"/>
        <v>28772.269999999997</v>
      </c>
      <c r="S11" s="112" t="s">
        <v>172</v>
      </c>
      <c r="U11" s="118">
        <f>+R11+T11</f>
        <v>28772.269999999997</v>
      </c>
      <c r="V11" s="118">
        <v>0</v>
      </c>
      <c r="W11" s="112" t="s">
        <v>176</v>
      </c>
    </row>
    <row r="12" spans="1:24" customFormat="1" ht="15.75" x14ac:dyDescent="0.25">
      <c r="A12" s="105" t="s">
        <v>144</v>
      </c>
      <c r="B12" s="105" t="s">
        <v>149</v>
      </c>
      <c r="C12" s="105" t="s">
        <v>146</v>
      </c>
      <c r="D12" s="106" t="s">
        <v>150</v>
      </c>
      <c r="E12" s="107">
        <v>-525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-525</v>
      </c>
      <c r="R12" s="107">
        <f t="shared" si="0"/>
        <v>-525</v>
      </c>
      <c r="U12" s="107"/>
      <c r="V12" s="107"/>
    </row>
    <row r="13" spans="1:24" customFormat="1" ht="15.75" hidden="1" x14ac:dyDescent="0.25">
      <c r="A13" s="105" t="s">
        <v>144</v>
      </c>
      <c r="B13" s="105" t="s">
        <v>151</v>
      </c>
      <c r="C13" s="105" t="s">
        <v>152</v>
      </c>
      <c r="D13" s="106" t="s">
        <v>69</v>
      </c>
      <c r="E13" s="107">
        <v>0</v>
      </c>
      <c r="F13" s="107">
        <v>0</v>
      </c>
      <c r="G13" s="107">
        <v>44.92</v>
      </c>
      <c r="H13" s="107">
        <v>0</v>
      </c>
      <c r="I13" s="107">
        <v>34.950000000000003</v>
      </c>
      <c r="J13" s="107">
        <v>0</v>
      </c>
      <c r="K13" s="107">
        <v>0</v>
      </c>
      <c r="L13" s="107">
        <v>0</v>
      </c>
      <c r="M13" s="107">
        <v>22.89</v>
      </c>
      <c r="N13" s="107">
        <v>70.47</v>
      </c>
      <c r="O13" s="107">
        <v>0</v>
      </c>
      <c r="P13" s="107">
        <v>0</v>
      </c>
      <c r="Q13" s="107">
        <v>173.23000000000002</v>
      </c>
      <c r="R13" s="107">
        <f t="shared" si="0"/>
        <v>173.23000000000002</v>
      </c>
      <c r="U13" s="107"/>
      <c r="V13" s="107"/>
    </row>
    <row r="14" spans="1:24" customFormat="1" ht="15.75" hidden="1" x14ac:dyDescent="0.25">
      <c r="A14" s="105" t="s">
        <v>144</v>
      </c>
      <c r="B14" s="105" t="s">
        <v>151</v>
      </c>
      <c r="C14" s="105" t="s">
        <v>146</v>
      </c>
      <c r="D14" s="106" t="s">
        <v>147</v>
      </c>
      <c r="E14" s="107">
        <v>0</v>
      </c>
      <c r="F14" s="107">
        <v>0</v>
      </c>
      <c r="G14" s="107">
        <v>4642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4642</v>
      </c>
      <c r="R14" s="107">
        <f t="shared" si="0"/>
        <v>4642</v>
      </c>
      <c r="U14" s="107"/>
      <c r="V14" s="107"/>
    </row>
    <row r="15" spans="1:24" customFormat="1" ht="15.75" hidden="1" x14ac:dyDescent="0.25">
      <c r="A15" s="105" t="s">
        <v>144</v>
      </c>
      <c r="B15" s="105" t="s">
        <v>151</v>
      </c>
      <c r="C15" s="105" t="s">
        <v>146</v>
      </c>
      <c r="D15" s="106" t="s">
        <v>69</v>
      </c>
      <c r="E15" s="107">
        <v>2402.5</v>
      </c>
      <c r="F15" s="107">
        <v>3166.92</v>
      </c>
      <c r="G15" s="107">
        <v>720.65000000000009</v>
      </c>
      <c r="H15" s="107">
        <v>6403.02</v>
      </c>
      <c r="I15" s="107">
        <v>55.429999999999382</v>
      </c>
      <c r="J15" s="107">
        <v>3763.3999999999996</v>
      </c>
      <c r="K15" s="107">
        <v>81.700000000000045</v>
      </c>
      <c r="L15" s="107">
        <v>1977.8799999999999</v>
      </c>
      <c r="M15" s="107">
        <v>128.6</v>
      </c>
      <c r="N15" s="107">
        <v>0</v>
      </c>
      <c r="O15" s="107">
        <v>0</v>
      </c>
      <c r="P15" s="107">
        <v>0</v>
      </c>
      <c r="Q15" s="107">
        <v>18700.100000000002</v>
      </c>
      <c r="R15" s="107">
        <f t="shared" si="0"/>
        <v>18700.099999999999</v>
      </c>
      <c r="U15" s="107"/>
      <c r="V15" s="107"/>
    </row>
    <row r="16" spans="1:24" customFormat="1" ht="15.75" hidden="1" x14ac:dyDescent="0.25">
      <c r="A16" s="105" t="s">
        <v>144</v>
      </c>
      <c r="B16" s="105" t="s">
        <v>151</v>
      </c>
      <c r="C16" s="105" t="s">
        <v>146</v>
      </c>
      <c r="D16" s="106" t="s">
        <v>150</v>
      </c>
      <c r="E16" s="107">
        <v>0</v>
      </c>
      <c r="F16" s="107">
        <v>0</v>
      </c>
      <c r="G16" s="107">
        <v>0</v>
      </c>
      <c r="H16" s="107">
        <v>1000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1000</v>
      </c>
      <c r="R16" s="107">
        <f t="shared" si="0"/>
        <v>1000</v>
      </c>
      <c r="U16" s="107"/>
      <c r="V16" s="107"/>
    </row>
    <row r="17" spans="1:22" customFormat="1" ht="15.75" hidden="1" x14ac:dyDescent="0.25">
      <c r="A17" s="105" t="s">
        <v>144</v>
      </c>
      <c r="B17" s="105" t="s">
        <v>153</v>
      </c>
      <c r="C17" s="105" t="s">
        <v>146</v>
      </c>
      <c r="D17" s="106" t="s">
        <v>147</v>
      </c>
      <c r="E17" s="107">
        <v>0</v>
      </c>
      <c r="F17" s="107">
        <v>0</v>
      </c>
      <c r="G17" s="107">
        <v>8670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8670</v>
      </c>
      <c r="R17" s="107">
        <f t="shared" si="0"/>
        <v>8670</v>
      </c>
      <c r="U17" s="107"/>
      <c r="V17" s="107"/>
    </row>
    <row r="18" spans="1:22" customFormat="1" ht="15.75" hidden="1" x14ac:dyDescent="0.25">
      <c r="A18" s="105" t="s">
        <v>144</v>
      </c>
      <c r="B18" s="105" t="s">
        <v>153</v>
      </c>
      <c r="C18" s="105" t="s">
        <v>146</v>
      </c>
      <c r="D18" s="106" t="s">
        <v>69</v>
      </c>
      <c r="E18" s="107">
        <v>716.59</v>
      </c>
      <c r="F18" s="107">
        <v>3180.9999999999995</v>
      </c>
      <c r="G18" s="107">
        <v>1452.0800000000004</v>
      </c>
      <c r="H18" s="107">
        <v>6153.03</v>
      </c>
      <c r="I18" s="107">
        <v>48.5</v>
      </c>
      <c r="J18" s="107">
        <v>3866.6000000000004</v>
      </c>
      <c r="K18" s="107">
        <v>358.29999999999995</v>
      </c>
      <c r="L18" s="107">
        <v>1356.52</v>
      </c>
      <c r="M18" s="107">
        <v>0</v>
      </c>
      <c r="N18" s="107">
        <v>0</v>
      </c>
      <c r="O18" s="107">
        <v>0</v>
      </c>
      <c r="P18" s="107">
        <v>0</v>
      </c>
      <c r="Q18" s="107">
        <v>17132.620000000003</v>
      </c>
      <c r="R18" s="107">
        <f t="shared" si="0"/>
        <v>17132.62</v>
      </c>
      <c r="U18" s="107"/>
      <c r="V18" s="107"/>
    </row>
    <row r="19" spans="1:22" customFormat="1" ht="15.75" hidden="1" x14ac:dyDescent="0.25">
      <c r="A19" s="105" t="s">
        <v>144</v>
      </c>
      <c r="B19" s="105" t="s">
        <v>154</v>
      </c>
      <c r="C19" s="105" t="s">
        <v>146</v>
      </c>
      <c r="D19" s="106" t="s">
        <v>147</v>
      </c>
      <c r="E19" s="107">
        <v>0</v>
      </c>
      <c r="F19" s="107">
        <v>0</v>
      </c>
      <c r="G19" s="107">
        <v>706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706</v>
      </c>
      <c r="R19" s="107">
        <f t="shared" si="0"/>
        <v>706</v>
      </c>
      <c r="U19" s="107"/>
      <c r="V19" s="107"/>
    </row>
    <row r="20" spans="1:22" customFormat="1" ht="15.75" hidden="1" x14ac:dyDescent="0.25">
      <c r="A20" s="105" t="s">
        <v>144</v>
      </c>
      <c r="B20" s="105" t="s">
        <v>155</v>
      </c>
      <c r="C20" s="105" t="s">
        <v>146</v>
      </c>
      <c r="D20" s="106" t="s">
        <v>147</v>
      </c>
      <c r="E20" s="107">
        <v>0</v>
      </c>
      <c r="F20" s="107">
        <v>0</v>
      </c>
      <c r="G20" s="107">
        <v>3068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3068</v>
      </c>
      <c r="R20" s="107">
        <f t="shared" si="0"/>
        <v>3068</v>
      </c>
      <c r="U20" s="107"/>
      <c r="V20" s="107"/>
    </row>
    <row r="21" spans="1:22" customFormat="1" ht="15.75" hidden="1" x14ac:dyDescent="0.25">
      <c r="A21" s="105" t="s">
        <v>144</v>
      </c>
      <c r="B21" s="105" t="s">
        <v>155</v>
      </c>
      <c r="C21" s="105" t="s">
        <v>146</v>
      </c>
      <c r="D21" s="106" t="s">
        <v>65</v>
      </c>
      <c r="E21" s="107">
        <v>762.54</v>
      </c>
      <c r="F21" s="107">
        <v>45.07000000000005</v>
      </c>
      <c r="G21" s="107">
        <v>86.25</v>
      </c>
      <c r="H21" s="107">
        <v>1844.38</v>
      </c>
      <c r="I21" s="107">
        <v>2370.5</v>
      </c>
      <c r="J21" s="107">
        <v>5927.76</v>
      </c>
      <c r="K21" s="107">
        <v>654.17999999999995</v>
      </c>
      <c r="L21" s="107">
        <v>112.67</v>
      </c>
      <c r="M21" s="107">
        <v>15.090000000000003</v>
      </c>
      <c r="N21" s="107">
        <v>0</v>
      </c>
      <c r="O21" s="107">
        <v>0</v>
      </c>
      <c r="P21" s="107">
        <v>0</v>
      </c>
      <c r="Q21" s="107">
        <v>11818.44</v>
      </c>
      <c r="R21" s="107">
        <f t="shared" si="0"/>
        <v>11818.44</v>
      </c>
      <c r="U21" s="107"/>
      <c r="V21" s="107"/>
    </row>
    <row r="22" spans="1:22" customFormat="1" ht="15.75" hidden="1" x14ac:dyDescent="0.25">
      <c r="A22" s="105" t="s">
        <v>144</v>
      </c>
      <c r="B22" s="105" t="s">
        <v>155</v>
      </c>
      <c r="C22" s="105" t="s">
        <v>146</v>
      </c>
      <c r="D22" s="106" t="s">
        <v>67</v>
      </c>
      <c r="E22" s="107">
        <v>0</v>
      </c>
      <c r="F22" s="107">
        <v>376.74</v>
      </c>
      <c r="G22" s="107">
        <v>226.5</v>
      </c>
      <c r="H22" s="107">
        <v>3965</v>
      </c>
      <c r="I22" s="107">
        <v>-218.11999999999989</v>
      </c>
      <c r="J22" s="107">
        <v>-851.88</v>
      </c>
      <c r="K22" s="107">
        <v>36.56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3534.8</v>
      </c>
      <c r="R22" s="107">
        <f t="shared" si="0"/>
        <v>3534.7999999999997</v>
      </c>
      <c r="U22" s="107"/>
      <c r="V22" s="107"/>
    </row>
    <row r="23" spans="1:22" customFormat="1" ht="15.75" hidden="1" x14ac:dyDescent="0.25">
      <c r="A23" s="105" t="s">
        <v>144</v>
      </c>
      <c r="B23" s="105" t="s">
        <v>155</v>
      </c>
      <c r="C23" s="105" t="s">
        <v>146</v>
      </c>
      <c r="D23" s="106" t="s">
        <v>69</v>
      </c>
      <c r="E23" s="107">
        <v>0</v>
      </c>
      <c r="F23" s="107">
        <v>0</v>
      </c>
      <c r="G23" s="107">
        <v>725.63</v>
      </c>
      <c r="H23" s="107">
        <v>0</v>
      </c>
      <c r="I23" s="107">
        <v>827.76</v>
      </c>
      <c r="J23" s="107">
        <v>383.51</v>
      </c>
      <c r="K23" s="107">
        <v>-61243</v>
      </c>
      <c r="L23" s="107">
        <v>418.77</v>
      </c>
      <c r="M23" s="107">
        <v>1703.88</v>
      </c>
      <c r="N23" s="107">
        <v>0</v>
      </c>
      <c r="O23" s="107">
        <v>0</v>
      </c>
      <c r="P23" s="107">
        <v>187.31</v>
      </c>
      <c r="Q23" s="107">
        <v>-56996.14</v>
      </c>
      <c r="R23" s="107">
        <f t="shared" si="0"/>
        <v>-56996.140000000007</v>
      </c>
      <c r="U23" s="107"/>
      <c r="V23" s="107"/>
    </row>
    <row r="24" spans="1:22" customFormat="1" ht="15.75" hidden="1" x14ac:dyDescent="0.25">
      <c r="A24" s="105" t="s">
        <v>144</v>
      </c>
      <c r="B24" s="105" t="s">
        <v>156</v>
      </c>
      <c r="C24" s="105" t="s">
        <v>146</v>
      </c>
      <c r="D24" s="106" t="s">
        <v>147</v>
      </c>
      <c r="E24" s="107">
        <v>0</v>
      </c>
      <c r="F24" s="107">
        <v>0</v>
      </c>
      <c r="G24" s="107">
        <v>82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82</v>
      </c>
      <c r="R24" s="107">
        <f t="shared" si="0"/>
        <v>82</v>
      </c>
      <c r="U24" s="107"/>
      <c r="V24" s="107"/>
    </row>
    <row r="25" spans="1:22" ht="15" hidden="1" x14ac:dyDescent="0.2">
      <c r="A25" s="105" t="s">
        <v>144</v>
      </c>
      <c r="B25" s="105" t="s">
        <v>157</v>
      </c>
      <c r="C25" s="105" t="s">
        <v>146</v>
      </c>
      <c r="D25" s="106" t="s">
        <v>147</v>
      </c>
      <c r="E25" s="107">
        <v>0</v>
      </c>
      <c r="F25" s="107">
        <v>0</v>
      </c>
      <c r="G25" s="107">
        <v>60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0</v>
      </c>
      <c r="O25" s="107">
        <v>0</v>
      </c>
      <c r="P25" s="107">
        <v>0</v>
      </c>
      <c r="Q25" s="107">
        <v>60</v>
      </c>
      <c r="R25" s="107">
        <f t="shared" si="0"/>
        <v>60</v>
      </c>
      <c r="S25" s="112" t="s">
        <v>169</v>
      </c>
      <c r="U25" s="113">
        <f t="shared" ref="U25:U32" si="2">+R25+T25</f>
        <v>60</v>
      </c>
      <c r="V25" s="113">
        <f>+U25</f>
        <v>60</v>
      </c>
    </row>
    <row r="26" spans="1:22" ht="15" hidden="1" x14ac:dyDescent="0.2">
      <c r="A26" s="105" t="s">
        <v>144</v>
      </c>
      <c r="B26" s="105" t="s">
        <v>157</v>
      </c>
      <c r="C26" s="105" t="s">
        <v>146</v>
      </c>
      <c r="D26" s="106" t="s">
        <v>69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-416</v>
      </c>
      <c r="L26" s="107">
        <v>0</v>
      </c>
      <c r="M26" s="107">
        <v>0</v>
      </c>
      <c r="N26" s="107">
        <v>0</v>
      </c>
      <c r="O26" s="107">
        <v>0</v>
      </c>
      <c r="P26" s="107">
        <v>0</v>
      </c>
      <c r="Q26" s="107">
        <v>-416</v>
      </c>
      <c r="R26" s="107">
        <f t="shared" si="0"/>
        <v>-416</v>
      </c>
      <c r="S26" s="112" t="s">
        <v>172</v>
      </c>
      <c r="T26" s="113">
        <v>416</v>
      </c>
      <c r="U26" s="113">
        <f t="shared" si="2"/>
        <v>0</v>
      </c>
      <c r="V26" s="113">
        <v>0</v>
      </c>
    </row>
    <row r="27" spans="1:22" ht="15" hidden="1" x14ac:dyDescent="0.2">
      <c r="A27" s="105" t="s">
        <v>144</v>
      </c>
      <c r="B27" s="105" t="s">
        <v>158</v>
      </c>
      <c r="C27" s="105" t="s">
        <v>146</v>
      </c>
      <c r="D27" s="106" t="s">
        <v>147</v>
      </c>
      <c r="E27" s="107">
        <v>0</v>
      </c>
      <c r="F27" s="107">
        <v>0</v>
      </c>
      <c r="G27" s="107">
        <v>62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7">
        <v>0</v>
      </c>
      <c r="P27" s="107">
        <v>0</v>
      </c>
      <c r="Q27" s="107">
        <v>62</v>
      </c>
      <c r="R27" s="107">
        <f t="shared" si="0"/>
        <v>62</v>
      </c>
      <c r="S27" s="112" t="s">
        <v>169</v>
      </c>
      <c r="U27" s="113">
        <f t="shared" si="2"/>
        <v>62</v>
      </c>
      <c r="V27" s="113">
        <f>+U27</f>
        <v>62</v>
      </c>
    </row>
    <row r="28" spans="1:22" ht="15" hidden="1" x14ac:dyDescent="0.2">
      <c r="A28" s="105" t="s">
        <v>144</v>
      </c>
      <c r="B28" s="105" t="s">
        <v>158</v>
      </c>
      <c r="C28" s="105" t="s">
        <v>146</v>
      </c>
      <c r="D28" s="106" t="s">
        <v>69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-363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-363</v>
      </c>
      <c r="R28" s="107">
        <f t="shared" si="0"/>
        <v>-363</v>
      </c>
      <c r="S28" s="112" t="s">
        <v>172</v>
      </c>
      <c r="T28" s="113">
        <v>363</v>
      </c>
      <c r="U28" s="113">
        <f t="shared" si="2"/>
        <v>0</v>
      </c>
      <c r="V28" s="113">
        <v>0</v>
      </c>
    </row>
    <row r="29" spans="1:22" ht="15" hidden="1" x14ac:dyDescent="0.2">
      <c r="A29" s="105" t="s">
        <v>144</v>
      </c>
      <c r="B29" s="105" t="s">
        <v>159</v>
      </c>
      <c r="C29" s="105" t="s">
        <v>146</v>
      </c>
      <c r="D29" s="106" t="s">
        <v>147</v>
      </c>
      <c r="E29" s="107">
        <v>0</v>
      </c>
      <c r="F29" s="107">
        <v>0</v>
      </c>
      <c r="G29" s="107">
        <v>6054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6054</v>
      </c>
      <c r="R29" s="107">
        <f t="shared" si="0"/>
        <v>6054</v>
      </c>
      <c r="S29" s="112" t="s">
        <v>169</v>
      </c>
      <c r="U29" s="113">
        <f t="shared" si="2"/>
        <v>6054</v>
      </c>
      <c r="V29" s="113">
        <f>+U29</f>
        <v>6054</v>
      </c>
    </row>
    <row r="30" spans="1:22" ht="15" hidden="1" x14ac:dyDescent="0.2">
      <c r="A30" s="105" t="s">
        <v>144</v>
      </c>
      <c r="B30" s="105" t="s">
        <v>159</v>
      </c>
      <c r="C30" s="105" t="s">
        <v>146</v>
      </c>
      <c r="D30" s="106" t="s">
        <v>63</v>
      </c>
      <c r="E30" s="107">
        <v>0</v>
      </c>
      <c r="F30" s="107">
        <v>0</v>
      </c>
      <c r="G30" s="107">
        <v>303.52999999999997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303.52999999999997</v>
      </c>
      <c r="R30" s="107">
        <f t="shared" si="0"/>
        <v>303.52999999999997</v>
      </c>
      <c r="S30" s="112" t="s">
        <v>173</v>
      </c>
      <c r="U30" s="113">
        <f t="shared" si="2"/>
        <v>303.52999999999997</v>
      </c>
      <c r="V30" s="113">
        <f>+U30</f>
        <v>303.52999999999997</v>
      </c>
    </row>
    <row r="31" spans="1:22" ht="15" hidden="1" x14ac:dyDescent="0.2">
      <c r="A31" s="105" t="s">
        <v>144</v>
      </c>
      <c r="B31" s="105" t="s">
        <v>159</v>
      </c>
      <c r="C31" s="105" t="s">
        <v>146</v>
      </c>
      <c r="D31" s="106" t="s">
        <v>65</v>
      </c>
      <c r="E31" s="107">
        <v>2033.45</v>
      </c>
      <c r="F31" s="107">
        <v>120.18000000000006</v>
      </c>
      <c r="G31" s="107">
        <v>230</v>
      </c>
      <c r="H31" s="107">
        <v>4918.33</v>
      </c>
      <c r="I31" s="107">
        <v>6321.33</v>
      </c>
      <c r="J31" s="107">
        <v>15807.360000000002</v>
      </c>
      <c r="K31" s="107">
        <v>1744.46</v>
      </c>
      <c r="L31" s="107">
        <v>300.45999999999998</v>
      </c>
      <c r="M31" s="107">
        <v>40.240000000000009</v>
      </c>
      <c r="N31" s="107">
        <v>0</v>
      </c>
      <c r="O31" s="107">
        <v>0</v>
      </c>
      <c r="P31" s="107">
        <v>0</v>
      </c>
      <c r="Q31" s="107">
        <v>31515.81</v>
      </c>
      <c r="R31" s="107">
        <f t="shared" si="0"/>
        <v>31515.81</v>
      </c>
      <c r="S31" s="112" t="s">
        <v>170</v>
      </c>
      <c r="U31" s="113">
        <f t="shared" si="2"/>
        <v>31515.81</v>
      </c>
      <c r="V31" s="113">
        <f>+U31</f>
        <v>31515.81</v>
      </c>
    </row>
    <row r="32" spans="1:22" ht="15" hidden="1" x14ac:dyDescent="0.2">
      <c r="A32" s="105" t="s">
        <v>144</v>
      </c>
      <c r="B32" s="105" t="s">
        <v>159</v>
      </c>
      <c r="C32" s="105" t="s">
        <v>146</v>
      </c>
      <c r="D32" s="106" t="s">
        <v>67</v>
      </c>
      <c r="E32" s="107">
        <v>0</v>
      </c>
      <c r="F32" s="107">
        <v>921</v>
      </c>
      <c r="G32" s="107">
        <v>226.5</v>
      </c>
      <c r="H32" s="107">
        <v>3965</v>
      </c>
      <c r="I32" s="107">
        <v>7616.41</v>
      </c>
      <c r="J32" s="107">
        <v>-3973.91</v>
      </c>
      <c r="K32" s="107">
        <v>147.45000000000005</v>
      </c>
      <c r="L32" s="107">
        <v>199.8</v>
      </c>
      <c r="M32" s="107">
        <v>155.4</v>
      </c>
      <c r="N32" s="107">
        <v>142.44999999999999</v>
      </c>
      <c r="O32" s="107">
        <v>0</v>
      </c>
      <c r="P32" s="107">
        <v>0</v>
      </c>
      <c r="Q32" s="107">
        <v>9400.1</v>
      </c>
      <c r="R32" s="107">
        <f t="shared" si="0"/>
        <v>9400.1</v>
      </c>
      <c r="S32" s="112" t="s">
        <v>171</v>
      </c>
      <c r="U32" s="113">
        <f t="shared" si="2"/>
        <v>9400.1</v>
      </c>
      <c r="V32" s="113">
        <f>+U32</f>
        <v>9400.1</v>
      </c>
    </row>
    <row r="33" spans="1:23" ht="15" hidden="1" x14ac:dyDescent="0.2">
      <c r="A33" s="105" t="s">
        <v>144</v>
      </c>
      <c r="B33" s="105" t="s">
        <v>159</v>
      </c>
      <c r="C33" s="105" t="s">
        <v>146</v>
      </c>
      <c r="D33" s="106" t="s">
        <v>69</v>
      </c>
      <c r="E33" s="107">
        <v>802.5</v>
      </c>
      <c r="F33" s="107">
        <v>0</v>
      </c>
      <c r="G33" s="107">
        <v>3425.1499999999996</v>
      </c>
      <c r="H33" s="107">
        <v>1246.05</v>
      </c>
      <c r="I33" s="107">
        <v>1246.05</v>
      </c>
      <c r="J33" s="107">
        <v>0</v>
      </c>
      <c r="K33" s="107">
        <v>-188910</v>
      </c>
      <c r="L33" s="107">
        <v>0</v>
      </c>
      <c r="M33" s="107">
        <v>0</v>
      </c>
      <c r="N33" s="107">
        <v>86.19</v>
      </c>
      <c r="O33" s="107">
        <v>0</v>
      </c>
      <c r="P33" s="107">
        <v>695.5</v>
      </c>
      <c r="Q33" s="107">
        <v>-181408.56</v>
      </c>
      <c r="R33" s="107">
        <f t="shared" si="0"/>
        <v>-181408.56</v>
      </c>
      <c r="S33" s="112" t="s">
        <v>172</v>
      </c>
      <c r="T33" s="113">
        <v>188910</v>
      </c>
      <c r="U33" s="113">
        <f>+R33+T33</f>
        <v>7501.4400000000023</v>
      </c>
      <c r="V33" s="113">
        <v>0</v>
      </c>
      <c r="W33" s="112" t="s">
        <v>176</v>
      </c>
    </row>
    <row r="34" spans="1:23" customFormat="1" ht="15.75" hidden="1" x14ac:dyDescent="0.25">
      <c r="A34" s="105" t="s">
        <v>144</v>
      </c>
      <c r="B34" s="105" t="s">
        <v>160</v>
      </c>
      <c r="C34" s="105" t="s">
        <v>146</v>
      </c>
      <c r="D34" s="106" t="s">
        <v>147</v>
      </c>
      <c r="E34" s="107">
        <v>0</v>
      </c>
      <c r="F34" s="107">
        <v>0</v>
      </c>
      <c r="G34" s="107">
        <v>400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  <c r="P34" s="107">
        <v>0</v>
      </c>
      <c r="Q34" s="107">
        <v>400</v>
      </c>
      <c r="R34" s="107">
        <f t="shared" si="0"/>
        <v>400</v>
      </c>
    </row>
    <row r="35" spans="1:23" customFormat="1" ht="15.75" hidden="1" x14ac:dyDescent="0.25">
      <c r="A35" s="105" t="s">
        <v>144</v>
      </c>
      <c r="B35" s="105" t="s">
        <v>161</v>
      </c>
      <c r="C35" s="105" t="s">
        <v>152</v>
      </c>
      <c r="D35" s="106" t="s">
        <v>69</v>
      </c>
      <c r="E35" s="107">
        <v>0</v>
      </c>
      <c r="F35" s="107">
        <v>0</v>
      </c>
      <c r="G35" s="107">
        <v>15.76</v>
      </c>
      <c r="H35" s="107">
        <v>0</v>
      </c>
      <c r="I35" s="107">
        <v>12.27</v>
      </c>
      <c r="J35" s="107">
        <v>0</v>
      </c>
      <c r="K35" s="107">
        <v>0</v>
      </c>
      <c r="L35" s="107">
        <v>0</v>
      </c>
      <c r="M35" s="107">
        <v>8.0299999999999994</v>
      </c>
      <c r="N35" s="107">
        <v>24.73</v>
      </c>
      <c r="O35" s="107">
        <v>0</v>
      </c>
      <c r="P35" s="107">
        <v>0</v>
      </c>
      <c r="Q35" s="107">
        <v>60.790000000000006</v>
      </c>
      <c r="R35" s="107">
        <f t="shared" si="0"/>
        <v>60.790000000000006</v>
      </c>
    </row>
    <row r="36" spans="1:23" customFormat="1" ht="15.75" hidden="1" x14ac:dyDescent="0.25">
      <c r="A36" s="105" t="s">
        <v>144</v>
      </c>
      <c r="B36" s="105" t="s">
        <v>161</v>
      </c>
      <c r="C36" s="105" t="s">
        <v>146</v>
      </c>
      <c r="D36" s="106" t="s">
        <v>147</v>
      </c>
      <c r="E36" s="107">
        <v>0</v>
      </c>
      <c r="F36" s="107">
        <v>0</v>
      </c>
      <c r="G36" s="107">
        <v>1438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1438</v>
      </c>
      <c r="R36" s="107">
        <f t="shared" si="0"/>
        <v>1438</v>
      </c>
    </row>
    <row r="37" spans="1:23" customFormat="1" ht="15.75" hidden="1" x14ac:dyDescent="0.25">
      <c r="A37" s="105" t="s">
        <v>144</v>
      </c>
      <c r="B37" s="105" t="s">
        <v>161</v>
      </c>
      <c r="C37" s="105" t="s">
        <v>146</v>
      </c>
      <c r="D37" s="106" t="s">
        <v>67</v>
      </c>
      <c r="E37" s="107">
        <v>0</v>
      </c>
      <c r="F37" s="107">
        <v>0</v>
      </c>
      <c r="G37" s="107">
        <v>562.5</v>
      </c>
      <c r="H37" s="107">
        <v>0</v>
      </c>
      <c r="I37" s="107">
        <v>0</v>
      </c>
      <c r="J37" s="107">
        <v>0</v>
      </c>
      <c r="K37" s="107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0</v>
      </c>
      <c r="Q37" s="107">
        <v>562.5</v>
      </c>
      <c r="R37" s="107">
        <f t="shared" si="0"/>
        <v>562.5</v>
      </c>
    </row>
    <row r="38" spans="1:23" customFormat="1" ht="15.75" hidden="1" x14ac:dyDescent="0.25">
      <c r="A38" s="105" t="s">
        <v>144</v>
      </c>
      <c r="B38" s="105" t="s">
        <v>161</v>
      </c>
      <c r="C38" s="105" t="s">
        <v>146</v>
      </c>
      <c r="D38" s="106" t="s">
        <v>69</v>
      </c>
      <c r="E38" s="107">
        <v>298.40999999999997</v>
      </c>
      <c r="F38" s="107">
        <v>447</v>
      </c>
      <c r="G38" s="107">
        <v>162.39999999999998</v>
      </c>
      <c r="H38" s="107">
        <v>895.92</v>
      </c>
      <c r="I38" s="107">
        <v>6.9400000000000546</v>
      </c>
      <c r="J38" s="107">
        <v>585</v>
      </c>
      <c r="K38" s="107">
        <v>67.5</v>
      </c>
      <c r="L38" s="107">
        <v>186.18</v>
      </c>
      <c r="M38" s="107">
        <v>0</v>
      </c>
      <c r="N38" s="107">
        <v>0</v>
      </c>
      <c r="O38" s="107">
        <v>0</v>
      </c>
      <c r="P38" s="107">
        <v>0</v>
      </c>
      <c r="Q38" s="107">
        <v>2649.35</v>
      </c>
      <c r="R38" s="107">
        <f t="shared" si="0"/>
        <v>2649.35</v>
      </c>
    </row>
    <row r="39" spans="1:23" customFormat="1" ht="15.75" hidden="1" x14ac:dyDescent="0.25">
      <c r="A39" s="105" t="s">
        <v>144</v>
      </c>
      <c r="B39" s="105" t="s">
        <v>162</v>
      </c>
      <c r="C39" s="105" t="s">
        <v>146</v>
      </c>
      <c r="D39" s="106" t="s">
        <v>147</v>
      </c>
      <c r="E39" s="107">
        <v>0</v>
      </c>
      <c r="F39" s="107">
        <v>0</v>
      </c>
      <c r="G39" s="107">
        <v>1430</v>
      </c>
      <c r="H39" s="107">
        <v>0</v>
      </c>
      <c r="I39" s="107">
        <v>0</v>
      </c>
      <c r="J39" s="107">
        <v>0</v>
      </c>
      <c r="K39" s="107">
        <v>0</v>
      </c>
      <c r="L39" s="107">
        <v>0</v>
      </c>
      <c r="M39" s="107">
        <v>0</v>
      </c>
      <c r="N39" s="107">
        <v>0</v>
      </c>
      <c r="O39" s="107">
        <v>0</v>
      </c>
      <c r="P39" s="107">
        <v>0</v>
      </c>
      <c r="Q39" s="107">
        <v>1430</v>
      </c>
      <c r="R39" s="107">
        <f t="shared" si="0"/>
        <v>1430</v>
      </c>
    </row>
    <row r="40" spans="1:23" customFormat="1" ht="15.75" hidden="1" x14ac:dyDescent="0.25">
      <c r="A40" s="105" t="s">
        <v>144</v>
      </c>
      <c r="B40" s="105" t="s">
        <v>163</v>
      </c>
      <c r="C40" s="105" t="s">
        <v>146</v>
      </c>
      <c r="D40" s="106" t="s">
        <v>147</v>
      </c>
      <c r="E40" s="107">
        <v>0</v>
      </c>
      <c r="F40" s="107">
        <v>0</v>
      </c>
      <c r="G40" s="107">
        <v>4786</v>
      </c>
      <c r="H40" s="107">
        <v>0</v>
      </c>
      <c r="I40" s="107">
        <v>0</v>
      </c>
      <c r="J40" s="107">
        <v>0</v>
      </c>
      <c r="K40" s="107">
        <v>0</v>
      </c>
      <c r="L40" s="107">
        <v>0</v>
      </c>
      <c r="M40" s="107">
        <v>0</v>
      </c>
      <c r="N40" s="107">
        <v>0</v>
      </c>
      <c r="O40" s="107">
        <v>0</v>
      </c>
      <c r="P40" s="107">
        <v>0</v>
      </c>
      <c r="Q40" s="107">
        <v>4786</v>
      </c>
      <c r="R40" s="107">
        <f t="shared" si="0"/>
        <v>4786</v>
      </c>
    </row>
    <row r="41" spans="1:23" customFormat="1" ht="15.75" hidden="1" x14ac:dyDescent="0.25">
      <c r="A41" s="105" t="s">
        <v>144</v>
      </c>
      <c r="B41" s="105" t="s">
        <v>163</v>
      </c>
      <c r="C41" s="105" t="s">
        <v>146</v>
      </c>
      <c r="D41" s="106" t="s">
        <v>67</v>
      </c>
      <c r="E41" s="107">
        <v>0</v>
      </c>
      <c r="F41" s="107">
        <v>157.5</v>
      </c>
      <c r="G41" s="107">
        <v>165</v>
      </c>
      <c r="H41" s="107">
        <v>0</v>
      </c>
      <c r="I41" s="107">
        <v>165</v>
      </c>
      <c r="J41" s="107">
        <v>135</v>
      </c>
      <c r="K41" s="107">
        <v>127.5</v>
      </c>
      <c r="L41" s="107">
        <v>0</v>
      </c>
      <c r="M41" s="107">
        <v>0</v>
      </c>
      <c r="N41" s="107">
        <v>0</v>
      </c>
      <c r="O41" s="107">
        <v>0</v>
      </c>
      <c r="P41" s="107">
        <v>0</v>
      </c>
      <c r="Q41" s="107">
        <v>750</v>
      </c>
      <c r="R41" s="107">
        <f t="shared" si="0"/>
        <v>750</v>
      </c>
    </row>
    <row r="42" spans="1:23" customFormat="1" ht="15.75" hidden="1" x14ac:dyDescent="0.25">
      <c r="A42" s="105" t="s">
        <v>144</v>
      </c>
      <c r="B42" s="105" t="s">
        <v>163</v>
      </c>
      <c r="C42" s="105" t="s">
        <v>146</v>
      </c>
      <c r="D42" s="106" t="s">
        <v>69</v>
      </c>
      <c r="E42" s="107">
        <v>8470.5</v>
      </c>
      <c r="F42" s="107">
        <v>18324.71</v>
      </c>
      <c r="G42" s="107">
        <v>669.47999999999956</v>
      </c>
      <c r="H42" s="107">
        <v>8935.39</v>
      </c>
      <c r="I42" s="107">
        <v>15621.24</v>
      </c>
      <c r="J42" s="107">
        <v>6805.5</v>
      </c>
      <c r="K42" s="107">
        <v>0</v>
      </c>
      <c r="L42" s="107">
        <v>1852.88</v>
      </c>
      <c r="M42" s="107">
        <v>304.5</v>
      </c>
      <c r="N42" s="107">
        <v>2599.5</v>
      </c>
      <c r="O42" s="107">
        <v>0</v>
      </c>
      <c r="P42" s="107">
        <v>1371</v>
      </c>
      <c r="Q42" s="107">
        <v>64954.7</v>
      </c>
      <c r="R42" s="107">
        <f t="shared" si="0"/>
        <v>64954.7</v>
      </c>
    </row>
    <row r="43" spans="1:23" customFormat="1" ht="15.75" hidden="1" x14ac:dyDescent="0.25">
      <c r="A43" s="105" t="s">
        <v>144</v>
      </c>
      <c r="B43" s="105" t="s">
        <v>164</v>
      </c>
      <c r="C43" s="105" t="s">
        <v>146</v>
      </c>
      <c r="D43" s="106" t="s">
        <v>147</v>
      </c>
      <c r="E43" s="107">
        <v>0</v>
      </c>
      <c r="F43" s="107">
        <v>0</v>
      </c>
      <c r="G43" s="107">
        <v>1086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1086</v>
      </c>
      <c r="R43" s="107">
        <f t="shared" si="0"/>
        <v>1086</v>
      </c>
    </row>
    <row r="44" spans="1:23" customFormat="1" ht="15.75" hidden="1" x14ac:dyDescent="0.25">
      <c r="A44" s="105" t="s">
        <v>144</v>
      </c>
      <c r="B44" s="105" t="s">
        <v>164</v>
      </c>
      <c r="C44" s="105" t="s">
        <v>146</v>
      </c>
      <c r="D44" s="106" t="s">
        <v>69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392.59</v>
      </c>
      <c r="L44" s="107">
        <v>0</v>
      </c>
      <c r="M44" s="107">
        <v>0</v>
      </c>
      <c r="N44" s="107">
        <v>365.45000000000005</v>
      </c>
      <c r="O44" s="107">
        <v>0</v>
      </c>
      <c r="P44" s="107">
        <v>0</v>
      </c>
      <c r="Q44" s="107">
        <v>758.04</v>
      </c>
      <c r="R44" s="107">
        <f t="shared" si="0"/>
        <v>758.04</v>
      </c>
    </row>
    <row r="45" spans="1:23" customFormat="1" ht="15.75" hidden="1" x14ac:dyDescent="0.25">
      <c r="A45" s="105" t="s">
        <v>144</v>
      </c>
      <c r="B45" s="105" t="s">
        <v>164</v>
      </c>
      <c r="C45" s="105" t="s">
        <v>146</v>
      </c>
      <c r="D45" s="106" t="s">
        <v>165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7">
        <v>0</v>
      </c>
      <c r="L45" s="107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f t="shared" si="0"/>
        <v>0</v>
      </c>
    </row>
    <row r="46" spans="1:23" customFormat="1" ht="15.75" hidden="1" x14ac:dyDescent="0.25">
      <c r="A46" s="105" t="s">
        <v>144</v>
      </c>
      <c r="B46" s="105" t="s">
        <v>166</v>
      </c>
      <c r="C46" s="105" t="s">
        <v>152</v>
      </c>
      <c r="D46" s="106" t="s">
        <v>69</v>
      </c>
      <c r="E46" s="107">
        <v>0</v>
      </c>
      <c r="F46" s="107">
        <v>0</v>
      </c>
      <c r="G46" s="107">
        <v>18.13</v>
      </c>
      <c r="H46" s="107">
        <v>0</v>
      </c>
      <c r="I46" s="107">
        <v>14.11</v>
      </c>
      <c r="J46" s="107">
        <v>0</v>
      </c>
      <c r="K46" s="107">
        <v>0</v>
      </c>
      <c r="L46" s="107">
        <v>0</v>
      </c>
      <c r="M46" s="107">
        <v>9.23</v>
      </c>
      <c r="N46" s="107">
        <v>28.43</v>
      </c>
      <c r="O46" s="107">
        <v>0</v>
      </c>
      <c r="P46" s="107">
        <v>0</v>
      </c>
      <c r="Q46" s="107">
        <v>69.900000000000006</v>
      </c>
      <c r="R46" s="107">
        <f t="shared" si="0"/>
        <v>69.900000000000006</v>
      </c>
    </row>
    <row r="47" spans="1:23" customFormat="1" ht="15.75" hidden="1" x14ac:dyDescent="0.25">
      <c r="A47" s="105" t="s">
        <v>144</v>
      </c>
      <c r="B47" s="105" t="s">
        <v>166</v>
      </c>
      <c r="C47" s="105" t="s">
        <v>146</v>
      </c>
      <c r="D47" s="106" t="s">
        <v>147</v>
      </c>
      <c r="E47" s="107">
        <v>0</v>
      </c>
      <c r="F47" s="107">
        <v>0</v>
      </c>
      <c r="G47" s="107">
        <v>2236</v>
      </c>
      <c r="H47" s="107">
        <v>0</v>
      </c>
      <c r="I47" s="107">
        <v>0</v>
      </c>
      <c r="J47" s="107">
        <v>0</v>
      </c>
      <c r="K47" s="107">
        <v>0</v>
      </c>
      <c r="L47" s="107">
        <v>0</v>
      </c>
      <c r="M47" s="107">
        <v>0</v>
      </c>
      <c r="N47" s="107">
        <v>0</v>
      </c>
      <c r="O47" s="107">
        <v>0</v>
      </c>
      <c r="P47" s="107">
        <v>0</v>
      </c>
      <c r="Q47" s="107">
        <v>2236</v>
      </c>
      <c r="R47" s="107">
        <f t="shared" si="0"/>
        <v>2236</v>
      </c>
    </row>
    <row r="48" spans="1:23" customFormat="1" ht="15.75" hidden="1" x14ac:dyDescent="0.25">
      <c r="A48" s="105" t="s">
        <v>144</v>
      </c>
      <c r="B48" s="105" t="s">
        <v>166</v>
      </c>
      <c r="C48" s="105" t="s">
        <v>146</v>
      </c>
      <c r="D48" s="106" t="s">
        <v>67</v>
      </c>
      <c r="E48" s="107">
        <v>0</v>
      </c>
      <c r="F48" s="107">
        <v>0</v>
      </c>
      <c r="G48" s="107">
        <v>562.5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7">
        <v>0</v>
      </c>
      <c r="Q48" s="107">
        <v>562.5</v>
      </c>
      <c r="R48" s="107">
        <f t="shared" si="0"/>
        <v>562.5</v>
      </c>
    </row>
    <row r="49" spans="1:24" customFormat="1" ht="15.75" hidden="1" x14ac:dyDescent="0.25">
      <c r="A49" s="105" t="s">
        <v>144</v>
      </c>
      <c r="B49" s="105" t="s">
        <v>166</v>
      </c>
      <c r="C49" s="105" t="s">
        <v>146</v>
      </c>
      <c r="D49" s="106" t="s">
        <v>69</v>
      </c>
      <c r="E49" s="107">
        <v>135</v>
      </c>
      <c r="F49" s="107">
        <v>249.6</v>
      </c>
      <c r="G49" s="107">
        <v>0</v>
      </c>
      <c r="H49" s="107">
        <v>740.69</v>
      </c>
      <c r="I49" s="107">
        <v>5.5399999999999636</v>
      </c>
      <c r="J49" s="107">
        <v>360</v>
      </c>
      <c r="K49" s="107">
        <v>0</v>
      </c>
      <c r="L49" s="107">
        <v>148.94</v>
      </c>
      <c r="M49" s="107">
        <v>0</v>
      </c>
      <c r="N49" s="107">
        <v>0</v>
      </c>
      <c r="O49" s="107">
        <v>0</v>
      </c>
      <c r="P49" s="107">
        <v>0</v>
      </c>
      <c r="Q49" s="107">
        <v>1639.77</v>
      </c>
      <c r="R49" s="107">
        <f t="shared" si="0"/>
        <v>1639.77</v>
      </c>
    </row>
    <row r="50" spans="1:24" s="117" customFormat="1" ht="15" x14ac:dyDescent="0.2">
      <c r="A50" s="105" t="s">
        <v>149</v>
      </c>
      <c r="B50" s="105" t="s">
        <v>149</v>
      </c>
      <c r="C50" s="105" t="s">
        <v>167</v>
      </c>
      <c r="D50" s="106" t="s">
        <v>147</v>
      </c>
      <c r="E50" s="107">
        <v>0</v>
      </c>
      <c r="F50" s="107">
        <v>0</v>
      </c>
      <c r="G50" s="107">
        <v>0</v>
      </c>
      <c r="H50" s="107">
        <v>0</v>
      </c>
      <c r="I50" s="107">
        <v>0</v>
      </c>
      <c r="J50" s="107">
        <v>10000</v>
      </c>
      <c r="K50" s="107">
        <v>15000</v>
      </c>
      <c r="L50" s="107">
        <v>0</v>
      </c>
      <c r="M50" s="107">
        <v>0</v>
      </c>
      <c r="N50" s="107">
        <v>0</v>
      </c>
      <c r="O50" s="107">
        <v>0</v>
      </c>
      <c r="P50" s="107">
        <v>0</v>
      </c>
      <c r="Q50" s="107">
        <v>25000</v>
      </c>
      <c r="R50" s="107">
        <f t="shared" si="0"/>
        <v>25000</v>
      </c>
      <c r="S50" s="112" t="s">
        <v>169</v>
      </c>
      <c r="U50" s="118">
        <f t="shared" ref="U50:U51" si="3">+R50+T50</f>
        <v>25000</v>
      </c>
      <c r="V50" s="118">
        <f t="shared" ref="V50" si="4">+U50</f>
        <v>25000</v>
      </c>
      <c r="X50" s="198" t="s">
        <v>228</v>
      </c>
    </row>
    <row r="51" spans="1:24" s="117" customFormat="1" ht="15" x14ac:dyDescent="0.2">
      <c r="A51" s="105" t="s">
        <v>149</v>
      </c>
      <c r="B51" s="105" t="s">
        <v>149</v>
      </c>
      <c r="C51" s="105" t="s">
        <v>167</v>
      </c>
      <c r="D51" s="106" t="s">
        <v>69</v>
      </c>
      <c r="E51" s="107">
        <v>14131.94</v>
      </c>
      <c r="F51" s="107">
        <v>18860.120000000003</v>
      </c>
      <c r="G51" s="107">
        <v>5322.18</v>
      </c>
      <c r="H51" s="107">
        <v>11036.199999999999</v>
      </c>
      <c r="I51" s="107">
        <v>4791.08</v>
      </c>
      <c r="J51" s="107">
        <v>3163.9</v>
      </c>
      <c r="K51" s="107">
        <v>800</v>
      </c>
      <c r="L51" s="107">
        <v>8068.8700000000008</v>
      </c>
      <c r="M51" s="107">
        <v>4508.4400000000005</v>
      </c>
      <c r="N51" s="107">
        <v>2441.41</v>
      </c>
      <c r="O51" s="107">
        <v>1049.9999999999998</v>
      </c>
      <c r="P51" s="107">
        <v>800</v>
      </c>
      <c r="Q51" s="107">
        <v>74974.140000000014</v>
      </c>
      <c r="R51" s="107">
        <f t="shared" si="0"/>
        <v>74974.140000000014</v>
      </c>
      <c r="S51" s="112" t="s">
        <v>172</v>
      </c>
      <c r="U51" s="118">
        <f t="shared" si="3"/>
        <v>74974.140000000014</v>
      </c>
      <c r="V51" s="118">
        <v>0</v>
      </c>
      <c r="W51" s="112" t="s">
        <v>176</v>
      </c>
    </row>
    <row r="52" spans="1:24" customFormat="1" ht="15.75" hidden="1" x14ac:dyDescent="0.25">
      <c r="D52" s="108" t="s">
        <v>3</v>
      </c>
      <c r="E52" s="109">
        <v>31324.46</v>
      </c>
      <c r="F52" s="109">
        <v>57097.03</v>
      </c>
      <c r="G52" s="109">
        <v>61789.56</v>
      </c>
      <c r="H52" s="109">
        <v>55680.82</v>
      </c>
      <c r="I52" s="109">
        <v>59640.69</v>
      </c>
      <c r="J52" s="109">
        <v>62322.79</v>
      </c>
      <c r="K52" s="109">
        <v>-259163.51999999996</v>
      </c>
      <c r="L52" s="109">
        <v>17461.22</v>
      </c>
      <c r="M52" s="109">
        <v>7167.75</v>
      </c>
      <c r="N52" s="109">
        <v>7086.66</v>
      </c>
      <c r="O52" s="109">
        <v>1876.1699999999996</v>
      </c>
      <c r="P52" s="109">
        <v>3657.84</v>
      </c>
      <c r="Q52" s="109">
        <v>105941.47</v>
      </c>
      <c r="R52" s="109">
        <f>SUM(E52:P52)</f>
        <v>105941.47000000002</v>
      </c>
    </row>
    <row r="53" spans="1:24" customFormat="1" ht="15" hidden="1" x14ac:dyDescent="0.25">
      <c r="R53" s="110">
        <v>0</v>
      </c>
    </row>
    <row r="54" spans="1:24" ht="15.75" thickBot="1" x14ac:dyDescent="0.3"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T54" s="114">
        <f>SUBTOTAL(9,T6:T51)</f>
        <v>0</v>
      </c>
      <c r="U54" s="114">
        <f>SUBTOTAL(9,U6:U51)</f>
        <v>135808.6</v>
      </c>
      <c r="V54" s="114">
        <f>SUBTOTAL(9,V6:V51)</f>
        <v>32062.19</v>
      </c>
    </row>
    <row r="55" spans="1:24" ht="15.75" thickTop="1" x14ac:dyDescent="0.25"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24" ht="15" x14ac:dyDescent="0.25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 s="115"/>
    </row>
    <row r="57" spans="1:24" ht="15" x14ac:dyDescent="0.25"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24" ht="15" x14ac:dyDescent="0.25"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</sheetData>
  <autoFilter ref="A1:X53">
    <filterColumn colId="1">
      <filters>
        <filter val="Corporate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G10" sqref="G10:G12"/>
    </sheetView>
  </sheetViews>
  <sheetFormatPr defaultRowHeight="15" outlineLevelCol="1" x14ac:dyDescent="0.25"/>
  <cols>
    <col min="1" max="1" width="25.5703125" bestFit="1" customWidth="1"/>
    <col min="2" max="2" width="1.85546875" customWidth="1"/>
    <col min="3" max="3" width="11.5703125" bestFit="1" customWidth="1"/>
    <col min="4" max="4" width="10" bestFit="1" customWidth="1"/>
    <col min="5" max="5" width="12.28515625" bestFit="1" customWidth="1"/>
    <col min="6" max="6" width="11.28515625" bestFit="1" customWidth="1"/>
    <col min="7" max="7" width="15.42578125" bestFit="1" customWidth="1"/>
    <col min="8" max="8" width="0.85546875" customWidth="1"/>
    <col min="9" max="9" width="11.5703125" hidden="1" customWidth="1" outlineLevel="1"/>
    <col min="10" max="10" width="0.85546875" hidden="1" customWidth="1" outlineLevel="1"/>
    <col min="11" max="11" width="15.85546875" hidden="1" customWidth="1" outlineLevel="1"/>
    <col min="12" max="12" width="0.85546875" hidden="1" customWidth="1" outlineLevel="1"/>
    <col min="13" max="13" width="11.5703125" hidden="1" customWidth="1" outlineLevel="1"/>
    <col min="14" max="14" width="0.85546875" hidden="1" customWidth="1" outlineLevel="1"/>
    <col min="15" max="15" width="10.7109375" hidden="1" customWidth="1" outlineLevel="1"/>
    <col min="16" max="16" width="0.85546875" customWidth="1" collapsed="1"/>
  </cols>
  <sheetData>
    <row r="1" spans="1:18" ht="18.75" x14ac:dyDescent="0.3">
      <c r="A1" s="226" t="s">
        <v>195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8" ht="18.75" x14ac:dyDescent="0.3">
      <c r="A2" s="226" t="s">
        <v>196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8" ht="18.75" x14ac:dyDescent="0.3">
      <c r="A3" s="226" t="s">
        <v>197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</row>
    <row r="4" spans="1:18" ht="18.75" x14ac:dyDescent="0.3">
      <c r="A4" s="226" t="s">
        <v>198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8" ht="16.350000000000001" customHeight="1" x14ac:dyDescent="0.25"/>
    <row r="6" spans="1:18" ht="16.350000000000001" customHeight="1" x14ac:dyDescent="0.25">
      <c r="C6" s="164" t="s">
        <v>199</v>
      </c>
      <c r="D6" s="164"/>
      <c r="E6" s="164" t="s">
        <v>200</v>
      </c>
      <c r="F6" s="164" t="s">
        <v>199</v>
      </c>
      <c r="G6" s="164" t="s">
        <v>200</v>
      </c>
      <c r="H6" s="164"/>
      <c r="I6" s="164" t="s">
        <v>199</v>
      </c>
      <c r="J6" s="164"/>
      <c r="K6" s="164" t="s">
        <v>201</v>
      </c>
      <c r="M6" s="165" t="s">
        <v>202</v>
      </c>
      <c r="O6" s="164" t="s">
        <v>83</v>
      </c>
    </row>
    <row r="7" spans="1:18" ht="15.75" x14ac:dyDescent="0.25">
      <c r="C7" s="166" t="s">
        <v>203</v>
      </c>
      <c r="D7" s="166" t="s">
        <v>204</v>
      </c>
      <c r="E7" s="166" t="s">
        <v>205</v>
      </c>
      <c r="F7" s="166" t="s">
        <v>206</v>
      </c>
      <c r="G7" s="166" t="s">
        <v>207</v>
      </c>
      <c r="H7" s="166"/>
      <c r="I7" s="166" t="s">
        <v>208</v>
      </c>
      <c r="K7" s="167" t="s">
        <v>209</v>
      </c>
      <c r="M7" s="168" t="s">
        <v>210</v>
      </c>
      <c r="O7" s="167" t="s">
        <v>211</v>
      </c>
    </row>
    <row r="8" spans="1:18" ht="15.75" x14ac:dyDescent="0.25">
      <c r="A8" s="169" t="s">
        <v>212</v>
      </c>
      <c r="B8" s="170"/>
      <c r="C8" s="171">
        <v>679298</v>
      </c>
      <c r="D8" s="171">
        <v>112321.66666666666</v>
      </c>
      <c r="E8" s="171">
        <v>187.33333333333326</v>
      </c>
      <c r="F8" s="171">
        <v>4082</v>
      </c>
      <c r="G8" s="171">
        <f>SUM(C8:F8)</f>
        <v>795889</v>
      </c>
      <c r="H8" s="171"/>
      <c r="I8" s="171">
        <v>1275261</v>
      </c>
      <c r="J8" s="170"/>
      <c r="K8" s="172">
        <f>G8+I8</f>
        <v>2071150</v>
      </c>
      <c r="L8" s="170"/>
      <c r="M8" s="172">
        <v>1802840</v>
      </c>
      <c r="O8" s="173">
        <f>M8-K8</f>
        <v>-268310</v>
      </c>
      <c r="R8" t="s">
        <v>213</v>
      </c>
    </row>
    <row r="9" spans="1:18" ht="15.75" x14ac:dyDescent="0.25">
      <c r="A9" s="174" t="s">
        <v>20</v>
      </c>
      <c r="C9" s="175">
        <v>77311.715136799146</v>
      </c>
      <c r="D9" s="154">
        <v>31480.219337139773</v>
      </c>
      <c r="E9" s="154">
        <v>462.94440201676127</v>
      </c>
      <c r="F9" s="154">
        <v>462.94440201676127</v>
      </c>
      <c r="G9" s="154">
        <f t="shared" ref="G9:G16" si="0">SUM(C9:F9)</f>
        <v>109717.82327797243</v>
      </c>
      <c r="H9" s="154"/>
      <c r="I9" s="154">
        <v>36109.663357307378</v>
      </c>
      <c r="K9" s="173">
        <f t="shared" ref="K9:K16" si="1">G9+I9</f>
        <v>145827.48663527981</v>
      </c>
      <c r="M9" s="176"/>
      <c r="O9" s="173">
        <f t="shared" ref="O9:O16" si="2">M9-K9</f>
        <v>-145827.48663527981</v>
      </c>
    </row>
    <row r="10" spans="1:18" ht="15.75" x14ac:dyDescent="0.25">
      <c r="A10" s="177" t="s">
        <v>214</v>
      </c>
      <c r="B10" s="178"/>
      <c r="C10" s="179">
        <f>39068+26415</f>
        <v>65483</v>
      </c>
      <c r="D10" s="179">
        <v>16485</v>
      </c>
      <c r="E10" s="179">
        <v>234</v>
      </c>
      <c r="F10" s="179">
        <v>289</v>
      </c>
      <c r="G10" s="179">
        <f t="shared" si="0"/>
        <v>82491</v>
      </c>
      <c r="H10" s="179"/>
      <c r="I10" s="179">
        <f>19374+13294</f>
        <v>32668</v>
      </c>
      <c r="J10" s="178"/>
      <c r="K10" s="180">
        <f t="shared" si="1"/>
        <v>115159</v>
      </c>
      <c r="L10" s="178"/>
      <c r="M10" s="180">
        <v>115159</v>
      </c>
      <c r="O10" s="173">
        <f t="shared" si="2"/>
        <v>0</v>
      </c>
      <c r="R10" t="s">
        <v>215</v>
      </c>
    </row>
    <row r="11" spans="1:18" ht="15.75" x14ac:dyDescent="0.25">
      <c r="A11" s="177" t="s">
        <v>216</v>
      </c>
      <c r="B11" s="178"/>
      <c r="C11" s="179">
        <v>95749</v>
      </c>
      <c r="D11" s="179">
        <v>7141</v>
      </c>
      <c r="E11" s="179">
        <v>22</v>
      </c>
      <c r="F11" s="179">
        <v>21</v>
      </c>
      <c r="G11" s="179">
        <f t="shared" si="0"/>
        <v>102933</v>
      </c>
      <c r="H11" s="179"/>
      <c r="I11" s="179">
        <v>19909</v>
      </c>
      <c r="J11" s="178"/>
      <c r="K11" s="180">
        <f t="shared" si="1"/>
        <v>122842</v>
      </c>
      <c r="L11" s="178"/>
      <c r="M11" s="180">
        <v>122842</v>
      </c>
      <c r="O11" s="173">
        <f t="shared" si="2"/>
        <v>0</v>
      </c>
      <c r="R11" t="s">
        <v>215</v>
      </c>
    </row>
    <row r="12" spans="1:18" ht="15.75" x14ac:dyDescent="0.25">
      <c r="A12" s="177" t="s">
        <v>217</v>
      </c>
      <c r="B12" s="178"/>
      <c r="C12" s="179">
        <v>27678</v>
      </c>
      <c r="D12" s="179">
        <v>8361</v>
      </c>
      <c r="E12" s="179">
        <v>107</v>
      </c>
      <c r="F12" s="179">
        <v>106</v>
      </c>
      <c r="G12" s="179">
        <f t="shared" si="0"/>
        <v>36252</v>
      </c>
      <c r="H12" s="179"/>
      <c r="I12" s="179">
        <v>8666</v>
      </c>
      <c r="J12" s="178"/>
      <c r="K12" s="180">
        <f t="shared" si="1"/>
        <v>44918</v>
      </c>
      <c r="L12" s="178"/>
      <c r="M12" s="180">
        <v>44918</v>
      </c>
      <c r="O12" s="173">
        <f t="shared" si="2"/>
        <v>0</v>
      </c>
      <c r="R12" t="s">
        <v>215</v>
      </c>
    </row>
    <row r="13" spans="1:18" ht="15.75" x14ac:dyDescent="0.25">
      <c r="A13" s="174" t="s">
        <v>218</v>
      </c>
      <c r="C13" s="173">
        <v>20242</v>
      </c>
      <c r="D13" s="154">
        <v>7701</v>
      </c>
      <c r="E13" s="173">
        <v>190</v>
      </c>
      <c r="F13" s="173">
        <v>189</v>
      </c>
      <c r="G13" s="154">
        <f t="shared" si="0"/>
        <v>28322</v>
      </c>
      <c r="H13" s="173"/>
      <c r="I13" s="173">
        <v>9658</v>
      </c>
      <c r="K13" s="173">
        <f t="shared" si="1"/>
        <v>37980</v>
      </c>
      <c r="M13" s="176"/>
      <c r="N13" t="s">
        <v>83</v>
      </c>
      <c r="O13" s="173">
        <f t="shared" si="2"/>
        <v>-37980</v>
      </c>
    </row>
    <row r="14" spans="1:18" ht="15.75" x14ac:dyDescent="0.25">
      <c r="A14" s="174" t="s">
        <v>40</v>
      </c>
      <c r="C14" s="173">
        <v>7927</v>
      </c>
      <c r="D14" s="154">
        <v>7056</v>
      </c>
      <c r="E14" s="173">
        <v>17</v>
      </c>
      <c r="F14" s="173">
        <v>17</v>
      </c>
      <c r="G14" s="173">
        <f t="shared" si="0"/>
        <v>15017</v>
      </c>
      <c r="H14" s="173"/>
      <c r="I14" s="173">
        <v>5959</v>
      </c>
      <c r="K14" s="173">
        <f t="shared" si="1"/>
        <v>20976</v>
      </c>
      <c r="M14" s="176"/>
      <c r="O14" s="173">
        <f t="shared" si="2"/>
        <v>-20976</v>
      </c>
    </row>
    <row r="15" spans="1:18" ht="15.75" x14ac:dyDescent="0.25">
      <c r="A15" s="174" t="s">
        <v>39</v>
      </c>
      <c r="C15" s="173">
        <v>18576</v>
      </c>
      <c r="D15" s="154">
        <v>9360</v>
      </c>
      <c r="E15" s="173">
        <v>0</v>
      </c>
      <c r="F15" s="173">
        <v>0</v>
      </c>
      <c r="G15" s="173">
        <f t="shared" si="0"/>
        <v>27936</v>
      </c>
      <c r="H15" s="173" t="s">
        <v>83</v>
      </c>
      <c r="I15" s="173">
        <v>5616</v>
      </c>
      <c r="K15" s="173">
        <f t="shared" si="1"/>
        <v>33552</v>
      </c>
      <c r="M15" s="176"/>
      <c r="O15" s="173">
        <f t="shared" si="2"/>
        <v>-33552</v>
      </c>
    </row>
    <row r="16" spans="1:18" ht="15.75" x14ac:dyDescent="0.25">
      <c r="A16" s="181" t="s">
        <v>219</v>
      </c>
      <c r="B16" s="182"/>
      <c r="C16" s="158">
        <v>64171</v>
      </c>
      <c r="D16" s="158">
        <v>26214</v>
      </c>
      <c r="E16" s="158">
        <v>350</v>
      </c>
      <c r="F16" s="158">
        <v>288</v>
      </c>
      <c r="G16" s="158">
        <f t="shared" si="0"/>
        <v>91023</v>
      </c>
      <c r="H16" s="183"/>
      <c r="I16" s="158">
        <v>22869</v>
      </c>
      <c r="J16" s="182"/>
      <c r="K16" s="184">
        <f t="shared" si="1"/>
        <v>113892</v>
      </c>
      <c r="M16" s="185"/>
      <c r="O16" s="184">
        <f t="shared" si="2"/>
        <v>-113892</v>
      </c>
    </row>
    <row r="17" spans="1:15" ht="13.5" customHeight="1" x14ac:dyDescent="0.25">
      <c r="A17" s="174"/>
      <c r="C17" s="154" t="s">
        <v>83</v>
      </c>
      <c r="D17" s="154" t="s">
        <v>83</v>
      </c>
      <c r="E17" s="154" t="s">
        <v>83</v>
      </c>
      <c r="F17" s="154" t="s">
        <v>83</v>
      </c>
      <c r="G17" s="154"/>
      <c r="H17" s="154" t="s">
        <v>83</v>
      </c>
      <c r="I17" s="154" t="s">
        <v>83</v>
      </c>
      <c r="J17" s="154" t="s">
        <v>83</v>
      </c>
      <c r="K17" s="154" t="s">
        <v>83</v>
      </c>
      <c r="L17" s="154" t="s">
        <v>83</v>
      </c>
      <c r="M17" s="186"/>
      <c r="N17" s="154"/>
    </row>
    <row r="18" spans="1:15" ht="15.75" x14ac:dyDescent="0.25">
      <c r="A18" s="174" t="s">
        <v>3</v>
      </c>
      <c r="C18" s="154">
        <f>SUM(C8:C16)</f>
        <v>1056435.715136799</v>
      </c>
      <c r="D18" s="154">
        <f t="shared" ref="D18:I18" si="3">SUM(D8:D16)</f>
        <v>226119.88600380643</v>
      </c>
      <c r="E18" s="154">
        <f t="shared" si="3"/>
        <v>1570.2777353500946</v>
      </c>
      <c r="F18" s="154">
        <f t="shared" si="3"/>
        <v>5454.9444020167612</v>
      </c>
      <c r="G18" s="154">
        <f t="shared" si="3"/>
        <v>1289580.8232779724</v>
      </c>
      <c r="H18" s="154"/>
      <c r="I18" s="154">
        <f t="shared" si="3"/>
        <v>1416715.6633573074</v>
      </c>
      <c r="K18" s="173">
        <f>G18+I18</f>
        <v>2706296.4866352798</v>
      </c>
      <c r="M18" s="176">
        <f>SUM(M8:M16)</f>
        <v>2085759</v>
      </c>
      <c r="O18" s="173">
        <f>SUM(O8:O16)</f>
        <v>-620537.48663527984</v>
      </c>
    </row>
    <row r="19" spans="1:15" x14ac:dyDescent="0.25">
      <c r="C19" s="154"/>
      <c r="D19" s="154"/>
      <c r="E19" s="154"/>
      <c r="F19" s="154"/>
      <c r="G19" s="154"/>
      <c r="H19" s="154"/>
      <c r="I19" s="154"/>
    </row>
    <row r="20" spans="1:15" x14ac:dyDescent="0.25">
      <c r="C20" s="173">
        <f>+C8+C10+C11+C12</f>
        <v>868208</v>
      </c>
      <c r="D20" s="173">
        <f t="shared" ref="D20:F20" si="4">+D8+D10+D11+D12</f>
        <v>144308.66666666666</v>
      </c>
      <c r="E20" s="173">
        <f t="shared" si="4"/>
        <v>550.33333333333326</v>
      </c>
      <c r="F20" s="173">
        <f t="shared" si="4"/>
        <v>4498</v>
      </c>
      <c r="G20" s="173">
        <f>+G8+G10+G11+G12</f>
        <v>1017565</v>
      </c>
      <c r="H20" s="173">
        <f t="shared" ref="H20:I20" si="5">+H8+H10+H11+H12</f>
        <v>0</v>
      </c>
      <c r="I20" s="173">
        <f t="shared" si="5"/>
        <v>1336504</v>
      </c>
      <c r="K20" s="173">
        <f>+I20+G20</f>
        <v>2354069</v>
      </c>
    </row>
    <row r="21" spans="1:15" x14ac:dyDescent="0.25">
      <c r="C21" s="184">
        <v>-291055</v>
      </c>
      <c r="D21" s="184">
        <v>5129.333333333343</v>
      </c>
      <c r="E21" s="184"/>
      <c r="F21" s="184"/>
      <c r="G21" s="184">
        <v>-285926</v>
      </c>
      <c r="H21" s="184"/>
      <c r="I21" s="184">
        <v>17616</v>
      </c>
      <c r="J21" s="184"/>
      <c r="K21" s="184">
        <f>+I21+G21</f>
        <v>-268310</v>
      </c>
    </row>
    <row r="22" spans="1:15" x14ac:dyDescent="0.25">
      <c r="C22" s="173">
        <f>+C20+C21</f>
        <v>577153</v>
      </c>
      <c r="D22" s="173">
        <f t="shared" ref="D22:K22" si="6">+D20+D21</f>
        <v>149438</v>
      </c>
      <c r="E22" s="173">
        <f t="shared" si="6"/>
        <v>550.33333333333326</v>
      </c>
      <c r="F22" s="173">
        <f t="shared" si="6"/>
        <v>4498</v>
      </c>
      <c r="G22" s="173">
        <f t="shared" si="6"/>
        <v>731639</v>
      </c>
      <c r="H22" s="173">
        <f t="shared" si="6"/>
        <v>0</v>
      </c>
      <c r="I22" s="173">
        <f t="shared" si="6"/>
        <v>1354120</v>
      </c>
      <c r="J22" s="173">
        <f t="shared" si="6"/>
        <v>0</v>
      </c>
      <c r="K22" s="173">
        <f t="shared" si="6"/>
        <v>2085759</v>
      </c>
    </row>
    <row r="23" spans="1:15" x14ac:dyDescent="0.25">
      <c r="C23" s="173"/>
      <c r="D23" s="173"/>
      <c r="E23" s="173"/>
      <c r="F23" s="173"/>
      <c r="G23" s="173"/>
      <c r="H23" s="173"/>
      <c r="I23" s="173"/>
    </row>
    <row r="24" spans="1:15" x14ac:dyDescent="0.25">
      <c r="A24" s="170" t="s">
        <v>212</v>
      </c>
      <c r="B24" s="170"/>
      <c r="C24" s="172">
        <f>+C8+C21</f>
        <v>388243</v>
      </c>
      <c r="D24" s="172">
        <f t="shared" ref="D24:G24" si="7">+D8+D21</f>
        <v>117451</v>
      </c>
      <c r="E24" s="172">
        <f t="shared" si="7"/>
        <v>187.33333333333326</v>
      </c>
      <c r="F24" s="172">
        <f t="shared" si="7"/>
        <v>4082</v>
      </c>
      <c r="G24" s="172">
        <f t="shared" si="7"/>
        <v>509963</v>
      </c>
      <c r="H24" s="172"/>
      <c r="I24" s="172">
        <f t="shared" ref="I24" si="8">+I8+I21</f>
        <v>1292877</v>
      </c>
      <c r="J24" s="170"/>
      <c r="K24" s="172">
        <f>+I24+G24</f>
        <v>1802840</v>
      </c>
      <c r="M24" t="s">
        <v>213</v>
      </c>
    </row>
    <row r="25" spans="1:15" x14ac:dyDescent="0.25">
      <c r="A25" s="178" t="s">
        <v>220</v>
      </c>
      <c r="B25" s="178"/>
      <c r="C25" s="187">
        <f>+C10+C11+C12</f>
        <v>188910</v>
      </c>
      <c r="D25" s="187">
        <f t="shared" ref="D25:G25" si="9">+D10+D11+D12</f>
        <v>31987</v>
      </c>
      <c r="E25" s="187">
        <f t="shared" si="9"/>
        <v>363</v>
      </c>
      <c r="F25" s="187">
        <f t="shared" si="9"/>
        <v>416</v>
      </c>
      <c r="G25" s="187">
        <f t="shared" si="9"/>
        <v>221676</v>
      </c>
      <c r="H25" s="180"/>
      <c r="I25" s="187">
        <f t="shared" ref="I25" si="10">+I10+I11+I12</f>
        <v>61243</v>
      </c>
      <c r="J25" s="178"/>
      <c r="K25" s="187">
        <f>+I25+G25</f>
        <v>282919</v>
      </c>
      <c r="M25" t="s">
        <v>215</v>
      </c>
    </row>
    <row r="26" spans="1:15" x14ac:dyDescent="0.25">
      <c r="C26" s="173">
        <f>+C24+C25</f>
        <v>577153</v>
      </c>
      <c r="D26" s="173">
        <f t="shared" ref="D26:I26" si="11">+D24+D25</f>
        <v>149438</v>
      </c>
      <c r="E26" s="173">
        <f t="shared" si="11"/>
        <v>550.33333333333326</v>
      </c>
      <c r="F26" s="173">
        <f t="shared" si="11"/>
        <v>4498</v>
      </c>
      <c r="G26" s="173">
        <f t="shared" si="11"/>
        <v>731639</v>
      </c>
      <c r="I26" s="173">
        <f t="shared" si="11"/>
        <v>1354120</v>
      </c>
      <c r="K26" s="173">
        <f t="shared" ref="K26" si="12">+K24+K25</f>
        <v>2085759</v>
      </c>
    </row>
  </sheetData>
  <mergeCells count="4">
    <mergeCell ref="A1:P1"/>
    <mergeCell ref="A2:P2"/>
    <mergeCell ref="A3:P3"/>
    <mergeCell ref="A4:P4"/>
  </mergeCells>
  <pageMargins left="0.25" right="0.25" top="0.75" bottom="0.75" header="0.3" footer="0.3"/>
  <pageSetup scale="70" orientation="landscape" r:id="rId1"/>
  <headerFooter>
    <oddHeader>&amp;R&amp;D</oddHeader>
    <oddFooter>&amp;LDocket No. 20200194-GU Settlement Summary&amp;CConfidential&amp;RPage 1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 A C T I V E ! 1 5 6 7 5 9 4 5 . 1 < / d o c u m e n t i d >  
     < s e n d e r i d > K E A B E T < / s e n d e r i d >  
     < s e n d e r e m a i l > B K E A T I N G @ G U N S T E R . C O M < / s e n d e r e m a i l >  
     < l a s t m o d i f i e d > 2 0 2 2 - 0 6 - 1 3 T 2 2 : 1 7 : 3 5 . 0 0 0 0 0 0 0 - 0 4 : 0 0 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Detail</vt:lpstr>
      <vt:lpstr>BU Direct Costs</vt:lpstr>
      <vt:lpstr>Corp Direct Costs</vt:lpstr>
      <vt:lpstr>Settlement Summary</vt:lpstr>
      <vt:lpstr>'Settlement Summary'!Print_Area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Cox, Doreen</dc:creator>
  <cp:lastModifiedBy>Baugh, Jowi</cp:lastModifiedBy>
  <cp:lastPrinted>2022-01-25T19:22:32Z</cp:lastPrinted>
  <dcterms:created xsi:type="dcterms:W3CDTF">2021-12-20T14:50:55Z</dcterms:created>
  <dcterms:modified xsi:type="dcterms:W3CDTF">2022-06-14T02:17:35Z</dcterms:modified>
</cp:coreProperties>
</file>